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1.xml" ContentType="application/vnd.openxmlformats-officedocument.drawingml.chart+xml"/>
  <Override PartName="/xl/comments15.xml" ContentType="application/vnd.openxmlformats-officedocument.spreadsheetml.comments+xml"/>
  <Override PartName="/xl/drawings/drawing26.xml" ContentType="application/vnd.openxmlformats-officedocument.drawing+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tomal\Desktop\WEB SITE INFO\Budget Information\2016 Budget Info\"/>
    </mc:Choice>
  </mc:AlternateContent>
  <workbookProtection workbookAlgorithmName="SHA-512" workbookHashValue="0HKf2UhhAaNiekog0Mh48GCLpSz4piSv64QTjqEnL0YAwwhUa4jdvwRG87rRaqQrYXtEhVxAOrj0hWs3lEf80Q==" workbookSaltValue="UtZqiqlGcbTYqNFQAUJpfg==" workbookSpinCount="100000" lockStructure="1"/>
  <bookViews>
    <workbookView xWindow="0" yWindow="0" windowWidth="11970" windowHeight="1875" tabRatio="856" activeTab="5"/>
  </bookViews>
  <sheets>
    <sheet name="Contents" sheetId="66" r:id="rId1"/>
    <sheet name="OPEN" sheetId="4" r:id="rId2"/>
    <sheet name="F110" sheetId="84" r:id="rId3"/>
    <sheet name="F118" sheetId="85" r:id="rId4"/>
    <sheet name="F149" sheetId="86" r:id="rId5"/>
    <sheet name="F151" sheetId="87" r:id="rId6"/>
    <sheet name="F155" sheetId="88" r:id="rId7"/>
    <sheet name="F162" sheetId="89" r:id="rId8"/>
    <sheet name="F194" sheetId="90" r:id="rId9"/>
    <sheet name="F195" sheetId="91" r:id="rId10"/>
    <sheet name="F196" sheetId="92" r:id="rId11"/>
    <sheet name="F239" sheetId="102" r:id="rId12"/>
    <sheet name="F242" sheetId="93" r:id="rId13"/>
    <sheet name="F242A" sheetId="94" r:id="rId14"/>
    <sheet name="F250" sheetId="95" r:id="rId15"/>
    <sheet name="C01" sheetId="5" r:id="rId16"/>
    <sheet name="C02" sheetId="6" r:id="rId17"/>
    <sheet name="C04" sheetId="7" r:id="rId18"/>
    <sheet name="C05" sheetId="8" r:id="rId19"/>
    <sheet name="C05a" sheetId="9" r:id="rId20"/>
    <sheet name="C06" sheetId="10" r:id="rId21"/>
    <sheet name="C07" sheetId="11" r:id="rId22"/>
    <sheet name="C08" sheetId="12" r:id="rId23"/>
    <sheet name="C010" sheetId="13" r:id="rId24"/>
    <sheet name="C011" sheetId="60" r:id="rId25"/>
    <sheet name="C012" sheetId="14" r:id="rId26"/>
    <sheet name="C013" sheetId="61" r:id="rId27"/>
    <sheet name="C014" sheetId="15" r:id="rId28"/>
    <sheet name="C015" sheetId="71" r:id="rId29"/>
    <sheet name="C016" sheetId="16" r:id="rId30"/>
    <sheet name="C018" sheetId="17" r:id="rId31"/>
    <sheet name="C019" sheetId="65" r:id="rId32"/>
    <sheet name="C022" sheetId="18" r:id="rId33"/>
    <sheet name="C024" sheetId="19" r:id="rId34"/>
    <sheet name="C026" sheetId="20" r:id="rId35"/>
    <sheet name="C028" sheetId="21" r:id="rId36"/>
    <sheet name="C029" sheetId="22" r:id="rId37"/>
    <sheet name="C030" sheetId="23" r:id="rId38"/>
    <sheet name="C033" sheetId="70" r:id="rId39"/>
    <sheet name="C034" sheetId="26" r:id="rId40"/>
    <sheet name="C035" sheetId="52" r:id="rId41"/>
    <sheet name="C042" sheetId="29" r:id="rId42"/>
    <sheet name="C044" sheetId="30" r:id="rId43"/>
    <sheet name="C045" sheetId="31" r:id="rId44"/>
    <sheet name="C047" sheetId="32" r:id="rId45"/>
    <sheet name="C051" sheetId="58" r:id="rId46"/>
    <sheet name="C053" sheetId="37" r:id="rId47"/>
    <sheet name="C055" sheetId="38" r:id="rId48"/>
    <sheet name="C056" sheetId="74" r:id="rId49"/>
    <sheet name="C057" sheetId="64" r:id="rId50"/>
    <sheet name="C062" sheetId="39" r:id="rId51"/>
    <sheet name="C063" sheetId="40" r:id="rId52"/>
    <sheet name="C066" sheetId="41" r:id="rId53"/>
    <sheet name="C067" sheetId="42" r:id="rId54"/>
    <sheet name="C068" sheetId="43" r:id="rId55"/>
    <sheet name="C078" sheetId="44" r:id="rId56"/>
    <sheet name="C080" sheetId="45" r:id="rId57"/>
    <sheet name="C082" sheetId="46" r:id="rId58"/>
    <sheet name="C083" sheetId="47" r:id="rId59"/>
    <sheet name="C084" sheetId="48" r:id="rId60"/>
    <sheet name="C086" sheetId="49" r:id="rId61"/>
    <sheet name="CO99" sheetId="50" r:id="rId62"/>
    <sheet name="Certify" sheetId="83" r:id="rId63"/>
    <sheet name="2nd Publication" sheetId="80" r:id="rId64"/>
    <sheet name="Headings" sheetId="99" r:id="rId65"/>
    <sheet name="AMEND" sheetId="96" r:id="rId66"/>
    <sheet name="AveSalary" sheetId="101" r:id="rId67"/>
    <sheet name="Salaries" sheetId="100" r:id="rId68"/>
    <sheet name="CashBalances" sheetId="97" r:id="rId69"/>
    <sheet name="Bdgt Checks" sheetId="78" r:id="rId70"/>
    <sheet name="DATA" sheetId="75" r:id="rId71"/>
    <sheet name="DATA1" sheetId="79" r:id="rId72"/>
    <sheet name="Edits" sheetId="76" state="hidden" r:id="rId73"/>
    <sheet name="Edits1" sheetId="77" state="hidden" r:id="rId74"/>
  </sheets>
  <externalReferences>
    <externalReference r:id="rId75"/>
  </externalReferences>
  <definedNames>
    <definedName name="_300_Purchased_Professional_and_Tech_Svcs">'C029'!$A$161</definedName>
    <definedName name="BSAPP">#REF!</definedName>
    <definedName name="CC.P">'F110'!$B$1:$M$62</definedName>
    <definedName name="Code_78">'C078'!$E$9</definedName>
    <definedName name="_xlnm.Criteria">#REF!</definedName>
    <definedName name="Factor_A">#REF!</definedName>
    <definedName name="Factor_B">#REF!</definedName>
    <definedName name="file">#REF!</definedName>
    <definedName name="file_information">#REF!</definedName>
    <definedName name="FillDOWN1">'C08'!$E$9:$E$40</definedName>
    <definedName name="FILLDOWN2">'C08'!$E$47:$E$62</definedName>
    <definedName name="FILLDOWN3">'C08'!$E$63:$E$121</definedName>
    <definedName name="FILLDOWN4">'C08'!$E$122:$E$188</definedName>
    <definedName name="FILLDOWN5">'C08'!$E$189:$E$321</definedName>
    <definedName name="Form_4_212_150">#REF!</definedName>
    <definedName name="Min_Cost">#REF!</definedName>
    <definedName name="Notice_of_hearing">'CO99'!$A$1:$I$92</definedName>
    <definedName name="Percent_Inflate">#REF!</definedName>
    <definedName name="_xlnm.Print_Area" localSheetId="63">'2nd Publication'!$A$1:$F$41</definedName>
    <definedName name="_xlnm.Print_Area" localSheetId="65">AMEND!$A$28:$F$56</definedName>
    <definedName name="_xlnm.Print_Area" localSheetId="66">AveSalary!$B$3:$AU$47</definedName>
    <definedName name="_xlnm.Print_Area" localSheetId="69">'Bdgt Checks'!$A$32</definedName>
    <definedName name="_xlnm.Print_Area" localSheetId="15">'C01'!$A$1:$G$122</definedName>
    <definedName name="_xlnm.Print_Area" localSheetId="23">'C010'!$A$1:$F$165</definedName>
    <definedName name="_xlnm.Print_Area" localSheetId="24">'C011'!$A$1:$F$184</definedName>
    <definedName name="_xlnm.Print_Area" localSheetId="25">'C012'!$A$1:$E$126</definedName>
    <definedName name="_xlnm.Print_Area" localSheetId="26">'C013'!$A$1:$E$182</definedName>
    <definedName name="_xlnm.Print_Area" localSheetId="27">'C014'!$A$1:$E$182</definedName>
    <definedName name="_xlnm.Print_Area" localSheetId="28">'C015'!$A$1:$E$177</definedName>
    <definedName name="_xlnm.Print_Area" localSheetId="29">'C016'!$A$1:$F$145</definedName>
    <definedName name="_xlnm.Print_Area" localSheetId="30">'C018'!$A$1:$E$185</definedName>
    <definedName name="_xlnm.Print_Area" localSheetId="31">'C019'!$A$1:$F$45</definedName>
    <definedName name="_xlnm.Print_Area" localSheetId="16">'C02'!$A$1:$H$29</definedName>
    <definedName name="_xlnm.Print_Area" localSheetId="32">'C022'!$A$1:$E$171</definedName>
    <definedName name="_xlnm.Print_Area" localSheetId="33">'C024'!$A$1:$E$102</definedName>
    <definedName name="_xlnm.Print_Area" localSheetId="34">'C026'!$A$1:$E$81</definedName>
    <definedName name="_xlnm.Print_Area" localSheetId="35">'C028'!$A$1:$E$110</definedName>
    <definedName name="_xlnm.Print_Area" localSheetId="36">'C029'!$A$1:$E$186</definedName>
    <definedName name="_xlnm.Print_Area" localSheetId="37">'C030'!$A$1:$E$264</definedName>
    <definedName name="_xlnm.Print_Area" localSheetId="38">'C033'!$A$1:$F$48</definedName>
    <definedName name="_xlnm.Print_Area" localSheetId="39">'C034'!$A$1:$E$190</definedName>
    <definedName name="_xlnm.Print_Area" localSheetId="40">'C035'!$A$1:$E$247</definedName>
    <definedName name="_xlnm.Print_Area" localSheetId="17">'C04'!$A$1:$L$39</definedName>
    <definedName name="_xlnm.Print_Area" localSheetId="41">'C042'!$A$1:$F$52</definedName>
    <definedName name="_xlnm.Print_Area" localSheetId="42">'C044'!$A$1:$F$40</definedName>
    <definedName name="_xlnm.Print_Area" localSheetId="43">'C045'!$A$1:$F$39</definedName>
    <definedName name="_xlnm.Print_Area" localSheetId="44">'C047'!$A$1:$E$47</definedName>
    <definedName name="_xlnm.Print_Area" localSheetId="18">'C05'!$A$1:$K$43</definedName>
    <definedName name="_xlnm.Print_Area" localSheetId="45">'C051'!$A$1:$E$48</definedName>
    <definedName name="_xlnm.Print_Area" localSheetId="46">'C053'!$A$1:$E$284</definedName>
    <definedName name="_xlnm.Print_Area" localSheetId="47">'C055'!$A$1:$E$42</definedName>
    <definedName name="_xlnm.Print_Area" localSheetId="48">'C056'!$A$1:$E$53</definedName>
    <definedName name="_xlnm.Print_Area" localSheetId="49">'C057'!$A$1:$F$200</definedName>
    <definedName name="_xlnm.Print_Area" localSheetId="19">'C05a'!$A$1:$J$33</definedName>
    <definedName name="_xlnm.Print_Area" localSheetId="20">'C06'!$A$1:$F$364</definedName>
    <definedName name="_xlnm.Print_Area" localSheetId="50">'C062'!$A$1:$F$59</definedName>
    <definedName name="_xlnm.Print_Area" localSheetId="51">'C063'!$A$1:$F$61</definedName>
    <definedName name="_xlnm.Print_Area" localSheetId="52">'C066'!$A$1:$F$41</definedName>
    <definedName name="_xlnm.Print_Area" localSheetId="53">'C067'!$A$1:$F$39</definedName>
    <definedName name="_xlnm.Print_Area" localSheetId="54">'C068'!$A$1:$F$45</definedName>
    <definedName name="_xlnm.Print_Area" localSheetId="21">'C07'!$A$1:$E$245</definedName>
    <definedName name="_xlnm.Print_Area" localSheetId="55">'C078'!$A$1:$F$254</definedName>
    <definedName name="_xlnm.Print_Area" localSheetId="22">'C08'!$A$1:$F$327</definedName>
    <definedName name="_xlnm.Print_Area" localSheetId="56">'C080'!$A$1:$F$39</definedName>
    <definedName name="_xlnm.Print_Area" localSheetId="57">'C082'!$A$1:$F$41</definedName>
    <definedName name="_xlnm.Print_Area" localSheetId="58">'C083'!$A$1:$F$41</definedName>
    <definedName name="_xlnm.Print_Area" localSheetId="59">'C084'!$A$1:$F$42</definedName>
    <definedName name="_xlnm.Print_Area" localSheetId="60">'C086'!$A$1:$F$41</definedName>
    <definedName name="_xlnm.Print_Area" localSheetId="68">CashBalances!$A$1:$F$61</definedName>
    <definedName name="_xlnm.Print_Area" localSheetId="62">Certify!$A$1:$K$50</definedName>
    <definedName name="_xlnm.Print_Area" localSheetId="61">'CO99'!$A$1:$I$91</definedName>
    <definedName name="_xlnm.Print_Area" localSheetId="0">Contents!$B$3:$C$55</definedName>
    <definedName name="_xlnm.Print_Area" localSheetId="70">DATA!$A$290</definedName>
    <definedName name="_xlnm.Print_Area" localSheetId="71">DATA1!$A$289</definedName>
    <definedName name="_xlnm.Print_Area" localSheetId="72">Edits!$A$4</definedName>
    <definedName name="_xlnm.Print_Area" localSheetId="73">Edits1!$A$4</definedName>
    <definedName name="_xlnm.Print_Area" localSheetId="2">'F110'!$A$1:$N$1043</definedName>
    <definedName name="_xlnm.Print_Area" localSheetId="3">'F118'!$A$1:$G$62</definedName>
    <definedName name="_xlnm.Print_Area" localSheetId="4">'F149'!$A$1:$E$34</definedName>
    <definedName name="_xlnm.Print_Area" localSheetId="5">'F151'!$A$1:$I$99</definedName>
    <definedName name="_xlnm.Print_Area" localSheetId="6">'F155'!$A$1:$K$49</definedName>
    <definedName name="_xlnm.Print_Area" localSheetId="7">'F162'!$A$1:$J$49</definedName>
    <definedName name="_xlnm.Print_Area" localSheetId="8">'F194'!$A$1:$S$104</definedName>
    <definedName name="_xlnm.Print_Area" localSheetId="9">'F195'!$A$1:$I$33</definedName>
    <definedName name="_xlnm.Print_Area" localSheetId="10">'F196'!$A$1:$F$36</definedName>
    <definedName name="_xlnm.Print_Area" localSheetId="11">'F239'!$A$1:$I$33</definedName>
    <definedName name="_xlnm.Print_Area" localSheetId="12">'F242'!$A$1:$I$77</definedName>
    <definedName name="_xlnm.Print_Area" localSheetId="13">F242A!$A$1:$I$73</definedName>
    <definedName name="_xlnm.Print_Area" localSheetId="14">'F250'!$A$1:$G$37</definedName>
    <definedName name="_xlnm.Print_Area" localSheetId="64">Headings!$A$1:$K$30</definedName>
    <definedName name="_xlnm.Print_Area" localSheetId="1">OPEN!$A$3:$G$157</definedName>
    <definedName name="_xlnm.Print_Area" localSheetId="67">Salaries!$A$1:$L$61</definedName>
    <definedName name="_xlnm.Print_Titles" localSheetId="66">AveSalary!$B:$B</definedName>
    <definedName name="pupils_trans_2.5">#REF!</definedName>
    <definedName name="Range1" localSheetId="43">'C045'!$B$9:$F$14</definedName>
    <definedName name="Range1" localSheetId="55">'C078'!$B$9:$E$24</definedName>
    <definedName name="Range1" localSheetId="58">'C083'!$B$9:$F$14</definedName>
    <definedName name="Range1">'C08'!$B$9:$E$40</definedName>
    <definedName name="Range2" localSheetId="43">'C045'!$B$15:$F$18</definedName>
    <definedName name="Range2" localSheetId="55">'C078'!$B$32:$E$65</definedName>
    <definedName name="Range2" localSheetId="58">'C083'!$B$15:$F$19</definedName>
    <definedName name="Range2">'C08'!$B$47:$E$62</definedName>
    <definedName name="Range3" localSheetId="43">'C045'!$B$19:$F$27</definedName>
    <definedName name="Range3" localSheetId="55">'C078'!$B$76:$E$123</definedName>
    <definedName name="Range3" localSheetId="58">'C083'!$B$20:$F$28</definedName>
    <definedName name="Range3">'C08'!$B$63:$E$121</definedName>
    <definedName name="Range4" localSheetId="43">'C045'!$B$28:$F$34</definedName>
    <definedName name="Range4" localSheetId="55">'C078'!$B$148:$E$207</definedName>
    <definedName name="Range4" localSheetId="58">'C083'!$B$29:$F$33</definedName>
    <definedName name="Range4">'C08'!$B$122:$E$188</definedName>
    <definedName name="Range5" localSheetId="43">'C045'!$B$35:$F$39</definedName>
    <definedName name="Range5" localSheetId="55">'C078'!$B$208:$E$251</definedName>
    <definedName name="Range5" localSheetId="58">'C083'!$B$34:$F$39</definedName>
    <definedName name="Range5">'C08'!$B$189:$E$321</definedName>
    <definedName name="USD">#REF!</definedName>
    <definedName name="Yes">#REF!</definedName>
  </definedNames>
  <calcPr calcId="152511" fullPrecision="0"/>
</workbook>
</file>

<file path=xl/calcChain.xml><?xml version="1.0" encoding="utf-8"?>
<calcChain xmlns="http://schemas.openxmlformats.org/spreadsheetml/2006/main">
  <c r="K55" i="75" l="1"/>
  <c r="K53" i="75"/>
  <c r="Q55" i="75" l="1"/>
  <c r="Q53" i="75"/>
  <c r="B14" i="4" l="1"/>
  <c r="D47" i="10" l="1"/>
  <c r="B53" i="4" l="1"/>
  <c r="A55" i="87" l="1"/>
  <c r="A53" i="87"/>
  <c r="A51" i="87"/>
  <c r="A49" i="87"/>
  <c r="A47" i="87"/>
  <c r="A45" i="87"/>
  <c r="A43" i="87"/>
  <c r="A41" i="87"/>
  <c r="A39" i="87"/>
  <c r="A30" i="87" l="1"/>
  <c r="B25" i="91"/>
  <c r="I24" i="10" l="1"/>
  <c r="I23" i="10"/>
  <c r="I21" i="10"/>
  <c r="I19" i="10"/>
  <c r="I18" i="10"/>
  <c r="I17" i="10"/>
  <c r="I15" i="10"/>
  <c r="I14" i="10"/>
  <c r="I13" i="10"/>
  <c r="I12" i="10"/>
  <c r="I22" i="10"/>
  <c r="I16" i="10"/>
  <c r="C47" i="10"/>
  <c r="D29" i="92" l="1"/>
  <c r="F14" i="102"/>
  <c r="G65" i="94"/>
  <c r="F68" i="93"/>
  <c r="N34" i="8" l="1"/>
  <c r="C187" i="26" l="1"/>
  <c r="C18" i="86" l="1"/>
  <c r="J99" i="4" l="1"/>
  <c r="D59" i="5" s="1"/>
  <c r="A101" i="4"/>
  <c r="D278" i="37" l="1"/>
  <c r="E278" i="37"/>
  <c r="C278" i="37"/>
  <c r="AP288" i="79" l="1"/>
  <c r="AN288" i="79"/>
  <c r="AN287" i="79"/>
  <c r="AP287" i="79" s="1"/>
  <c r="AP286" i="79"/>
  <c r="AN286" i="79"/>
  <c r="AN285" i="79"/>
  <c r="AP285" i="79" s="1"/>
  <c r="AN284" i="79"/>
  <c r="AP284" i="79" s="1"/>
  <c r="AN283" i="79"/>
  <c r="AP283" i="79" s="1"/>
  <c r="AN282" i="79"/>
  <c r="AP282" i="79" s="1"/>
  <c r="AN281" i="79"/>
  <c r="AP281" i="79" s="1"/>
  <c r="AN280" i="79"/>
  <c r="AP280" i="79" s="1"/>
  <c r="AN279" i="79"/>
  <c r="AP279" i="79" s="1"/>
  <c r="AN278" i="79"/>
  <c r="AP278" i="79" s="1"/>
  <c r="AN277" i="79"/>
  <c r="AP277" i="79" s="1"/>
  <c r="AN276" i="79"/>
  <c r="AP276" i="79" s="1"/>
  <c r="AN275" i="79"/>
  <c r="AP275" i="79" s="1"/>
  <c r="AN274" i="79"/>
  <c r="AP274" i="79" s="1"/>
  <c r="AN273" i="79"/>
  <c r="AP273" i="79" s="1"/>
  <c r="AN272" i="79"/>
  <c r="AP272" i="79" s="1"/>
  <c r="AN271" i="79"/>
  <c r="AP271" i="79" s="1"/>
  <c r="AN270" i="79"/>
  <c r="AP270" i="79" s="1"/>
  <c r="AN269" i="79"/>
  <c r="AP269" i="79" s="1"/>
  <c r="AN268" i="79"/>
  <c r="AP268" i="79" s="1"/>
  <c r="AN267" i="79"/>
  <c r="AP267" i="79" s="1"/>
  <c r="AN266" i="79"/>
  <c r="AP266" i="79" s="1"/>
  <c r="AN265" i="79"/>
  <c r="AP265" i="79" s="1"/>
  <c r="AN264" i="79"/>
  <c r="AP264" i="79" s="1"/>
  <c r="AN263" i="79"/>
  <c r="AP263" i="79" s="1"/>
  <c r="AP262" i="79"/>
  <c r="AN262" i="79"/>
  <c r="AN261" i="79"/>
  <c r="AP261" i="79" s="1"/>
  <c r="AN260" i="79"/>
  <c r="AP260" i="79" s="1"/>
  <c r="AN259" i="79"/>
  <c r="AP259" i="79" s="1"/>
  <c r="AP258" i="79"/>
  <c r="AN258" i="79"/>
  <c r="AN257" i="79"/>
  <c r="AP257" i="79" s="1"/>
  <c r="AN256" i="79"/>
  <c r="AP256" i="79" s="1"/>
  <c r="AN255" i="79"/>
  <c r="AP255" i="79" s="1"/>
  <c r="AN254" i="79"/>
  <c r="AP254" i="79" s="1"/>
  <c r="AN253" i="79"/>
  <c r="AP253" i="79" s="1"/>
  <c r="AN252" i="79"/>
  <c r="AP252" i="79" s="1"/>
  <c r="AN251" i="79"/>
  <c r="AP251" i="79" s="1"/>
  <c r="AN250" i="79"/>
  <c r="AP250" i="79" s="1"/>
  <c r="AN249" i="79"/>
  <c r="AP249" i="79" s="1"/>
  <c r="AN248" i="79"/>
  <c r="AP248" i="79" s="1"/>
  <c r="AN247" i="79"/>
  <c r="AP247" i="79" s="1"/>
  <c r="AN246" i="79"/>
  <c r="AP246" i="79" s="1"/>
  <c r="AN245" i="79"/>
  <c r="AP245" i="79" s="1"/>
  <c r="AN244" i="79"/>
  <c r="AP244" i="79" s="1"/>
  <c r="AN243" i="79"/>
  <c r="AP243" i="79" s="1"/>
  <c r="AN242" i="79"/>
  <c r="AP242" i="79" s="1"/>
  <c r="AN241" i="79"/>
  <c r="AP241" i="79" s="1"/>
  <c r="AN240" i="79"/>
  <c r="AP240" i="79" s="1"/>
  <c r="AN239" i="79"/>
  <c r="AP239" i="79" s="1"/>
  <c r="AN238" i="79"/>
  <c r="AP238" i="79" s="1"/>
  <c r="AN237" i="79"/>
  <c r="AP237" i="79" s="1"/>
  <c r="AN236" i="79"/>
  <c r="AP236" i="79" s="1"/>
  <c r="AN235" i="79"/>
  <c r="AP235" i="79" s="1"/>
  <c r="AN234" i="79"/>
  <c r="AP234" i="79" s="1"/>
  <c r="AN233" i="79"/>
  <c r="AP233" i="79" s="1"/>
  <c r="AN232" i="79"/>
  <c r="AP232" i="79" s="1"/>
  <c r="AN231" i="79"/>
  <c r="AP231" i="79" s="1"/>
  <c r="AP230" i="79"/>
  <c r="AN230" i="79"/>
  <c r="AN229" i="79"/>
  <c r="AP229" i="79" s="1"/>
  <c r="AN228" i="79"/>
  <c r="AP228" i="79" s="1"/>
  <c r="AN227" i="79"/>
  <c r="AP227" i="79" s="1"/>
  <c r="AP226" i="79"/>
  <c r="AN226" i="79"/>
  <c r="AN225" i="79"/>
  <c r="AP225" i="79" s="1"/>
  <c r="AN224" i="79"/>
  <c r="AP224" i="79" s="1"/>
  <c r="AN223" i="79"/>
  <c r="AP223" i="79" s="1"/>
  <c r="AN222" i="79"/>
  <c r="AP222" i="79" s="1"/>
  <c r="AN221" i="79"/>
  <c r="AP221" i="79" s="1"/>
  <c r="AN220" i="79"/>
  <c r="AP220" i="79" s="1"/>
  <c r="AN219" i="79"/>
  <c r="AP219" i="79" s="1"/>
  <c r="AN218" i="79"/>
  <c r="AP218" i="79" s="1"/>
  <c r="AN217" i="79"/>
  <c r="AP217" i="79" s="1"/>
  <c r="AN216" i="79"/>
  <c r="AP216" i="79" s="1"/>
  <c r="AN215" i="79"/>
  <c r="AP215" i="79" s="1"/>
  <c r="AN214" i="79"/>
  <c r="AP214" i="79" s="1"/>
  <c r="AN213" i="79"/>
  <c r="AP213" i="79" s="1"/>
  <c r="AN212" i="79"/>
  <c r="AP212" i="79" s="1"/>
  <c r="AN211" i="79"/>
  <c r="AP211" i="79" s="1"/>
  <c r="AN210" i="79"/>
  <c r="AP210" i="79" s="1"/>
  <c r="AN209" i="79"/>
  <c r="AP209" i="79" s="1"/>
  <c r="AN208" i="79"/>
  <c r="AP208" i="79" s="1"/>
  <c r="AN207" i="79"/>
  <c r="AP207" i="79" s="1"/>
  <c r="AN206" i="79"/>
  <c r="AP206" i="79" s="1"/>
  <c r="AN205" i="79"/>
  <c r="AP205" i="79" s="1"/>
  <c r="AN204" i="79"/>
  <c r="AP204" i="79" s="1"/>
  <c r="AN203" i="79"/>
  <c r="AP203" i="79" s="1"/>
  <c r="AN202" i="79"/>
  <c r="AP202" i="79" s="1"/>
  <c r="AN201" i="79"/>
  <c r="AP201" i="79" s="1"/>
  <c r="AN200" i="79"/>
  <c r="AP200" i="79" s="1"/>
  <c r="AN199" i="79"/>
  <c r="AP199" i="79" s="1"/>
  <c r="AP198" i="79"/>
  <c r="AN198" i="79"/>
  <c r="AN197" i="79"/>
  <c r="AP197" i="79" s="1"/>
  <c r="AN196" i="79"/>
  <c r="AP196" i="79" s="1"/>
  <c r="AN195" i="79"/>
  <c r="AP195" i="79" s="1"/>
  <c r="AP194" i="79"/>
  <c r="AN194" i="79"/>
  <c r="AN193" i="79"/>
  <c r="AP193" i="79" s="1"/>
  <c r="AN192" i="79"/>
  <c r="AP192" i="79" s="1"/>
  <c r="AN191" i="79"/>
  <c r="AP191" i="79" s="1"/>
  <c r="AN190" i="79"/>
  <c r="AP190" i="79" s="1"/>
  <c r="AN189" i="79"/>
  <c r="AP189" i="79" s="1"/>
  <c r="AN188" i="79"/>
  <c r="AP188" i="79" s="1"/>
  <c r="AN187" i="79"/>
  <c r="AP187" i="79" s="1"/>
  <c r="AN186" i="79"/>
  <c r="AP186" i="79" s="1"/>
  <c r="AN185" i="79"/>
  <c r="AP185" i="79" s="1"/>
  <c r="AN184" i="79"/>
  <c r="AP184" i="79" s="1"/>
  <c r="AN183" i="79"/>
  <c r="AP183" i="79" s="1"/>
  <c r="AN182" i="79"/>
  <c r="AP182" i="79" s="1"/>
  <c r="AN181" i="79"/>
  <c r="AP181" i="79" s="1"/>
  <c r="AN180" i="79"/>
  <c r="AP180" i="79" s="1"/>
  <c r="AN179" i="79"/>
  <c r="AP179" i="79" s="1"/>
  <c r="AN178" i="79"/>
  <c r="AP178" i="79" s="1"/>
  <c r="AN177" i="79"/>
  <c r="AP177" i="79" s="1"/>
  <c r="AN176" i="79"/>
  <c r="AP176" i="79" s="1"/>
  <c r="AN175" i="79"/>
  <c r="AP175" i="79" s="1"/>
  <c r="AN174" i="79"/>
  <c r="AP174" i="79" s="1"/>
  <c r="AN173" i="79"/>
  <c r="AP173" i="79" s="1"/>
  <c r="AN172" i="79"/>
  <c r="AP172" i="79" s="1"/>
  <c r="AN171" i="79"/>
  <c r="AP171" i="79" s="1"/>
  <c r="AN170" i="79"/>
  <c r="AP170" i="79" s="1"/>
  <c r="AN169" i="79"/>
  <c r="AP169" i="79" s="1"/>
  <c r="AN168" i="79"/>
  <c r="AP168" i="79" s="1"/>
  <c r="AN167" i="79"/>
  <c r="AP167" i="79" s="1"/>
  <c r="AP166" i="79"/>
  <c r="AN166" i="79"/>
  <c r="AN165" i="79"/>
  <c r="AP165" i="79" s="1"/>
  <c r="AN164" i="79"/>
  <c r="AP164" i="79" s="1"/>
  <c r="AN163" i="79"/>
  <c r="AP163" i="79" s="1"/>
  <c r="AN162" i="79"/>
  <c r="AP162" i="79" s="1"/>
  <c r="AN161" i="79"/>
  <c r="AP161" i="79" s="1"/>
  <c r="AN160" i="79"/>
  <c r="AP160" i="79" s="1"/>
  <c r="AN159" i="79"/>
  <c r="AP159" i="79" s="1"/>
  <c r="AN158" i="79"/>
  <c r="AP158" i="79" s="1"/>
  <c r="AN157" i="79"/>
  <c r="AP157" i="79" s="1"/>
  <c r="AN156" i="79"/>
  <c r="AP156" i="79" s="1"/>
  <c r="AN155" i="79"/>
  <c r="AP155" i="79" s="1"/>
  <c r="AN154" i="79"/>
  <c r="AP154" i="79" s="1"/>
  <c r="AN153" i="79"/>
  <c r="AP153" i="79" s="1"/>
  <c r="AN152" i="79"/>
  <c r="AP152" i="79" s="1"/>
  <c r="AN151" i="79"/>
  <c r="AP151" i="79" s="1"/>
  <c r="AN150" i="79"/>
  <c r="AP150" i="79" s="1"/>
  <c r="AN149" i="79"/>
  <c r="AP149" i="79" s="1"/>
  <c r="AN148" i="79"/>
  <c r="AP148" i="79" s="1"/>
  <c r="AN147" i="79"/>
  <c r="AP147" i="79" s="1"/>
  <c r="AN146" i="79"/>
  <c r="AP146" i="79" s="1"/>
  <c r="AN145" i="79"/>
  <c r="AP145" i="79" s="1"/>
  <c r="AN144" i="79"/>
  <c r="AP144" i="79" s="1"/>
  <c r="AN143" i="79"/>
  <c r="AP143" i="79" s="1"/>
  <c r="AN142" i="79"/>
  <c r="AP142" i="79" s="1"/>
  <c r="AN141" i="79"/>
  <c r="AP141" i="79" s="1"/>
  <c r="AN140" i="79"/>
  <c r="AP140" i="79" s="1"/>
  <c r="AN139" i="79"/>
  <c r="AP139" i="79" s="1"/>
  <c r="AN138" i="79"/>
  <c r="AP138" i="79" s="1"/>
  <c r="AN137" i="79"/>
  <c r="AP137" i="79" s="1"/>
  <c r="AN136" i="79"/>
  <c r="AP136" i="79" s="1"/>
  <c r="AN135" i="79"/>
  <c r="AP135" i="79" s="1"/>
  <c r="AP134" i="79"/>
  <c r="AN134" i="79"/>
  <c r="AN133" i="79"/>
  <c r="AP133" i="79" s="1"/>
  <c r="AN132" i="79"/>
  <c r="AP132" i="79" s="1"/>
  <c r="AN131" i="79"/>
  <c r="AP131" i="79" s="1"/>
  <c r="AN130" i="79"/>
  <c r="AP130" i="79" s="1"/>
  <c r="AN129" i="79"/>
  <c r="AP129" i="79" s="1"/>
  <c r="AN128" i="79"/>
  <c r="AP128" i="79" s="1"/>
  <c r="AN127" i="79"/>
  <c r="AP127" i="79" s="1"/>
  <c r="AN126" i="79"/>
  <c r="AP126" i="79" s="1"/>
  <c r="AN125" i="79"/>
  <c r="AP125" i="79" s="1"/>
  <c r="AN124" i="79"/>
  <c r="AP124" i="79" s="1"/>
  <c r="AN123" i="79"/>
  <c r="AP123" i="79" s="1"/>
  <c r="AN122" i="79"/>
  <c r="AP122" i="79" s="1"/>
  <c r="AN121" i="79"/>
  <c r="AP121" i="79" s="1"/>
  <c r="AN120" i="79"/>
  <c r="AP120" i="79" s="1"/>
  <c r="AN119" i="79"/>
  <c r="AP119" i="79" s="1"/>
  <c r="AN118" i="79"/>
  <c r="AP118" i="79" s="1"/>
  <c r="AN117" i="79"/>
  <c r="AP117" i="79" s="1"/>
  <c r="AP116" i="79"/>
  <c r="AN116" i="79"/>
  <c r="AN115" i="79"/>
  <c r="AP115" i="79" s="1"/>
  <c r="AN114" i="79"/>
  <c r="AP114" i="79" s="1"/>
  <c r="AN113" i="79"/>
  <c r="AP113" i="79" s="1"/>
  <c r="AN112" i="79"/>
  <c r="AP112" i="79" s="1"/>
  <c r="AN111" i="79"/>
  <c r="AP111" i="79" s="1"/>
  <c r="AN110" i="79"/>
  <c r="AP110" i="79" s="1"/>
  <c r="AN109" i="79"/>
  <c r="AP109" i="79" s="1"/>
  <c r="AP108" i="79"/>
  <c r="AN108" i="79"/>
  <c r="AN107" i="79"/>
  <c r="AP107" i="79" s="1"/>
  <c r="AN106" i="79"/>
  <c r="AP106" i="79" s="1"/>
  <c r="AN105" i="79"/>
  <c r="AP105" i="79" s="1"/>
  <c r="AN104" i="79"/>
  <c r="AP104" i="79" s="1"/>
  <c r="AN103" i="79"/>
  <c r="AP103" i="79" s="1"/>
  <c r="AN102" i="79"/>
  <c r="AP102" i="79" s="1"/>
  <c r="AN101" i="79"/>
  <c r="AP101" i="79" s="1"/>
  <c r="AP100" i="79"/>
  <c r="AN100" i="79"/>
  <c r="AN99" i="79"/>
  <c r="AP99" i="79" s="1"/>
  <c r="AN98" i="79"/>
  <c r="AP98" i="79" s="1"/>
  <c r="AN97" i="79"/>
  <c r="AP97" i="79" s="1"/>
  <c r="AN96" i="79"/>
  <c r="AP96" i="79" s="1"/>
  <c r="AN95" i="79"/>
  <c r="AP95" i="79" s="1"/>
  <c r="AN94" i="79"/>
  <c r="AP94" i="79" s="1"/>
  <c r="AN93" i="79"/>
  <c r="AP93" i="79" s="1"/>
  <c r="AP92" i="79"/>
  <c r="AN92" i="79"/>
  <c r="AN91" i="79"/>
  <c r="AP91" i="79" s="1"/>
  <c r="AN90" i="79"/>
  <c r="AP90" i="79" s="1"/>
  <c r="AN89" i="79"/>
  <c r="AP89" i="79" s="1"/>
  <c r="AN88" i="79"/>
  <c r="AP88" i="79" s="1"/>
  <c r="AN87" i="79"/>
  <c r="AP87" i="79" s="1"/>
  <c r="AN86" i="79"/>
  <c r="AP86" i="79" s="1"/>
  <c r="AN85" i="79"/>
  <c r="AP85" i="79" s="1"/>
  <c r="AP84" i="79"/>
  <c r="AN84" i="79"/>
  <c r="AN83" i="79"/>
  <c r="AP83" i="79" s="1"/>
  <c r="AN82" i="79"/>
  <c r="AP82" i="79" s="1"/>
  <c r="AN81" i="79"/>
  <c r="AP81" i="79" s="1"/>
  <c r="AN80" i="79"/>
  <c r="AP80" i="79" s="1"/>
  <c r="AN79" i="79"/>
  <c r="AP79" i="79" s="1"/>
  <c r="AN78" i="79"/>
  <c r="AP78" i="79" s="1"/>
  <c r="AN77" i="79"/>
  <c r="AP77" i="79" s="1"/>
  <c r="AP76" i="79"/>
  <c r="AN76" i="79"/>
  <c r="AN75" i="79"/>
  <c r="AP75" i="79" s="1"/>
  <c r="AN74" i="79"/>
  <c r="AP74" i="79" s="1"/>
  <c r="AN73" i="79"/>
  <c r="AP73" i="79" s="1"/>
  <c r="AN72" i="79"/>
  <c r="AP72" i="79" s="1"/>
  <c r="AN71" i="79"/>
  <c r="AP71" i="79" s="1"/>
  <c r="AN70" i="79"/>
  <c r="AP70" i="79" s="1"/>
  <c r="AN69" i="79"/>
  <c r="AP69" i="79" s="1"/>
  <c r="AP68" i="79"/>
  <c r="AN68" i="79"/>
  <c r="AN67" i="79"/>
  <c r="AP67" i="79" s="1"/>
  <c r="AN66" i="79"/>
  <c r="AP66" i="79" s="1"/>
  <c r="AN65" i="79"/>
  <c r="AP65" i="79" s="1"/>
  <c r="AN64" i="79"/>
  <c r="AP64" i="79" s="1"/>
  <c r="AN63" i="79"/>
  <c r="AP63" i="79" s="1"/>
  <c r="AN62" i="79"/>
  <c r="AP62" i="79" s="1"/>
  <c r="AN61" i="79"/>
  <c r="AP61" i="79" s="1"/>
  <c r="AP60" i="79"/>
  <c r="AN60" i="79"/>
  <c r="AN59" i="79"/>
  <c r="AP59" i="79" s="1"/>
  <c r="AN58" i="79"/>
  <c r="AP58" i="79" s="1"/>
  <c r="AN57" i="79"/>
  <c r="AP57" i="79" s="1"/>
  <c r="AN56" i="79"/>
  <c r="AP56" i="79" s="1"/>
  <c r="AN55" i="79"/>
  <c r="AP55" i="79" s="1"/>
  <c r="AN54" i="79"/>
  <c r="AP54" i="79" s="1"/>
  <c r="AN53" i="79"/>
  <c r="AP53" i="79" s="1"/>
  <c r="AP52" i="79"/>
  <c r="AN52" i="79"/>
  <c r="AN51" i="79"/>
  <c r="AP51" i="79" s="1"/>
  <c r="AN50" i="79"/>
  <c r="AP50" i="79" s="1"/>
  <c r="AN49" i="79"/>
  <c r="AP49" i="79" s="1"/>
  <c r="AN48" i="79"/>
  <c r="AP48" i="79" s="1"/>
  <c r="AN47" i="79"/>
  <c r="AP47" i="79" s="1"/>
  <c r="AN46" i="79"/>
  <c r="AP46" i="79" s="1"/>
  <c r="AN45" i="79"/>
  <c r="AP45" i="79" s="1"/>
  <c r="AP44" i="79"/>
  <c r="AN44" i="79"/>
  <c r="AN43" i="79"/>
  <c r="AP43" i="79" s="1"/>
  <c r="AN42" i="79"/>
  <c r="AP42" i="79" s="1"/>
  <c r="AN41" i="79"/>
  <c r="AP41" i="79" s="1"/>
  <c r="AN40" i="79"/>
  <c r="AP40" i="79" s="1"/>
  <c r="AN39" i="79"/>
  <c r="AP39" i="79" s="1"/>
  <c r="AN38" i="79"/>
  <c r="AP38" i="79" s="1"/>
  <c r="AN37" i="79"/>
  <c r="AP37" i="79" s="1"/>
  <c r="AP36" i="79"/>
  <c r="AN36" i="79"/>
  <c r="AN35" i="79"/>
  <c r="AP35" i="79" s="1"/>
  <c r="AN34" i="79"/>
  <c r="AP34" i="79" s="1"/>
  <c r="AN33" i="79"/>
  <c r="AP33" i="79" s="1"/>
  <c r="AN32" i="79"/>
  <c r="AP32" i="79" s="1"/>
  <c r="AN31" i="79"/>
  <c r="AP31" i="79" s="1"/>
  <c r="AN30" i="79"/>
  <c r="AP30" i="79" s="1"/>
  <c r="AN29" i="79"/>
  <c r="AP29" i="79" s="1"/>
  <c r="AN28" i="79"/>
  <c r="AP28" i="79" s="1"/>
  <c r="AN27" i="79"/>
  <c r="AP27" i="79" s="1"/>
  <c r="AN26" i="79"/>
  <c r="AP26" i="79" s="1"/>
  <c r="AN25" i="79"/>
  <c r="AP25" i="79" s="1"/>
  <c r="AP24" i="79"/>
  <c r="AN24" i="79"/>
  <c r="AN23" i="79"/>
  <c r="AP23" i="79" s="1"/>
  <c r="AN22" i="79"/>
  <c r="AP22" i="79" s="1"/>
  <c r="AN21" i="79"/>
  <c r="AP21" i="79" s="1"/>
  <c r="AN20" i="79"/>
  <c r="AP20" i="79" s="1"/>
  <c r="AN19" i="79"/>
  <c r="AP19" i="79" s="1"/>
  <c r="AN18" i="79"/>
  <c r="AP18" i="79" s="1"/>
  <c r="AN17" i="79"/>
  <c r="AP17" i="79" s="1"/>
  <c r="AN16" i="79"/>
  <c r="AP16" i="79" s="1"/>
  <c r="AN15" i="79"/>
  <c r="AP15" i="79" s="1"/>
  <c r="AN14" i="79"/>
  <c r="AP14" i="79" s="1"/>
  <c r="AN13" i="79"/>
  <c r="AP13" i="79" s="1"/>
  <c r="AN12" i="79"/>
  <c r="AP12" i="79" s="1"/>
  <c r="AN11" i="79"/>
  <c r="AP11" i="79" s="1"/>
  <c r="AN10" i="79"/>
  <c r="AP10" i="79" s="1"/>
  <c r="AN9" i="79"/>
  <c r="AP9" i="79" s="1"/>
  <c r="AP8" i="79"/>
  <c r="AN8" i="79"/>
  <c r="AN7" i="79"/>
  <c r="AP7" i="79" s="1"/>
  <c r="AN6" i="79"/>
  <c r="AP6" i="79" s="1"/>
  <c r="AN5" i="79"/>
  <c r="AP5" i="79" s="1"/>
  <c r="AN4" i="79"/>
  <c r="AP4" i="79" s="1"/>
  <c r="AN3" i="79"/>
  <c r="AP3" i="79" s="1"/>
  <c r="L69" i="50" l="1"/>
  <c r="K72" i="50"/>
  <c r="J72" i="50"/>
  <c r="E30" i="12"/>
  <c r="A28" i="102" l="1"/>
  <c r="A25" i="102"/>
  <c r="A6" i="102"/>
  <c r="A2" i="102"/>
  <c r="I1" i="102"/>
  <c r="E14" i="102" s="1"/>
  <c r="E30" i="102" l="1"/>
  <c r="B80" i="4" l="1"/>
  <c r="I53" i="87"/>
  <c r="L53" i="87" l="1"/>
  <c r="I33" i="87"/>
  <c r="E41" i="10" s="1"/>
  <c r="A33" i="87"/>
  <c r="A37" i="87"/>
  <c r="A35" i="87"/>
  <c r="E11" i="87"/>
  <c r="E10" i="87"/>
  <c r="E9" i="87"/>
  <c r="D36" i="32" l="1"/>
  <c r="C36" i="32"/>
  <c r="D46" i="32"/>
  <c r="C46" i="32"/>
  <c r="E28" i="12" l="1"/>
  <c r="C30" i="12"/>
  <c r="B87" i="4"/>
  <c r="B86" i="4"/>
  <c r="B149" i="4"/>
  <c r="B46" i="4"/>
  <c r="A88" i="4"/>
  <c r="K41" i="8"/>
  <c r="J41" i="8"/>
  <c r="I41" i="8"/>
  <c r="H41" i="8"/>
  <c r="E41" i="8"/>
  <c r="O31" i="8" s="1"/>
  <c r="A54" i="94" l="1"/>
  <c r="A75" i="93"/>
  <c r="A64" i="93"/>
  <c r="A61" i="94" s="1"/>
  <c r="A57" i="93"/>
  <c r="A83" i="87"/>
  <c r="B25" i="87"/>
  <c r="N23" i="87"/>
  <c r="N20" i="87"/>
  <c r="L58" i="4" l="1"/>
  <c r="M76" i="4"/>
  <c r="M75" i="4"/>
  <c r="M63" i="4"/>
  <c r="M62" i="4"/>
  <c r="M61" i="4"/>
  <c r="M60" i="4"/>
  <c r="E32" i="83" l="1"/>
  <c r="D7" i="7" l="1"/>
  <c r="A9" i="50" l="1"/>
  <c r="A7" i="50"/>
  <c r="A35" i="96"/>
  <c r="A32" i="96"/>
  <c r="E39" i="40"/>
  <c r="E39" i="39"/>
  <c r="B119" i="5"/>
  <c r="AR46" i="101" l="1"/>
  <c r="AP46" i="101"/>
  <c r="AN46" i="101"/>
  <c r="AL46" i="101"/>
  <c r="AJ46" i="101"/>
  <c r="AH46" i="101"/>
  <c r="AF46" i="101"/>
  <c r="AD46" i="101"/>
  <c r="AB46" i="101"/>
  <c r="Z46" i="101"/>
  <c r="X46" i="101"/>
  <c r="V46" i="101"/>
  <c r="T46" i="101"/>
  <c r="R46" i="101"/>
  <c r="P46" i="101"/>
  <c r="N46" i="101"/>
  <c r="L46" i="101"/>
  <c r="J46" i="101"/>
  <c r="H46" i="101"/>
  <c r="F46" i="101"/>
  <c r="D46" i="101"/>
  <c r="AU45" i="101"/>
  <c r="AM45" i="101"/>
  <c r="AA45" i="101"/>
  <c r="E45" i="101"/>
  <c r="AU44" i="101"/>
  <c r="AQ44" i="101"/>
  <c r="AO44" i="101"/>
  <c r="AM44" i="101"/>
  <c r="AK44" i="101"/>
  <c r="AI44" i="101"/>
  <c r="AG44" i="101"/>
  <c r="AE44" i="101"/>
  <c r="AC44" i="101"/>
  <c r="Y44" i="101"/>
  <c r="W44" i="101"/>
  <c r="S44" i="101"/>
  <c r="Q44" i="101"/>
  <c r="O44" i="101"/>
  <c r="K44" i="101"/>
  <c r="G44" i="101"/>
  <c r="E44" i="101"/>
  <c r="C44" i="101"/>
  <c r="AU43" i="101"/>
  <c r="AQ43" i="101"/>
  <c r="AM43" i="101"/>
  <c r="AK43" i="101"/>
  <c r="AI43" i="101"/>
  <c r="U43" i="101"/>
  <c r="Q43" i="101"/>
  <c r="O43" i="101"/>
  <c r="K43" i="101"/>
  <c r="G43" i="101"/>
  <c r="E43" i="101"/>
  <c r="C43" i="101"/>
  <c r="AU42" i="101"/>
  <c r="AQ42" i="101"/>
  <c r="AO42" i="101"/>
  <c r="AM42" i="101"/>
  <c r="AK42" i="101"/>
  <c r="AI42" i="101"/>
  <c r="AG42" i="101"/>
  <c r="AA42" i="101"/>
  <c r="Y42" i="101"/>
  <c r="W42" i="101"/>
  <c r="U42" i="101"/>
  <c r="S42" i="101"/>
  <c r="Q42" i="101"/>
  <c r="O42" i="101"/>
  <c r="M42" i="101"/>
  <c r="K42" i="101"/>
  <c r="I42" i="101"/>
  <c r="G42" i="101"/>
  <c r="E42" i="101"/>
  <c r="C42" i="101"/>
  <c r="AU41" i="101"/>
  <c r="AQ41" i="101"/>
  <c r="AO41" i="101"/>
  <c r="AM41" i="101"/>
  <c r="AK41" i="101"/>
  <c r="AI41" i="101"/>
  <c r="AG41" i="101"/>
  <c r="AE41" i="101"/>
  <c r="AC41" i="101"/>
  <c r="Y41" i="101"/>
  <c r="W41" i="101"/>
  <c r="S41" i="101"/>
  <c r="Q41" i="101"/>
  <c r="O41" i="101"/>
  <c r="K41" i="101"/>
  <c r="G41" i="101"/>
  <c r="E41" i="101"/>
  <c r="C41" i="101"/>
  <c r="AU40" i="101"/>
  <c r="AQ40" i="101"/>
  <c r="AO40" i="101"/>
  <c r="AM40" i="101"/>
  <c r="AK40" i="101"/>
  <c r="AI40" i="101"/>
  <c r="AG40" i="101"/>
  <c r="Y40" i="101"/>
  <c r="W40" i="101"/>
  <c r="S40" i="101"/>
  <c r="Q40" i="101"/>
  <c r="O40" i="101"/>
  <c r="M40" i="101"/>
  <c r="K40" i="101"/>
  <c r="G40" i="101"/>
  <c r="E40" i="101"/>
  <c r="C40" i="101"/>
  <c r="AU39" i="101"/>
  <c r="AQ39" i="101"/>
  <c r="AO39" i="101"/>
  <c r="AM39" i="101"/>
  <c r="AI39" i="101"/>
  <c r="I39" i="101"/>
  <c r="G39" i="101"/>
  <c r="E39" i="101"/>
  <c r="C39" i="101"/>
  <c r="AU38" i="101"/>
  <c r="AQ38" i="101"/>
  <c r="AO38" i="101"/>
  <c r="AM38" i="101"/>
  <c r="AK38" i="101"/>
  <c r="AI38" i="101"/>
  <c r="AG38" i="101"/>
  <c r="AE38" i="101"/>
  <c r="AC38" i="101"/>
  <c r="AC46" i="101" s="1"/>
  <c r="Y38" i="101"/>
  <c r="W38" i="101"/>
  <c r="S38" i="101"/>
  <c r="Q38" i="101"/>
  <c r="O38" i="101"/>
  <c r="M38" i="101"/>
  <c r="K38" i="101"/>
  <c r="I38" i="101"/>
  <c r="G38" i="101"/>
  <c r="E38" i="101"/>
  <c r="C38" i="101"/>
  <c r="AU37" i="101"/>
  <c r="AQ37" i="101"/>
  <c r="AO37" i="101"/>
  <c r="AM37" i="101"/>
  <c r="AK37" i="101"/>
  <c r="AI37" i="101"/>
  <c r="AG37" i="101"/>
  <c r="AE37" i="101"/>
  <c r="AE46" i="101" s="1"/>
  <c r="Y37" i="101"/>
  <c r="W37" i="101"/>
  <c r="S37" i="101"/>
  <c r="Q37" i="101"/>
  <c r="O37" i="101"/>
  <c r="M37" i="101"/>
  <c r="K37" i="101"/>
  <c r="I37" i="101"/>
  <c r="G37" i="101"/>
  <c r="E37" i="101"/>
  <c r="C37" i="101"/>
  <c r="AU36" i="101"/>
  <c r="AQ36" i="101"/>
  <c r="AO36" i="101"/>
  <c r="AO46" i="101" s="1"/>
  <c r="AM36" i="101"/>
  <c r="AK36" i="101"/>
  <c r="AK46" i="101" s="1"/>
  <c r="AI36" i="101"/>
  <c r="AG36" i="101"/>
  <c r="AG46" i="101" s="1"/>
  <c r="Y36" i="101"/>
  <c r="W36" i="101"/>
  <c r="W46" i="101" s="1"/>
  <c r="S36" i="101"/>
  <c r="Q36" i="101"/>
  <c r="O36" i="101"/>
  <c r="M36" i="101"/>
  <c r="M46" i="101" s="1"/>
  <c r="K36" i="101"/>
  <c r="I36" i="101"/>
  <c r="G36" i="101"/>
  <c r="E36" i="101"/>
  <c r="E46" i="101" s="1"/>
  <c r="C36" i="101"/>
  <c r="B34" i="101"/>
  <c r="AR32" i="101"/>
  <c r="AP32" i="101"/>
  <c r="AN32" i="101"/>
  <c r="AL32" i="101"/>
  <c r="AJ32" i="101"/>
  <c r="AH32" i="101"/>
  <c r="AF32" i="101"/>
  <c r="AD32" i="101"/>
  <c r="AC32" i="101"/>
  <c r="AB32" i="101"/>
  <c r="Z32" i="101"/>
  <c r="X32" i="101"/>
  <c r="V32" i="101"/>
  <c r="T32" i="101"/>
  <c r="R32" i="101"/>
  <c r="P32" i="101"/>
  <c r="N32" i="101"/>
  <c r="L32" i="101"/>
  <c r="J32" i="101"/>
  <c r="H32" i="101"/>
  <c r="F32" i="101"/>
  <c r="D32" i="101"/>
  <c r="AU31" i="101"/>
  <c r="AM31" i="101"/>
  <c r="AA31" i="101"/>
  <c r="E31" i="101"/>
  <c r="AU30" i="101"/>
  <c r="AQ30" i="101"/>
  <c r="AO30" i="101"/>
  <c r="AM30" i="101"/>
  <c r="AK30" i="101"/>
  <c r="AI30" i="101"/>
  <c r="AG30" i="101"/>
  <c r="AE30" i="101"/>
  <c r="AC30" i="101"/>
  <c r="Y30" i="101"/>
  <c r="W30" i="101"/>
  <c r="S30" i="101"/>
  <c r="Q30" i="101"/>
  <c r="O30" i="101"/>
  <c r="K30" i="101"/>
  <c r="G30" i="101"/>
  <c r="E30" i="101"/>
  <c r="C30" i="101"/>
  <c r="AU29" i="101"/>
  <c r="AQ29" i="101"/>
  <c r="AM29" i="101"/>
  <c r="AK29" i="101"/>
  <c r="AI29" i="101"/>
  <c r="U29" i="101"/>
  <c r="Q29" i="101"/>
  <c r="O29" i="101"/>
  <c r="K29" i="101"/>
  <c r="G29" i="101"/>
  <c r="E29" i="101"/>
  <c r="C29" i="101"/>
  <c r="AU28" i="101"/>
  <c r="AQ28" i="101"/>
  <c r="AO28" i="101"/>
  <c r="AM28" i="101"/>
  <c r="AK28" i="101"/>
  <c r="AI28" i="101"/>
  <c r="AG28" i="101"/>
  <c r="AA28" i="101"/>
  <c r="Y28" i="101"/>
  <c r="W28" i="101"/>
  <c r="U28" i="101"/>
  <c r="U32" i="101" s="1"/>
  <c r="S28" i="101"/>
  <c r="Q28" i="101"/>
  <c r="O28" i="101"/>
  <c r="M28" i="101"/>
  <c r="K28" i="101"/>
  <c r="I28" i="101"/>
  <c r="G28" i="101"/>
  <c r="E28" i="101"/>
  <c r="C28" i="101"/>
  <c r="AU27" i="101"/>
  <c r="AQ27" i="101"/>
  <c r="AO27" i="101"/>
  <c r="AM27" i="101"/>
  <c r="AK27" i="101"/>
  <c r="AI27" i="101"/>
  <c r="AG27" i="101"/>
  <c r="AE27" i="101"/>
  <c r="AC27" i="101"/>
  <c r="Y27" i="101"/>
  <c r="W27" i="101"/>
  <c r="S27" i="101"/>
  <c r="Q27" i="101"/>
  <c r="O27" i="101"/>
  <c r="K27" i="101"/>
  <c r="G27" i="101"/>
  <c r="E27" i="101"/>
  <c r="C27" i="101"/>
  <c r="AU26" i="101"/>
  <c r="AQ26" i="101"/>
  <c r="AO26" i="101"/>
  <c r="AM26" i="101"/>
  <c r="AK26" i="101"/>
  <c r="AI26" i="101"/>
  <c r="AG26" i="101"/>
  <c r="Y26" i="101"/>
  <c r="W26" i="101"/>
  <c r="S26" i="101"/>
  <c r="Q26" i="101"/>
  <c r="O26" i="101"/>
  <c r="M26" i="101"/>
  <c r="K26" i="101"/>
  <c r="G26" i="101"/>
  <c r="E26" i="101"/>
  <c r="C26" i="101"/>
  <c r="AU25" i="101"/>
  <c r="AQ25" i="101"/>
  <c r="AO25" i="101"/>
  <c r="AM25" i="101"/>
  <c r="AI25" i="101"/>
  <c r="I25" i="101"/>
  <c r="G25" i="101"/>
  <c r="E25" i="101"/>
  <c r="C25" i="101"/>
  <c r="AU24" i="101"/>
  <c r="AQ24" i="101"/>
  <c r="AO24" i="101"/>
  <c r="AM24" i="101"/>
  <c r="AK24" i="101"/>
  <c r="AI24" i="101"/>
  <c r="AG24" i="101"/>
  <c r="AE24" i="101"/>
  <c r="AC24" i="101"/>
  <c r="Y24" i="101"/>
  <c r="W24" i="101"/>
  <c r="S24" i="101"/>
  <c r="Q24" i="101"/>
  <c r="O24" i="101"/>
  <c r="M24" i="101"/>
  <c r="K24" i="101"/>
  <c r="I24" i="101"/>
  <c r="G24" i="101"/>
  <c r="E24" i="101"/>
  <c r="C24" i="101"/>
  <c r="AU23" i="101"/>
  <c r="AQ23" i="101"/>
  <c r="AO23" i="101"/>
  <c r="AM23" i="101"/>
  <c r="AK23" i="101"/>
  <c r="AI23" i="101"/>
  <c r="AG23" i="101"/>
  <c r="AE23" i="101"/>
  <c r="Y23" i="101"/>
  <c r="W23" i="101"/>
  <c r="S23" i="101"/>
  <c r="Q23" i="101"/>
  <c r="O23" i="101"/>
  <c r="M23" i="101"/>
  <c r="K23" i="101"/>
  <c r="I23" i="101"/>
  <c r="G23" i="101"/>
  <c r="E23" i="101"/>
  <c r="C23" i="101"/>
  <c r="AU22" i="101"/>
  <c r="AQ22" i="101"/>
  <c r="AO22" i="101"/>
  <c r="AO32" i="101" s="1"/>
  <c r="AM22" i="101"/>
  <c r="AK22" i="101"/>
  <c r="AK32" i="101" s="1"/>
  <c r="AI22" i="101"/>
  <c r="AG22" i="101"/>
  <c r="AG32" i="101" s="1"/>
  <c r="Y22" i="101"/>
  <c r="W22" i="101"/>
  <c r="S22" i="101"/>
  <c r="Q22" i="101"/>
  <c r="Q32" i="101" s="1"/>
  <c r="O22" i="101"/>
  <c r="M22" i="101"/>
  <c r="M32" i="101" s="1"/>
  <c r="K22" i="101"/>
  <c r="I22" i="101"/>
  <c r="I32" i="101" s="1"/>
  <c r="G22" i="101"/>
  <c r="E22" i="101"/>
  <c r="C22" i="101"/>
  <c r="B20" i="101"/>
  <c r="AR18" i="101"/>
  <c r="AP18" i="101"/>
  <c r="AN18" i="101"/>
  <c r="AL18" i="101"/>
  <c r="AJ18" i="101"/>
  <c r="AH18" i="101"/>
  <c r="AF18" i="101"/>
  <c r="AD18" i="101"/>
  <c r="AB18" i="101"/>
  <c r="Z18" i="101"/>
  <c r="X18" i="101"/>
  <c r="V18" i="101"/>
  <c r="T18" i="101"/>
  <c r="R18" i="101"/>
  <c r="P18" i="101"/>
  <c r="N18" i="101"/>
  <c r="L18" i="101"/>
  <c r="J18" i="101"/>
  <c r="H18" i="101"/>
  <c r="F18" i="101"/>
  <c r="D18" i="101"/>
  <c r="AU17" i="101"/>
  <c r="AA17" i="101"/>
  <c r="AS17" i="101" s="1"/>
  <c r="E17" i="101"/>
  <c r="AU16" i="101"/>
  <c r="AQ16" i="101"/>
  <c r="AO16" i="101"/>
  <c r="AM16" i="101"/>
  <c r="AK16" i="101"/>
  <c r="AI16" i="101"/>
  <c r="AG16" i="101"/>
  <c r="AE16" i="101"/>
  <c r="AC16" i="101"/>
  <c r="Y16" i="101"/>
  <c r="W16" i="101"/>
  <c r="S16" i="101"/>
  <c r="Q16" i="101"/>
  <c r="O16" i="101"/>
  <c r="K16" i="101"/>
  <c r="G16" i="101"/>
  <c r="E16" i="101"/>
  <c r="C16" i="101"/>
  <c r="AU15" i="101"/>
  <c r="AQ15" i="101"/>
  <c r="AM15" i="101"/>
  <c r="AK15" i="101"/>
  <c r="AI15" i="101"/>
  <c r="U15" i="101"/>
  <c r="Q15" i="101"/>
  <c r="O15" i="101"/>
  <c r="K15" i="101"/>
  <c r="G15" i="101"/>
  <c r="E15" i="101"/>
  <c r="C15" i="101"/>
  <c r="AU14" i="101"/>
  <c r="AQ14" i="101"/>
  <c r="AO14" i="101"/>
  <c r="AM14" i="101"/>
  <c r="AK14" i="101"/>
  <c r="AI14" i="101"/>
  <c r="AG14" i="101"/>
  <c r="AA14" i="101"/>
  <c r="Y14" i="101"/>
  <c r="W14" i="101"/>
  <c r="U14" i="101"/>
  <c r="U18" i="101" s="1"/>
  <c r="S14" i="101"/>
  <c r="Q14" i="101"/>
  <c r="O14" i="101"/>
  <c r="M14" i="101"/>
  <c r="K14" i="101"/>
  <c r="I14" i="101"/>
  <c r="G14" i="101"/>
  <c r="E14" i="101"/>
  <c r="C14" i="101"/>
  <c r="AU13" i="101"/>
  <c r="AQ13" i="101"/>
  <c r="AO13" i="101"/>
  <c r="AM13" i="101"/>
  <c r="AK13" i="101"/>
  <c r="AI13" i="101"/>
  <c r="AG13" i="101"/>
  <c r="AE13" i="101"/>
  <c r="AC13" i="101"/>
  <c r="Y13" i="101"/>
  <c r="W13" i="101"/>
  <c r="S13" i="101"/>
  <c r="Q13" i="101"/>
  <c r="O13" i="101"/>
  <c r="K13" i="101"/>
  <c r="G13" i="101"/>
  <c r="E13" i="101"/>
  <c r="C13" i="101"/>
  <c r="AU12" i="101"/>
  <c r="AQ12" i="101"/>
  <c r="AO12" i="101"/>
  <c r="AM12" i="101"/>
  <c r="AK12" i="101"/>
  <c r="AI12" i="101"/>
  <c r="AG12" i="101"/>
  <c r="Y12" i="101"/>
  <c r="W12" i="101"/>
  <c r="S12" i="101"/>
  <c r="Q12" i="101"/>
  <c r="O12" i="101"/>
  <c r="M12" i="101"/>
  <c r="K12" i="101"/>
  <c r="G12" i="101"/>
  <c r="E12" i="101"/>
  <c r="C12" i="101"/>
  <c r="AU11" i="101"/>
  <c r="AQ11" i="101"/>
  <c r="AO11" i="101"/>
  <c r="AM11" i="101"/>
  <c r="AI11" i="101"/>
  <c r="I11" i="101"/>
  <c r="G11" i="101"/>
  <c r="E11" i="101"/>
  <c r="C11" i="101"/>
  <c r="AU10" i="101"/>
  <c r="AQ10" i="101"/>
  <c r="AO10" i="101"/>
  <c r="AM10" i="101"/>
  <c r="AK10" i="101"/>
  <c r="AI10" i="101"/>
  <c r="AG10" i="101"/>
  <c r="AE10" i="101"/>
  <c r="AC10" i="101"/>
  <c r="Y10" i="101"/>
  <c r="W10" i="101"/>
  <c r="S10" i="101"/>
  <c r="Q10" i="101"/>
  <c r="O10" i="101"/>
  <c r="M10" i="101"/>
  <c r="K10" i="101"/>
  <c r="I10" i="101"/>
  <c r="G10" i="101"/>
  <c r="E10" i="101"/>
  <c r="C10" i="101"/>
  <c r="AU9" i="101"/>
  <c r="AQ9" i="101"/>
  <c r="AO9" i="101"/>
  <c r="AM9" i="101"/>
  <c r="AK9" i="101"/>
  <c r="AI9" i="101"/>
  <c r="AG9" i="101"/>
  <c r="AE9" i="101"/>
  <c r="AE18" i="101" s="1"/>
  <c r="Y9" i="101"/>
  <c r="W9" i="101"/>
  <c r="S9" i="101"/>
  <c r="Q9" i="101"/>
  <c r="O9" i="101"/>
  <c r="M9" i="101"/>
  <c r="K9" i="101"/>
  <c r="I9" i="101"/>
  <c r="G9" i="101"/>
  <c r="E9" i="101"/>
  <c r="C9" i="101"/>
  <c r="AU8" i="101"/>
  <c r="AQ8" i="101"/>
  <c r="AO8" i="101"/>
  <c r="AO18" i="101" s="1"/>
  <c r="AM8" i="101"/>
  <c r="AK8" i="101"/>
  <c r="AI8" i="101"/>
  <c r="AG8" i="101"/>
  <c r="AG18" i="101" s="1"/>
  <c r="Y8" i="101"/>
  <c r="W8" i="101"/>
  <c r="S8" i="101"/>
  <c r="Q8" i="101"/>
  <c r="Q18" i="101" s="1"/>
  <c r="O8" i="101"/>
  <c r="M8" i="101"/>
  <c r="K8" i="101"/>
  <c r="I8" i="101"/>
  <c r="I18" i="101" s="1"/>
  <c r="G8" i="101"/>
  <c r="E8" i="101"/>
  <c r="C8" i="101"/>
  <c r="B6" i="101"/>
  <c r="K79" i="100"/>
  <c r="J79" i="100"/>
  <c r="G79" i="100"/>
  <c r="F79" i="100"/>
  <c r="C79" i="100"/>
  <c r="B79" i="100"/>
  <c r="L9" i="100"/>
  <c r="W9" i="100" s="1"/>
  <c r="H9" i="100"/>
  <c r="V9" i="100" s="1"/>
  <c r="D9" i="100"/>
  <c r="U9" i="100" s="1"/>
  <c r="L8" i="100"/>
  <c r="W8" i="100" s="1"/>
  <c r="H8" i="100"/>
  <c r="V8" i="100" s="1"/>
  <c r="D8" i="100"/>
  <c r="U8" i="100" s="1"/>
  <c r="L7" i="100"/>
  <c r="W7" i="100" s="1"/>
  <c r="H7" i="100"/>
  <c r="V7" i="100" s="1"/>
  <c r="D7" i="100"/>
  <c r="U7" i="100" s="1"/>
  <c r="L6" i="100"/>
  <c r="W6" i="100" s="1"/>
  <c r="H6" i="100"/>
  <c r="V6" i="100" s="1"/>
  <c r="D6" i="100"/>
  <c r="U6" i="100" s="1"/>
  <c r="W5" i="100"/>
  <c r="V5" i="100"/>
  <c r="U5" i="100"/>
  <c r="J4" i="100"/>
  <c r="F4" i="100"/>
  <c r="B4" i="100"/>
  <c r="F1" i="100"/>
  <c r="B18" i="99"/>
  <c r="A31" i="96" s="1"/>
  <c r="B10" i="99"/>
  <c r="A6" i="50" s="1"/>
  <c r="B7" i="99"/>
  <c r="A6" i="5" s="1"/>
  <c r="R1" i="99"/>
  <c r="P1" i="99"/>
  <c r="C52" i="97"/>
  <c r="C51" i="97"/>
  <c r="C50" i="97"/>
  <c r="C49" i="97"/>
  <c r="C48" i="97"/>
  <c r="C47" i="97"/>
  <c r="C41" i="97"/>
  <c r="C40" i="97"/>
  <c r="C39" i="97"/>
  <c r="C38" i="97"/>
  <c r="C37" i="97"/>
  <c r="C36" i="97"/>
  <c r="C35" i="97"/>
  <c r="C34" i="97"/>
  <c r="C33" i="97"/>
  <c r="C31" i="97"/>
  <c r="C30" i="97"/>
  <c r="C29" i="97"/>
  <c r="C28" i="97"/>
  <c r="C27" i="97"/>
  <c r="C26" i="97"/>
  <c r="C25" i="97"/>
  <c r="C24" i="97"/>
  <c r="C23" i="97"/>
  <c r="C22" i="97"/>
  <c r="C21" i="97"/>
  <c r="C20" i="97"/>
  <c r="C19" i="97"/>
  <c r="C18" i="97"/>
  <c r="C17" i="97"/>
  <c r="C16" i="97"/>
  <c r="C15" i="97"/>
  <c r="C14" i="97"/>
  <c r="C13" i="97"/>
  <c r="C12" i="97"/>
  <c r="C11" i="97"/>
  <c r="C10" i="97"/>
  <c r="C9" i="97"/>
  <c r="C8" i="97"/>
  <c r="C7" i="97"/>
  <c r="E6" i="97"/>
  <c r="D6" i="97"/>
  <c r="C6" i="97"/>
  <c r="A2" i="97"/>
  <c r="E1" i="97"/>
  <c r="E40" i="96"/>
  <c r="B40" i="96"/>
  <c r="A29" i="96"/>
  <c r="A14" i="96"/>
  <c r="E3" i="96"/>
  <c r="B1" i="96"/>
  <c r="G37" i="95"/>
  <c r="G36" i="95"/>
  <c r="G35" i="95"/>
  <c r="G34" i="95"/>
  <c r="G33" i="95"/>
  <c r="G32" i="95"/>
  <c r="G31" i="95"/>
  <c r="G30" i="95"/>
  <c r="G29" i="95"/>
  <c r="G28" i="95"/>
  <c r="G27" i="95"/>
  <c r="G26" i="95"/>
  <c r="G25" i="95"/>
  <c r="G24" i="95"/>
  <c r="G23" i="95"/>
  <c r="G22" i="95"/>
  <c r="G21" i="95"/>
  <c r="G20" i="95"/>
  <c r="G19" i="95"/>
  <c r="G18" i="95"/>
  <c r="G17" i="95"/>
  <c r="G16" i="95"/>
  <c r="G15" i="95"/>
  <c r="G14" i="95"/>
  <c r="G13" i="95"/>
  <c r="G12" i="95"/>
  <c r="G11" i="95"/>
  <c r="G8" i="95"/>
  <c r="F8" i="95"/>
  <c r="E8" i="95"/>
  <c r="D8" i="95"/>
  <c r="C8" i="95"/>
  <c r="E2" i="95"/>
  <c r="A30" i="94"/>
  <c r="A6" i="94"/>
  <c r="A2" i="94"/>
  <c r="I1" i="94"/>
  <c r="A51" i="93"/>
  <c r="A48" i="94" s="1"/>
  <c r="A40" i="93"/>
  <c r="A37" i="94" s="1"/>
  <c r="A25" i="93"/>
  <c r="A14" i="93"/>
  <c r="A7" i="93"/>
  <c r="A34" i="93" s="1"/>
  <c r="A2" i="93"/>
  <c r="I1" i="93"/>
  <c r="E18" i="93" s="1"/>
  <c r="F24" i="92"/>
  <c r="C24" i="92"/>
  <c r="F19" i="92"/>
  <c r="C19" i="92"/>
  <c r="F14" i="92"/>
  <c r="C14" i="92"/>
  <c r="F1" i="92"/>
  <c r="B1" i="92"/>
  <c r="B32" i="91"/>
  <c r="B27" i="91"/>
  <c r="H20" i="91"/>
  <c r="E16" i="17" s="1"/>
  <c r="E20" i="91"/>
  <c r="B19" i="91"/>
  <c r="H14" i="91"/>
  <c r="E15" i="17" s="1"/>
  <c r="E14" i="91"/>
  <c r="B13" i="91"/>
  <c r="A9" i="91"/>
  <c r="B2" i="91"/>
  <c r="H1" i="91"/>
  <c r="H25" i="91" s="1"/>
  <c r="B101" i="90"/>
  <c r="B96" i="90"/>
  <c r="P74" i="90"/>
  <c r="D73" i="90"/>
  <c r="A70" i="90"/>
  <c r="A69" i="90"/>
  <c r="A66" i="90"/>
  <c r="A59" i="90"/>
  <c r="B44" i="90"/>
  <c r="B39" i="90"/>
  <c r="W35" i="90"/>
  <c r="J35" i="90" s="1"/>
  <c r="D35" i="90"/>
  <c r="F35" i="90" s="1"/>
  <c r="N35" i="90" s="1"/>
  <c r="W34" i="90"/>
  <c r="J34" i="90" s="1"/>
  <c r="D34" i="90"/>
  <c r="F34" i="90" s="1"/>
  <c r="N34" i="90" s="1"/>
  <c r="W33" i="90"/>
  <c r="J33" i="90" s="1"/>
  <c r="D33" i="90"/>
  <c r="F33" i="90" s="1"/>
  <c r="N33" i="90" s="1"/>
  <c r="W32" i="90"/>
  <c r="J32" i="90"/>
  <c r="D32" i="90"/>
  <c r="F32" i="90" s="1"/>
  <c r="N32" i="90" s="1"/>
  <c r="W31" i="90"/>
  <c r="J31" i="90" s="1"/>
  <c r="D31" i="90"/>
  <c r="F31" i="90" s="1"/>
  <c r="N31" i="90" s="1"/>
  <c r="W30" i="90"/>
  <c r="J30" i="90" s="1"/>
  <c r="D30" i="90"/>
  <c r="F30" i="90" s="1"/>
  <c r="N30" i="90" s="1"/>
  <c r="W29" i="90"/>
  <c r="J29" i="90" s="1"/>
  <c r="D29" i="90"/>
  <c r="F29" i="90" s="1"/>
  <c r="N29" i="90" s="1"/>
  <c r="W28" i="90"/>
  <c r="J28" i="90" s="1"/>
  <c r="D28" i="90"/>
  <c r="F28" i="90" s="1"/>
  <c r="N28" i="90" s="1"/>
  <c r="W27" i="90"/>
  <c r="J27" i="90" s="1"/>
  <c r="F27" i="90"/>
  <c r="N27" i="90" s="1"/>
  <c r="D27" i="90"/>
  <c r="W26" i="90"/>
  <c r="J26" i="90" s="1"/>
  <c r="D26" i="90"/>
  <c r="F26" i="90" s="1"/>
  <c r="N26" i="90" s="1"/>
  <c r="W25" i="90"/>
  <c r="D25" i="90"/>
  <c r="W24" i="90"/>
  <c r="J24" i="90" s="1"/>
  <c r="F24" i="90"/>
  <c r="N24" i="90" s="1"/>
  <c r="D24" i="90"/>
  <c r="W23" i="90"/>
  <c r="J23" i="90" s="1"/>
  <c r="D23" i="90"/>
  <c r="F23" i="90" s="1"/>
  <c r="N23" i="90" s="1"/>
  <c r="W22" i="90"/>
  <c r="D22" i="90"/>
  <c r="W21" i="90"/>
  <c r="J21" i="90" s="1"/>
  <c r="D21" i="90"/>
  <c r="F21" i="90" s="1"/>
  <c r="N21" i="90" s="1"/>
  <c r="W20" i="90"/>
  <c r="D20" i="90"/>
  <c r="W19" i="90"/>
  <c r="J19" i="90" s="1"/>
  <c r="D19" i="90"/>
  <c r="F19" i="90" s="1"/>
  <c r="N19" i="90" s="1"/>
  <c r="W18" i="90"/>
  <c r="D18" i="90"/>
  <c r="D15" i="90"/>
  <c r="A12" i="90"/>
  <c r="A11" i="90"/>
  <c r="A8" i="90"/>
  <c r="A5" i="90"/>
  <c r="A62" i="90" s="1"/>
  <c r="N4" i="90"/>
  <c r="N59" i="90" s="1"/>
  <c r="B2" i="90"/>
  <c r="B59" i="90" s="1"/>
  <c r="J45" i="89"/>
  <c r="C42" i="89"/>
  <c r="E41" i="89"/>
  <c r="J41" i="89" s="1"/>
  <c r="I40" i="89"/>
  <c r="E40" i="89"/>
  <c r="C36" i="89"/>
  <c r="J35" i="89"/>
  <c r="I35" i="89"/>
  <c r="I34" i="89"/>
  <c r="E34" i="89"/>
  <c r="J34" i="89" s="1"/>
  <c r="E33" i="89"/>
  <c r="J33" i="89" s="1"/>
  <c r="I32" i="89"/>
  <c r="J32" i="89" s="1"/>
  <c r="E32" i="89"/>
  <c r="J31" i="89"/>
  <c r="I31" i="89"/>
  <c r="E31" i="89"/>
  <c r="I30" i="89"/>
  <c r="E30" i="89"/>
  <c r="J30" i="89" s="1"/>
  <c r="C27" i="89"/>
  <c r="I26" i="89"/>
  <c r="J26" i="89" s="1"/>
  <c r="I25" i="89"/>
  <c r="E25" i="89"/>
  <c r="J25" i="89" s="1"/>
  <c r="E24" i="89"/>
  <c r="J24" i="89" s="1"/>
  <c r="I23" i="89"/>
  <c r="E23" i="89"/>
  <c r="I22" i="89"/>
  <c r="E22" i="89"/>
  <c r="I21" i="89"/>
  <c r="E21" i="89"/>
  <c r="C18" i="89"/>
  <c r="I17" i="89"/>
  <c r="I16" i="89"/>
  <c r="G16" i="89"/>
  <c r="E16" i="89"/>
  <c r="G15" i="89"/>
  <c r="E15" i="89"/>
  <c r="I14" i="89"/>
  <c r="G14" i="89"/>
  <c r="E14" i="89"/>
  <c r="I13" i="89"/>
  <c r="G13" i="89"/>
  <c r="E13" i="89"/>
  <c r="I12" i="89"/>
  <c r="G12" i="89"/>
  <c r="E12" i="89"/>
  <c r="J8" i="89"/>
  <c r="A4" i="89"/>
  <c r="A3" i="89"/>
  <c r="J1" i="89"/>
  <c r="A23" i="88"/>
  <c r="A20" i="88"/>
  <c r="H15" i="88"/>
  <c r="A6" i="88"/>
  <c r="A3" i="88"/>
  <c r="J1" i="88"/>
  <c r="E21" i="88" s="1"/>
  <c r="A94" i="87"/>
  <c r="I92" i="87"/>
  <c r="A92" i="87"/>
  <c r="C88" i="87"/>
  <c r="A87" i="87"/>
  <c r="I85" i="87"/>
  <c r="C89" i="87" s="1"/>
  <c r="A85" i="87"/>
  <c r="D75" i="87"/>
  <c r="D69" i="87"/>
  <c r="D68" i="87"/>
  <c r="D67" i="87"/>
  <c r="D63" i="87"/>
  <c r="I51" i="87"/>
  <c r="L51" i="87" s="1"/>
  <c r="I47" i="87"/>
  <c r="L47" i="87" s="1"/>
  <c r="I43" i="87"/>
  <c r="L43" i="87" s="1"/>
  <c r="E28" i="87"/>
  <c r="D25" i="87"/>
  <c r="G25" i="87" s="1"/>
  <c r="R23" i="87"/>
  <c r="R20" i="87"/>
  <c r="B18" i="87"/>
  <c r="D15" i="87"/>
  <c r="C15" i="87"/>
  <c r="A15" i="87"/>
  <c r="C11" i="87"/>
  <c r="G11" i="87" s="1"/>
  <c r="C10" i="87"/>
  <c r="G10" i="87" s="1"/>
  <c r="C9" i="87"/>
  <c r="G9" i="87" s="1"/>
  <c r="A8" i="87"/>
  <c r="A3" i="87"/>
  <c r="O1" i="87"/>
  <c r="B25" i="86"/>
  <c r="B23" i="86"/>
  <c r="C17" i="86"/>
  <c r="C16" i="86"/>
  <c r="C15" i="86"/>
  <c r="C14" i="86"/>
  <c r="C13" i="86"/>
  <c r="C12" i="86"/>
  <c r="C11" i="86"/>
  <c r="C10" i="86"/>
  <c r="C9" i="86"/>
  <c r="C8" i="86"/>
  <c r="C7" i="86"/>
  <c r="D1" i="86"/>
  <c r="A60" i="85"/>
  <c r="B58" i="85"/>
  <c r="A53" i="85"/>
  <c r="A50" i="85"/>
  <c r="G48" i="85"/>
  <c r="G50" i="85" s="1"/>
  <c r="G44" i="85"/>
  <c r="A17" i="85"/>
  <c r="G13" i="85"/>
  <c r="G15" i="85" s="1"/>
  <c r="G17" i="85" s="1"/>
  <c r="A6" i="85"/>
  <c r="G4" i="85"/>
  <c r="A2" i="85"/>
  <c r="B1042" i="84"/>
  <c r="M1039" i="84"/>
  <c r="K1039" i="84"/>
  <c r="I1039" i="84"/>
  <c r="G1039" i="84"/>
  <c r="E1039" i="84"/>
  <c r="B1039" i="84"/>
  <c r="K1019" i="84"/>
  <c r="K1038" i="84" s="1"/>
  <c r="I1019" i="84"/>
  <c r="I1031" i="84" s="1"/>
  <c r="I1034" i="84" s="1"/>
  <c r="C1019" i="84"/>
  <c r="M1004" i="84"/>
  <c r="B1001" i="84"/>
  <c r="M998" i="84"/>
  <c r="K998" i="84"/>
  <c r="I998" i="84"/>
  <c r="G998" i="84"/>
  <c r="E998" i="84"/>
  <c r="B998" i="84"/>
  <c r="M977" i="84"/>
  <c r="E977" i="84"/>
  <c r="E996" i="84" s="1"/>
  <c r="C977" i="84"/>
  <c r="K977" i="84" s="1"/>
  <c r="M963" i="84"/>
  <c r="B960" i="84"/>
  <c r="K957" i="84"/>
  <c r="I957" i="84"/>
  <c r="G957" i="84"/>
  <c r="E957" i="84"/>
  <c r="B957" i="84"/>
  <c r="K951" i="84"/>
  <c r="I936" i="84"/>
  <c r="I948" i="84" s="1"/>
  <c r="I951" i="84" s="1"/>
  <c r="G936" i="84"/>
  <c r="G955" i="84" s="1"/>
  <c r="E936" i="84"/>
  <c r="C936" i="84"/>
  <c r="K936" i="84" s="1"/>
  <c r="K948" i="84" s="1"/>
  <c r="M922" i="84"/>
  <c r="B918" i="84"/>
  <c r="M915" i="84"/>
  <c r="K915" i="84"/>
  <c r="I915" i="84"/>
  <c r="G915" i="84"/>
  <c r="E915" i="84"/>
  <c r="B915" i="84"/>
  <c r="M914" i="84"/>
  <c r="I910" i="84"/>
  <c r="I907" i="84"/>
  <c r="M895" i="84"/>
  <c r="M907" i="84" s="1"/>
  <c r="M910" i="84" s="1"/>
  <c r="K895" i="84"/>
  <c r="I895" i="84"/>
  <c r="I914" i="84" s="1"/>
  <c r="G895" i="84"/>
  <c r="G907" i="84" s="1"/>
  <c r="G910" i="84" s="1"/>
  <c r="B876" i="84"/>
  <c r="M873" i="84"/>
  <c r="K873" i="84"/>
  <c r="I873" i="84"/>
  <c r="G873" i="84"/>
  <c r="E873" i="84"/>
  <c r="B873" i="84"/>
  <c r="M853" i="84"/>
  <c r="M872" i="84" s="1"/>
  <c r="I853" i="84"/>
  <c r="I872" i="84" s="1"/>
  <c r="E853" i="84"/>
  <c r="E872" i="84" s="1"/>
  <c r="C853" i="84"/>
  <c r="K853" i="84" s="1"/>
  <c r="K865" i="84" s="1"/>
  <c r="K868" i="84" s="1"/>
  <c r="M838" i="84"/>
  <c r="B835" i="84"/>
  <c r="M832" i="84"/>
  <c r="K832" i="84"/>
  <c r="I832" i="84"/>
  <c r="G832" i="84"/>
  <c r="E832" i="84"/>
  <c r="B832" i="84"/>
  <c r="G812" i="84"/>
  <c r="G831" i="84" s="1"/>
  <c r="C812" i="84"/>
  <c r="M812" i="84" s="1"/>
  <c r="M824" i="84" s="1"/>
  <c r="M827" i="84" s="1"/>
  <c r="M798" i="84"/>
  <c r="B794" i="84"/>
  <c r="K791" i="84"/>
  <c r="I791" i="84"/>
  <c r="G791" i="84"/>
  <c r="E791" i="84"/>
  <c r="B791" i="84"/>
  <c r="G771" i="84"/>
  <c r="C771" i="84"/>
  <c r="K771" i="84" s="1"/>
  <c r="K790" i="84" s="1"/>
  <c r="M757" i="84"/>
  <c r="B753" i="84"/>
  <c r="M743" i="84"/>
  <c r="K743" i="84"/>
  <c r="I743" i="84"/>
  <c r="G743" i="84"/>
  <c r="E743" i="84"/>
  <c r="B743" i="84"/>
  <c r="K742" i="84"/>
  <c r="K735" i="84"/>
  <c r="K738" i="84" s="1"/>
  <c r="M723" i="84"/>
  <c r="K723" i="84"/>
  <c r="I723" i="84"/>
  <c r="G723" i="84"/>
  <c r="G742" i="84" s="1"/>
  <c r="B704" i="84"/>
  <c r="M701" i="84"/>
  <c r="K701" i="84"/>
  <c r="I701" i="84"/>
  <c r="G701" i="84"/>
  <c r="E701" i="84"/>
  <c r="B701" i="84"/>
  <c r="C681" i="84"/>
  <c r="M666" i="84"/>
  <c r="B663" i="84"/>
  <c r="M660" i="84"/>
  <c r="K660" i="84"/>
  <c r="I660" i="84"/>
  <c r="G660" i="84"/>
  <c r="E660" i="84"/>
  <c r="B660" i="84"/>
  <c r="M639" i="84"/>
  <c r="M658" i="84" s="1"/>
  <c r="E639" i="84"/>
  <c r="E658" i="84" s="1"/>
  <c r="C639" i="84"/>
  <c r="K639" i="84" s="1"/>
  <c r="K651" i="84" s="1"/>
  <c r="K654" i="84" s="1"/>
  <c r="M625" i="84"/>
  <c r="B622" i="84"/>
  <c r="K619" i="84"/>
  <c r="I619" i="84"/>
  <c r="G619" i="84"/>
  <c r="E619" i="84"/>
  <c r="B619" i="84"/>
  <c r="C599" i="84"/>
  <c r="M585" i="84"/>
  <c r="B581" i="84"/>
  <c r="M571" i="84"/>
  <c r="K571" i="84"/>
  <c r="I571" i="84"/>
  <c r="G571" i="84"/>
  <c r="E571" i="84"/>
  <c r="B571" i="84"/>
  <c r="M563" i="84"/>
  <c r="M566" i="84" s="1"/>
  <c r="I563" i="84"/>
  <c r="I566" i="84" s="1"/>
  <c r="M551" i="84"/>
  <c r="M570" i="84" s="1"/>
  <c r="K551" i="84"/>
  <c r="K563" i="84" s="1"/>
  <c r="K566" i="84" s="1"/>
  <c r="I551" i="84"/>
  <c r="I570" i="84" s="1"/>
  <c r="G551" i="84"/>
  <c r="G563" i="84" s="1"/>
  <c r="G566" i="84" s="1"/>
  <c r="B532" i="84"/>
  <c r="M529" i="84"/>
  <c r="K529" i="84"/>
  <c r="I529" i="84"/>
  <c r="G529" i="84"/>
  <c r="E529" i="84"/>
  <c r="B529" i="84"/>
  <c r="C508" i="84"/>
  <c r="M493" i="84"/>
  <c r="B490" i="84"/>
  <c r="M487" i="84"/>
  <c r="K487" i="84"/>
  <c r="I487" i="84"/>
  <c r="G487" i="84"/>
  <c r="E487" i="84"/>
  <c r="B487" i="84"/>
  <c r="C466" i="84"/>
  <c r="M466" i="84" s="1"/>
  <c r="M452" i="84"/>
  <c r="B449" i="84"/>
  <c r="K442" i="84"/>
  <c r="I442" i="84"/>
  <c r="G442" i="84"/>
  <c r="E442" i="84"/>
  <c r="B442" i="84"/>
  <c r="C421" i="84"/>
  <c r="M407" i="84"/>
  <c r="B403" i="84"/>
  <c r="M393" i="84"/>
  <c r="K393" i="84"/>
  <c r="I393" i="84"/>
  <c r="G393" i="84"/>
  <c r="E393" i="84"/>
  <c r="B393" i="84"/>
  <c r="M373" i="84"/>
  <c r="M392" i="84" s="1"/>
  <c r="K373" i="84"/>
  <c r="I373" i="84"/>
  <c r="I385" i="84" s="1"/>
  <c r="I388" i="84" s="1"/>
  <c r="G373" i="84"/>
  <c r="G392" i="84" s="1"/>
  <c r="B354" i="84"/>
  <c r="M351" i="84"/>
  <c r="K351" i="84"/>
  <c r="I351" i="84"/>
  <c r="G351" i="84"/>
  <c r="E351" i="84"/>
  <c r="B351" i="84"/>
  <c r="C330" i="84"/>
  <c r="I330" i="84" s="1"/>
  <c r="B312" i="84"/>
  <c r="M309" i="84"/>
  <c r="K309" i="84"/>
  <c r="I309" i="84"/>
  <c r="G309" i="84"/>
  <c r="E309" i="84"/>
  <c r="B309" i="84"/>
  <c r="C288" i="84"/>
  <c r="K288" i="84" s="1"/>
  <c r="B271" i="84"/>
  <c r="K266" i="84"/>
  <c r="I266" i="84"/>
  <c r="G266" i="84"/>
  <c r="E266" i="84"/>
  <c r="B266" i="84"/>
  <c r="C245" i="84"/>
  <c r="E245" i="84" s="1"/>
  <c r="B227" i="84"/>
  <c r="M219" i="84"/>
  <c r="K219" i="84"/>
  <c r="I219" i="84"/>
  <c r="G219" i="84"/>
  <c r="E219" i="84"/>
  <c r="B219" i="84"/>
  <c r="M199" i="84"/>
  <c r="M211" i="84" s="1"/>
  <c r="M214" i="84" s="1"/>
  <c r="K199" i="84"/>
  <c r="K218" i="84" s="1"/>
  <c r="I199" i="84"/>
  <c r="I218" i="84" s="1"/>
  <c r="G199" i="84"/>
  <c r="G211" i="84" s="1"/>
  <c r="G214" i="84" s="1"/>
  <c r="M183" i="84"/>
  <c r="M273" i="84" s="1"/>
  <c r="B181" i="84"/>
  <c r="B178" i="84"/>
  <c r="M168" i="84"/>
  <c r="F29" i="7" s="1"/>
  <c r="K168" i="84"/>
  <c r="F27" i="7" s="1"/>
  <c r="I168" i="84"/>
  <c r="F23" i="7" s="1"/>
  <c r="G168" i="84"/>
  <c r="F25" i="7" s="1"/>
  <c r="E168" i="84"/>
  <c r="F15" i="7" s="1"/>
  <c r="M167" i="84"/>
  <c r="K167" i="84"/>
  <c r="I167" i="84"/>
  <c r="G167" i="84"/>
  <c r="E167" i="84"/>
  <c r="M165" i="84"/>
  <c r="K165" i="84"/>
  <c r="I165" i="84"/>
  <c r="G165" i="84"/>
  <c r="E165" i="84"/>
  <c r="M163" i="84"/>
  <c r="K163" i="84"/>
  <c r="I163" i="84"/>
  <c r="G163" i="84"/>
  <c r="E163" i="84"/>
  <c r="M161" i="84"/>
  <c r="K161" i="84"/>
  <c r="I161" i="84"/>
  <c r="G161" i="84"/>
  <c r="E161" i="84"/>
  <c r="M159" i="84"/>
  <c r="K159" i="84"/>
  <c r="I159" i="84"/>
  <c r="E23" i="7" s="1"/>
  <c r="G159" i="84"/>
  <c r="E159" i="84"/>
  <c r="C157" i="84"/>
  <c r="M155" i="84"/>
  <c r="C29" i="7" s="1"/>
  <c r="K155" i="84"/>
  <c r="C27" i="7" s="1"/>
  <c r="I155" i="84"/>
  <c r="G155" i="84"/>
  <c r="E155" i="84"/>
  <c r="C15" i="7" s="1"/>
  <c r="M153" i="84"/>
  <c r="K153" i="84"/>
  <c r="I153" i="84"/>
  <c r="G153" i="84"/>
  <c r="E153" i="84"/>
  <c r="M142" i="84"/>
  <c r="B139" i="84"/>
  <c r="B136" i="84"/>
  <c r="M126" i="84"/>
  <c r="F26" i="7" s="1"/>
  <c r="K126" i="84"/>
  <c r="F28" i="7" s="1"/>
  <c r="I126" i="84"/>
  <c r="F21" i="7" s="1"/>
  <c r="G126" i="84"/>
  <c r="F17" i="7" s="1"/>
  <c r="E126" i="84"/>
  <c r="F22" i="7" s="1"/>
  <c r="M125" i="84"/>
  <c r="K125" i="84"/>
  <c r="I125" i="84"/>
  <c r="G125" i="84"/>
  <c r="E125" i="84"/>
  <c r="M123" i="84"/>
  <c r="K123" i="84"/>
  <c r="I123" i="84"/>
  <c r="G123" i="84"/>
  <c r="E123" i="84"/>
  <c r="M121" i="84"/>
  <c r="K121" i="84"/>
  <c r="I121" i="84"/>
  <c r="G121" i="84"/>
  <c r="E121" i="84"/>
  <c r="M119" i="84"/>
  <c r="K119" i="84"/>
  <c r="I119" i="84"/>
  <c r="G119" i="84"/>
  <c r="E119" i="84"/>
  <c r="M117" i="84"/>
  <c r="E26" i="7" s="1"/>
  <c r="K117" i="84"/>
  <c r="I117" i="84"/>
  <c r="G117" i="84"/>
  <c r="E117" i="84"/>
  <c r="E22" i="7" s="1"/>
  <c r="C115" i="84"/>
  <c r="M113" i="84"/>
  <c r="K113" i="84"/>
  <c r="C28" i="7" s="1"/>
  <c r="I113" i="84"/>
  <c r="C21" i="7" s="1"/>
  <c r="G113" i="84"/>
  <c r="E113" i="84"/>
  <c r="C22" i="7" s="1"/>
  <c r="M111" i="84"/>
  <c r="K111" i="84"/>
  <c r="I111" i="84"/>
  <c r="G111" i="84"/>
  <c r="E111" i="84"/>
  <c r="M101" i="84"/>
  <c r="B97" i="84"/>
  <c r="B138" i="84" s="1"/>
  <c r="B94" i="84"/>
  <c r="G93" i="84"/>
  <c r="B93" i="84"/>
  <c r="G92" i="84"/>
  <c r="B92" i="84"/>
  <c r="K90" i="84"/>
  <c r="G90" i="84"/>
  <c r="B90" i="84"/>
  <c r="K89" i="84"/>
  <c r="B89" i="84"/>
  <c r="G88" i="84"/>
  <c r="B86" i="84"/>
  <c r="K77" i="84"/>
  <c r="F20" i="7" s="1"/>
  <c r="I77" i="84"/>
  <c r="F16" i="7" s="1"/>
  <c r="G77" i="84"/>
  <c r="F18" i="7" s="1"/>
  <c r="E77" i="84"/>
  <c r="F13" i="7" s="1"/>
  <c r="K76" i="84"/>
  <c r="I76" i="84"/>
  <c r="G76" i="84"/>
  <c r="E76" i="84"/>
  <c r="K74" i="84"/>
  <c r="I74" i="84"/>
  <c r="G74" i="84"/>
  <c r="E74" i="84"/>
  <c r="K72" i="84"/>
  <c r="I72" i="84"/>
  <c r="G72" i="84"/>
  <c r="E72" i="84"/>
  <c r="K70" i="84"/>
  <c r="I70" i="84"/>
  <c r="G70" i="84"/>
  <c r="E70" i="84"/>
  <c r="K68" i="84"/>
  <c r="E20" i="7" s="1"/>
  <c r="I68" i="84"/>
  <c r="E16" i="7" s="1"/>
  <c r="G68" i="84"/>
  <c r="E18" i="7" s="1"/>
  <c r="E68" i="84"/>
  <c r="E13" i="7" s="1"/>
  <c r="C66" i="84"/>
  <c r="I157" i="84" s="1"/>
  <c r="D23" i="7" s="1"/>
  <c r="K64" i="84"/>
  <c r="C20" i="7" s="1"/>
  <c r="I64" i="84"/>
  <c r="C16" i="7" s="1"/>
  <c r="G64" i="84"/>
  <c r="E64" i="84"/>
  <c r="C13" i="7" s="1"/>
  <c r="K62" i="84"/>
  <c r="I62" i="84"/>
  <c r="G62" i="84"/>
  <c r="E62" i="84"/>
  <c r="M53" i="84"/>
  <c r="B48" i="84"/>
  <c r="B47" i="84"/>
  <c r="B46" i="84"/>
  <c r="M45" i="84"/>
  <c r="O45" i="84" s="1"/>
  <c r="I45" i="84"/>
  <c r="I46" i="84" s="1"/>
  <c r="B45" i="84"/>
  <c r="I44" i="84"/>
  <c r="G43" i="84"/>
  <c r="K42" i="84"/>
  <c r="G42" i="84"/>
  <c r="K41" i="84"/>
  <c r="G41" i="84"/>
  <c r="B41" i="84"/>
  <c r="E39" i="84"/>
  <c r="B37" i="84"/>
  <c r="B33" i="84"/>
  <c r="B130" i="84" s="1"/>
  <c r="B32" i="84"/>
  <c r="B80" i="84" s="1"/>
  <c r="M29" i="84"/>
  <c r="F24" i="7" s="1"/>
  <c r="K29" i="84"/>
  <c r="F19" i="7" s="1"/>
  <c r="I29" i="84"/>
  <c r="F14" i="7" s="1"/>
  <c r="G29" i="84"/>
  <c r="F12" i="7" s="1"/>
  <c r="M28" i="84"/>
  <c r="K28" i="84"/>
  <c r="I28" i="84"/>
  <c r="G28" i="84"/>
  <c r="M26" i="84"/>
  <c r="K26" i="84"/>
  <c r="I26" i="84"/>
  <c r="G26" i="84"/>
  <c r="M24" i="84"/>
  <c r="K24" i="84"/>
  <c r="I24" i="84"/>
  <c r="G24" i="84"/>
  <c r="B24" i="84"/>
  <c r="M22" i="84"/>
  <c r="K22" i="84"/>
  <c r="I22" i="84"/>
  <c r="G22" i="84"/>
  <c r="B22" i="84"/>
  <c r="B70" i="84" s="1"/>
  <c r="B119" i="84" s="1"/>
  <c r="M20" i="84"/>
  <c r="K20" i="84"/>
  <c r="I20" i="84"/>
  <c r="G20" i="84"/>
  <c r="B20" i="84"/>
  <c r="B159" i="84" s="1"/>
  <c r="M16" i="84"/>
  <c r="C24" i="7" s="1"/>
  <c r="K16" i="84"/>
  <c r="I16" i="84"/>
  <c r="G16" i="84"/>
  <c r="B16" i="84"/>
  <c r="M14" i="84"/>
  <c r="K14" i="84"/>
  <c r="I14" i="84"/>
  <c r="G14" i="84"/>
  <c r="B14" i="84"/>
  <c r="B62" i="84" s="1"/>
  <c r="B5" i="84"/>
  <c r="B54" i="84" s="1"/>
  <c r="M2" i="84"/>
  <c r="K12" i="84" s="1"/>
  <c r="B2" i="84"/>
  <c r="B52" i="84" s="1"/>
  <c r="B100" i="84" s="1"/>
  <c r="C53" i="97" l="1"/>
  <c r="U46" i="101"/>
  <c r="AS45" i="101"/>
  <c r="AS31" i="101"/>
  <c r="AA32" i="101"/>
  <c r="AA18" i="101"/>
  <c r="W18" i="101"/>
  <c r="J21" i="89"/>
  <c r="J22" i="89"/>
  <c r="G18" i="89"/>
  <c r="G48" i="89" s="1"/>
  <c r="E23" i="19" s="1"/>
  <c r="J12" i="89"/>
  <c r="E18" i="89"/>
  <c r="G466" i="84"/>
  <c r="G485" i="84" s="1"/>
  <c r="M385" i="84"/>
  <c r="M388" i="84" s="1"/>
  <c r="M288" i="84"/>
  <c r="M307" i="84" s="1"/>
  <c r="E12" i="7"/>
  <c r="E14" i="7"/>
  <c r="G245" i="84"/>
  <c r="G257" i="84" s="1"/>
  <c r="G260" i="84" s="1"/>
  <c r="E288" i="84"/>
  <c r="E307" i="84" s="1"/>
  <c r="G288" i="84"/>
  <c r="G307" i="84" s="1"/>
  <c r="M218" i="84"/>
  <c r="K211" i="84"/>
  <c r="K214" i="84" s="1"/>
  <c r="K19" i="94"/>
  <c r="K15" i="94"/>
  <c r="C19" i="86"/>
  <c r="AS23" i="101"/>
  <c r="AS40" i="101"/>
  <c r="AS15" i="101"/>
  <c r="C43" i="97"/>
  <c r="C45" i="97" s="1"/>
  <c r="AS10" i="101"/>
  <c r="AS9" i="101"/>
  <c r="AS11" i="101"/>
  <c r="AS27" i="101"/>
  <c r="AS44" i="101"/>
  <c r="F27" i="92"/>
  <c r="M12" i="84"/>
  <c r="M889" i="84" s="1"/>
  <c r="I15" i="87"/>
  <c r="L15" i="87" s="1"/>
  <c r="E41" i="94"/>
  <c r="I41" i="94" s="1"/>
  <c r="I47" i="94" s="1"/>
  <c r="E34" i="40" s="1"/>
  <c r="E65" i="94"/>
  <c r="I56" i="93"/>
  <c r="E68" i="93"/>
  <c r="I68" i="93" s="1"/>
  <c r="E44" i="93"/>
  <c r="I44" i="93" s="1"/>
  <c r="I50" i="93" s="1"/>
  <c r="E34" i="39" s="1"/>
  <c r="J23" i="89"/>
  <c r="B103" i="84"/>
  <c r="K508" i="84"/>
  <c r="I508" i="84"/>
  <c r="I527" i="84" s="1"/>
  <c r="G508" i="84"/>
  <c r="G527" i="84" s="1"/>
  <c r="E508" i="84"/>
  <c r="E527" i="84" s="1"/>
  <c r="M996" i="84"/>
  <c r="M989" i="84"/>
  <c r="M992" i="84" s="1"/>
  <c r="M508" i="84"/>
  <c r="M527" i="84" s="1"/>
  <c r="M735" i="84"/>
  <c r="M738" i="84" s="1"/>
  <c r="M742" i="84"/>
  <c r="G790" i="84"/>
  <c r="G783" i="84"/>
  <c r="G786" i="84" s="1"/>
  <c r="I18" i="89"/>
  <c r="E15" i="19"/>
  <c r="J14" i="89"/>
  <c r="D36" i="90"/>
  <c r="F18" i="90" s="1"/>
  <c r="I39" i="84"/>
  <c r="C14" i="7"/>
  <c r="G421" i="84"/>
  <c r="I421" i="84"/>
  <c r="I433" i="84" s="1"/>
  <c r="I436" i="84" s="1"/>
  <c r="K989" i="84"/>
  <c r="K992" i="84" s="1"/>
  <c r="K996" i="84"/>
  <c r="M8" i="88"/>
  <c r="J8" i="88" s="1"/>
  <c r="J17" i="88" s="1"/>
  <c r="L21" i="88" s="1"/>
  <c r="J13" i="89"/>
  <c r="K392" i="84"/>
  <c r="K385" i="84"/>
  <c r="K388" i="84" s="1"/>
  <c r="E599" i="84"/>
  <c r="G599" i="84"/>
  <c r="AM18" i="101"/>
  <c r="K46" i="101"/>
  <c r="K18" i="84"/>
  <c r="D19" i="7" s="1"/>
  <c r="C19" i="7"/>
  <c r="G66" i="84"/>
  <c r="D18" i="7" s="1"/>
  <c r="C18" i="7"/>
  <c r="E17" i="7"/>
  <c r="M141" i="84"/>
  <c r="G178" i="84"/>
  <c r="C25" i="7"/>
  <c r="E27" i="7"/>
  <c r="G735" i="84"/>
  <c r="G738" i="84" s="1"/>
  <c r="I771" i="84"/>
  <c r="G914" i="84"/>
  <c r="I955" i="84"/>
  <c r="I36" i="89"/>
  <c r="E18" i="19"/>
  <c r="I18" i="93"/>
  <c r="I24" i="93" s="1"/>
  <c r="E32" i="39" s="1"/>
  <c r="K17" i="94"/>
  <c r="C18" i="101"/>
  <c r="K18" i="101"/>
  <c r="S18" i="101"/>
  <c r="AI18" i="101"/>
  <c r="AS8" i="101"/>
  <c r="AC18" i="101"/>
  <c r="O18" i="101"/>
  <c r="AS13" i="101"/>
  <c r="AS14" i="101"/>
  <c r="C32" i="101"/>
  <c r="K32" i="101"/>
  <c r="S32" i="101"/>
  <c r="AI32" i="101"/>
  <c r="AQ32" i="101"/>
  <c r="AS25" i="101"/>
  <c r="AS26" i="101"/>
  <c r="AS29" i="101"/>
  <c r="AS30" i="101"/>
  <c r="AU32" i="101"/>
  <c r="Y46" i="101"/>
  <c r="AS39" i="101"/>
  <c r="Y32" i="101"/>
  <c r="S46" i="101"/>
  <c r="E19" i="7"/>
  <c r="K39" i="84"/>
  <c r="I47" i="84"/>
  <c r="H23" i="31"/>
  <c r="G33" i="12"/>
  <c r="M115" i="84"/>
  <c r="D26" i="7" s="1"/>
  <c r="C26" i="7"/>
  <c r="E21" i="7"/>
  <c r="I178" i="84"/>
  <c r="H24" i="31" s="1"/>
  <c r="C23" i="7"/>
  <c r="E15" i="7"/>
  <c r="E29" i="7"/>
  <c r="G385" i="84"/>
  <c r="G388" i="84" s="1"/>
  <c r="E42" i="89"/>
  <c r="A24" i="94"/>
  <c r="E18" i="101"/>
  <c r="M18" i="101"/>
  <c r="AK18" i="101"/>
  <c r="G18" i="101"/>
  <c r="W32" i="101"/>
  <c r="AE32" i="101"/>
  <c r="I46" i="101"/>
  <c r="Q46" i="101"/>
  <c r="AI46" i="101"/>
  <c r="AS38" i="101"/>
  <c r="AS42" i="101"/>
  <c r="AS43" i="101"/>
  <c r="E32" i="101"/>
  <c r="C46" i="101"/>
  <c r="G39" i="84"/>
  <c r="K43" i="84" s="1"/>
  <c r="C12" i="7"/>
  <c r="E24" i="7"/>
  <c r="M39" i="84"/>
  <c r="G115" i="84"/>
  <c r="D17" i="7" s="1"/>
  <c r="C17" i="7"/>
  <c r="E28" i="7"/>
  <c r="G136" i="84"/>
  <c r="E25" i="7"/>
  <c r="I245" i="84"/>
  <c r="I466" i="84"/>
  <c r="I485" i="84" s="1"/>
  <c r="K570" i="84"/>
  <c r="I639" i="84"/>
  <c r="I658" i="84" s="1"/>
  <c r="E771" i="84"/>
  <c r="K783" i="84"/>
  <c r="K786" i="84" s="1"/>
  <c r="G948" i="84"/>
  <c r="G951" i="84" s="1"/>
  <c r="J15" i="89"/>
  <c r="J17" i="89"/>
  <c r="E20" i="19"/>
  <c r="I27" i="89"/>
  <c r="E16" i="19"/>
  <c r="I42" i="89"/>
  <c r="E17" i="19"/>
  <c r="I32" i="93"/>
  <c r="Y18" i="101"/>
  <c r="AS12" i="101"/>
  <c r="AS16" i="101"/>
  <c r="AU18" i="101"/>
  <c r="G32" i="101"/>
  <c r="O32" i="101"/>
  <c r="AM32" i="101"/>
  <c r="AS24" i="101"/>
  <c r="AS28" i="101"/>
  <c r="G46" i="101"/>
  <c r="O46" i="101"/>
  <c r="AS41" i="101"/>
  <c r="AA46" i="101"/>
  <c r="AU46" i="101"/>
  <c r="A9" i="4"/>
  <c r="AQ18" i="101"/>
  <c r="AS36" i="101"/>
  <c r="AS37" i="101"/>
  <c r="AQ46" i="101"/>
  <c r="AM46" i="101"/>
  <c r="AS22" i="101"/>
  <c r="I169" i="84"/>
  <c r="I172" i="84" s="1"/>
  <c r="I176" i="84"/>
  <c r="E18" i="31" s="1"/>
  <c r="B1038" i="84"/>
  <c r="B914" i="84"/>
  <c r="B831" i="84"/>
  <c r="B790" i="84"/>
  <c r="B955" i="84"/>
  <c r="B700" i="84"/>
  <c r="B570" i="84"/>
  <c r="B618" i="84"/>
  <c r="B485" i="84"/>
  <c r="B440" i="84"/>
  <c r="B742" i="84"/>
  <c r="B658" i="84"/>
  <c r="B527" i="84"/>
  <c r="B349" i="84"/>
  <c r="B218" i="84"/>
  <c r="B176" i="84"/>
  <c r="B996" i="84"/>
  <c r="B872" i="84"/>
  <c r="B392" i="84"/>
  <c r="B307" i="84"/>
  <c r="B264" i="84"/>
  <c r="L94" i="90"/>
  <c r="L36" i="90"/>
  <c r="L31" i="90" s="1"/>
  <c r="W85" i="90"/>
  <c r="J85" i="90" s="1"/>
  <c r="D85" i="90"/>
  <c r="F85" i="90" s="1"/>
  <c r="N85" i="90" s="1"/>
  <c r="I115" i="84"/>
  <c r="D21" i="7" s="1"/>
  <c r="M706" i="84"/>
  <c r="M492" i="84"/>
  <c r="G149" i="84"/>
  <c r="M534" i="84"/>
  <c r="M356" i="84"/>
  <c r="B942" i="84"/>
  <c r="B859" i="84"/>
  <c r="B645" i="84"/>
  <c r="B818" i="84"/>
  <c r="B1025" i="84"/>
  <c r="B983" i="84"/>
  <c r="B729" i="84"/>
  <c r="B605" i="84"/>
  <c r="B514" i="84"/>
  <c r="B294" i="84"/>
  <c r="B777" i="84"/>
  <c r="B472" i="84"/>
  <c r="B205" i="84"/>
  <c r="B557" i="84"/>
  <c r="B379" i="84"/>
  <c r="B251" i="84"/>
  <c r="B901" i="84"/>
  <c r="B687" i="84"/>
  <c r="B427" i="84"/>
  <c r="B336" i="84"/>
  <c r="B1006" i="84"/>
  <c r="B924" i="84"/>
  <c r="B800" i="84"/>
  <c r="B538" i="84"/>
  <c r="B710" i="84"/>
  <c r="B668" i="84"/>
  <c r="B882" i="84"/>
  <c r="B840" i="84"/>
  <c r="B759" i="84"/>
  <c r="B454" i="84"/>
  <c r="B186" i="84"/>
  <c r="B965" i="84"/>
  <c r="B360" i="84"/>
  <c r="B317" i="84"/>
  <c r="B233" i="84"/>
  <c r="B144" i="84"/>
  <c r="B627" i="84"/>
  <c r="B495" i="84"/>
  <c r="B409" i="84"/>
  <c r="B587" i="84"/>
  <c r="B276" i="84"/>
  <c r="B975" i="84"/>
  <c r="B679" i="84"/>
  <c r="B549" i="84"/>
  <c r="B851" i="84"/>
  <c r="B721" i="84"/>
  <c r="B637" i="84"/>
  <c r="B934" i="84"/>
  <c r="B893" i="84"/>
  <c r="B810" i="84"/>
  <c r="B597" i="84"/>
  <c r="B1017" i="84"/>
  <c r="B328" i="84"/>
  <c r="B197" i="84"/>
  <c r="B506" i="84"/>
  <c r="B371" i="84"/>
  <c r="B286" i="84"/>
  <c r="B769" i="84"/>
  <c r="B464" i="84"/>
  <c r="B243" i="84"/>
  <c r="B419" i="84"/>
  <c r="W83" i="90"/>
  <c r="D83" i="90"/>
  <c r="M18" i="84"/>
  <c r="D24" i="7" s="1"/>
  <c r="B1033" i="84"/>
  <c r="B950" i="84"/>
  <c r="B991" i="84"/>
  <c r="B565" i="84"/>
  <c r="B522" i="84"/>
  <c r="B737" i="84"/>
  <c r="B695" i="84"/>
  <c r="B613" i="84"/>
  <c r="B909" i="84"/>
  <c r="B867" i="84"/>
  <c r="B785" i="84"/>
  <c r="B653" i="84"/>
  <c r="B213" i="84"/>
  <c r="B387" i="84"/>
  <c r="B344" i="84"/>
  <c r="B259" i="84"/>
  <c r="B171" i="84"/>
  <c r="B435" i="84"/>
  <c r="B302" i="84"/>
  <c r="B826" i="84"/>
  <c r="B480" i="84"/>
  <c r="M52" i="84"/>
  <c r="W87" i="90"/>
  <c r="J87" i="90" s="1"/>
  <c r="D87" i="90"/>
  <c r="F87" i="90" s="1"/>
  <c r="N87" i="90" s="1"/>
  <c r="B85" i="84"/>
  <c r="I86" i="84"/>
  <c r="M100" i="84"/>
  <c r="W82" i="90"/>
  <c r="J82" i="90" s="1"/>
  <c r="D82" i="90"/>
  <c r="F82" i="90" s="1"/>
  <c r="N82" i="90" s="1"/>
  <c r="E115" i="84"/>
  <c r="D22" i="7" s="1"/>
  <c r="G150" i="84"/>
  <c r="W92" i="90"/>
  <c r="J92" i="90" s="1"/>
  <c r="D92" i="90"/>
  <c r="F92" i="90" s="1"/>
  <c r="N92" i="90" s="1"/>
  <c r="E157" i="84"/>
  <c r="D15" i="7" s="1"/>
  <c r="E178" i="84"/>
  <c r="W93" i="90"/>
  <c r="J93" i="90" s="1"/>
  <c r="D93" i="90"/>
  <c r="F93" i="90" s="1"/>
  <c r="N93" i="90" s="1"/>
  <c r="M157" i="84"/>
  <c r="D29" i="7" s="1"/>
  <c r="M178" i="84"/>
  <c r="G433" i="84"/>
  <c r="G436" i="84" s="1"/>
  <c r="G440" i="84"/>
  <c r="K527" i="84"/>
  <c r="K520" i="84"/>
  <c r="K523" i="84" s="1"/>
  <c r="B1003" i="84"/>
  <c r="B921" i="84"/>
  <c r="B797" i="84"/>
  <c r="B706" i="84"/>
  <c r="B962" i="84"/>
  <c r="B878" i="84"/>
  <c r="B665" i="84"/>
  <c r="B837" i="84"/>
  <c r="B756" i="84"/>
  <c r="B624" i="84"/>
  <c r="B451" i="84"/>
  <c r="B356" i="84"/>
  <c r="B183" i="84"/>
  <c r="B314" i="84"/>
  <c r="B230" i="84"/>
  <c r="B141" i="84"/>
  <c r="B584" i="84"/>
  <c r="B492" i="84"/>
  <c r="B406" i="84"/>
  <c r="B534" i="84"/>
  <c r="B273" i="84"/>
  <c r="K717" i="84"/>
  <c r="K889" i="84"/>
  <c r="K367" i="84"/>
  <c r="K545" i="84"/>
  <c r="K193" i="84"/>
  <c r="W76" i="90"/>
  <c r="D76" i="90"/>
  <c r="G18" i="84"/>
  <c r="D12" i="7" s="1"/>
  <c r="B1021" i="84"/>
  <c r="B979" i="84"/>
  <c r="B725" i="84"/>
  <c r="B601" i="84"/>
  <c r="B938" i="84"/>
  <c r="B897" i="84"/>
  <c r="B773" i="84"/>
  <c r="B683" i="84"/>
  <c r="B855" i="84"/>
  <c r="B641" i="84"/>
  <c r="B375" i="84"/>
  <c r="B247" i="84"/>
  <c r="B814" i="84"/>
  <c r="B423" i="84"/>
  <c r="B332" i="84"/>
  <c r="B510" i="84"/>
  <c r="B290" i="84"/>
  <c r="B553" i="84"/>
  <c r="B468" i="84"/>
  <c r="B201" i="84"/>
  <c r="B992" i="84"/>
  <c r="B738" i="84"/>
  <c r="B696" i="84"/>
  <c r="B614" i="84"/>
  <c r="B951" i="84"/>
  <c r="B910" i="84"/>
  <c r="B868" i="84"/>
  <c r="B786" i="84"/>
  <c r="B654" i="84"/>
  <c r="B827" i="84"/>
  <c r="B388" i="84"/>
  <c r="B345" i="84"/>
  <c r="B260" i="84"/>
  <c r="B172" i="84"/>
  <c r="B436" i="84"/>
  <c r="B303" i="84"/>
  <c r="B523" i="84"/>
  <c r="B481" i="84"/>
  <c r="B1034" i="84"/>
  <c r="B566" i="84"/>
  <c r="B214" i="84"/>
  <c r="B64" i="84"/>
  <c r="W81" i="90"/>
  <c r="J81" i="90" s="1"/>
  <c r="D81" i="90"/>
  <c r="F81" i="90" s="1"/>
  <c r="N81" i="90" s="1"/>
  <c r="I66" i="84"/>
  <c r="D16" i="7" s="1"/>
  <c r="B72" i="84"/>
  <c r="K86" i="84"/>
  <c r="H36" i="90"/>
  <c r="H31" i="90" s="1"/>
  <c r="H94" i="90"/>
  <c r="B959" i="84"/>
  <c r="B1041" i="84"/>
  <c r="B834" i="84"/>
  <c r="B752" i="84"/>
  <c r="B917" i="84"/>
  <c r="B621" i="84"/>
  <c r="B1000" i="84"/>
  <c r="B793" i="84"/>
  <c r="B703" i="84"/>
  <c r="B580" i="84"/>
  <c r="B489" i="84"/>
  <c r="B402" i="84"/>
  <c r="B531" i="84"/>
  <c r="B270" i="84"/>
  <c r="B662" i="84"/>
  <c r="B448" i="84"/>
  <c r="B353" i="84"/>
  <c r="B180" i="84"/>
  <c r="B875" i="84"/>
  <c r="B311" i="84"/>
  <c r="B225" i="84"/>
  <c r="B113" i="84"/>
  <c r="W88" i="90"/>
  <c r="J88" i="90" s="1"/>
  <c r="D88" i="90"/>
  <c r="F88" i="90" s="1"/>
  <c r="N88" i="90" s="1"/>
  <c r="K136" i="84"/>
  <c r="B121" i="84"/>
  <c r="E136" i="84"/>
  <c r="G151" i="84"/>
  <c r="E257" i="84"/>
  <c r="E260" i="84" s="1"/>
  <c r="E264" i="84"/>
  <c r="M478" i="84"/>
  <c r="M481" i="84" s="1"/>
  <c r="M485" i="84"/>
  <c r="B981" i="84"/>
  <c r="B940" i="84"/>
  <c r="B899" i="84"/>
  <c r="B775" i="84"/>
  <c r="B685" i="84"/>
  <c r="B857" i="84"/>
  <c r="B643" i="84"/>
  <c r="B816" i="84"/>
  <c r="B555" i="84"/>
  <c r="B1023" i="84"/>
  <c r="B425" i="84"/>
  <c r="B334" i="84"/>
  <c r="B727" i="84"/>
  <c r="B512" i="84"/>
  <c r="B292" i="84"/>
  <c r="B161" i="84"/>
  <c r="B470" i="84"/>
  <c r="B203" i="84"/>
  <c r="B603" i="84"/>
  <c r="B377" i="84"/>
  <c r="B249" i="84"/>
  <c r="I342" i="84"/>
  <c r="I345" i="84" s="1"/>
  <c r="I349" i="84"/>
  <c r="W78" i="90"/>
  <c r="D78" i="90"/>
  <c r="I18" i="84"/>
  <c r="D14" i="7" s="1"/>
  <c r="W77" i="90"/>
  <c r="J77" i="90" s="1"/>
  <c r="D77" i="90"/>
  <c r="F77" i="90" s="1"/>
  <c r="N77" i="90" s="1"/>
  <c r="K66" i="84"/>
  <c r="D20" i="7" s="1"/>
  <c r="E86" i="84"/>
  <c r="P36" i="90"/>
  <c r="P33" i="90" s="1"/>
  <c r="P94" i="90"/>
  <c r="W90" i="90"/>
  <c r="J90" i="90" s="1"/>
  <c r="D90" i="90"/>
  <c r="F90" i="90" s="1"/>
  <c r="N90" i="90" s="1"/>
  <c r="M136" i="84"/>
  <c r="B134" i="84"/>
  <c r="G157" i="84"/>
  <c r="D25" i="7" s="1"/>
  <c r="B1015" i="84"/>
  <c r="B973" i="84"/>
  <c r="B767" i="84"/>
  <c r="B677" i="84"/>
  <c r="B849" i="84"/>
  <c r="B719" i="84"/>
  <c r="B635" i="84"/>
  <c r="B932" i="84"/>
  <c r="B891" i="84"/>
  <c r="B808" i="84"/>
  <c r="B547" i="84"/>
  <c r="B417" i="84"/>
  <c r="B326" i="84"/>
  <c r="B195" i="84"/>
  <c r="B153" i="84"/>
  <c r="B595" i="84"/>
  <c r="B504" i="84"/>
  <c r="B369" i="84"/>
  <c r="B284" i="84"/>
  <c r="B462" i="84"/>
  <c r="B241" i="84"/>
  <c r="W80" i="90"/>
  <c r="D80" i="90"/>
  <c r="K60" i="84"/>
  <c r="W86" i="90"/>
  <c r="J86" i="90" s="1"/>
  <c r="D86" i="90"/>
  <c r="F86" i="90" s="1"/>
  <c r="N86" i="90" s="1"/>
  <c r="E66" i="84"/>
  <c r="D13" i="7" s="1"/>
  <c r="B68" i="84"/>
  <c r="B117" i="84" s="1"/>
  <c r="B81" i="84"/>
  <c r="G86" i="84"/>
  <c r="N94" i="90"/>
  <c r="N36" i="90"/>
  <c r="R94" i="90"/>
  <c r="R36" i="90"/>
  <c r="R32" i="90" s="1"/>
  <c r="B111" i="84"/>
  <c r="W79" i="90"/>
  <c r="J79" i="90" s="1"/>
  <c r="D79" i="90"/>
  <c r="F79" i="90" s="1"/>
  <c r="N79" i="90" s="1"/>
  <c r="K115" i="84"/>
  <c r="D28" i="7" s="1"/>
  <c r="B129" i="84"/>
  <c r="I136" i="84"/>
  <c r="B155" i="84"/>
  <c r="W91" i="90"/>
  <c r="J91" i="90" s="1"/>
  <c r="D91" i="90"/>
  <c r="F91" i="90" s="1"/>
  <c r="N91" i="90" s="1"/>
  <c r="K178" i="84"/>
  <c r="K157" i="84"/>
  <c r="D27" i="7" s="1"/>
  <c r="B163" i="84"/>
  <c r="K300" i="84"/>
  <c r="K303" i="84" s="1"/>
  <c r="K307" i="84"/>
  <c r="I211" i="84"/>
  <c r="I214" i="84" s="1"/>
  <c r="M230" i="84"/>
  <c r="E300" i="84"/>
  <c r="E303" i="84" s="1"/>
  <c r="M300" i="84"/>
  <c r="M303" i="84" s="1"/>
  <c r="M314" i="84"/>
  <c r="K330" i="84"/>
  <c r="G478" i="84"/>
  <c r="G481" i="84" s="1"/>
  <c r="E520" i="84"/>
  <c r="E523" i="84" s="1"/>
  <c r="P35" i="90"/>
  <c r="L35" i="90"/>
  <c r="G300" i="84"/>
  <c r="G303" i="84" s="1"/>
  <c r="E330" i="84"/>
  <c r="M330" i="84"/>
  <c r="K421" i="84"/>
  <c r="I478" i="84"/>
  <c r="I481" i="84" s="1"/>
  <c r="G520" i="84"/>
  <c r="G523" i="84" s="1"/>
  <c r="I783" i="84"/>
  <c r="I786" i="84" s="1"/>
  <c r="I790" i="84"/>
  <c r="E865" i="84"/>
  <c r="E868" i="84" s="1"/>
  <c r="K872" i="84"/>
  <c r="W84" i="90"/>
  <c r="J84" i="90" s="1"/>
  <c r="D84" i="90"/>
  <c r="F84" i="90" s="1"/>
  <c r="N84" i="90" s="1"/>
  <c r="G218" i="84"/>
  <c r="K245" i="84"/>
  <c r="G264" i="84"/>
  <c r="I288" i="84"/>
  <c r="G330" i="84"/>
  <c r="I392" i="84"/>
  <c r="E421" i="84"/>
  <c r="I440" i="84"/>
  <c r="K466" i="84"/>
  <c r="I520" i="84"/>
  <c r="I523" i="84" s="1"/>
  <c r="E611" i="84"/>
  <c r="E614" i="84" s="1"/>
  <c r="E618" i="84"/>
  <c r="E651" i="84"/>
  <c r="E654" i="84" s="1"/>
  <c r="K658" i="84"/>
  <c r="I681" i="84"/>
  <c r="G681" i="84"/>
  <c r="M681" i="84"/>
  <c r="E681" i="84"/>
  <c r="M865" i="84"/>
  <c r="M868" i="84" s="1"/>
  <c r="K907" i="84"/>
  <c r="K910" i="84" s="1"/>
  <c r="K914" i="84"/>
  <c r="W89" i="90"/>
  <c r="J89" i="90" s="1"/>
  <c r="D89" i="90"/>
  <c r="F89" i="90" s="1"/>
  <c r="N89" i="90" s="1"/>
  <c r="E466" i="84"/>
  <c r="G570" i="84"/>
  <c r="G611" i="84"/>
  <c r="G614" i="84" s="1"/>
  <c r="G618" i="84"/>
  <c r="M651" i="84"/>
  <c r="M654" i="84" s="1"/>
  <c r="K681" i="84"/>
  <c r="I735" i="84"/>
  <c r="I738" i="84" s="1"/>
  <c r="I742" i="84"/>
  <c r="G824" i="84"/>
  <c r="G827" i="84" s="1"/>
  <c r="M831" i="84"/>
  <c r="I599" i="84"/>
  <c r="G639" i="84"/>
  <c r="I812" i="84"/>
  <c r="G853" i="84"/>
  <c r="I977" i="84"/>
  <c r="G977" i="84"/>
  <c r="G1019" i="84"/>
  <c r="M1019" i="84"/>
  <c r="E1019" i="84"/>
  <c r="I1038" i="84"/>
  <c r="G60" i="85"/>
  <c r="K599" i="84"/>
  <c r="I651" i="84"/>
  <c r="I654" i="84" s="1"/>
  <c r="K812" i="84"/>
  <c r="I865" i="84"/>
  <c r="I868" i="84" s="1"/>
  <c r="E989" i="84"/>
  <c r="E992" i="84" s="1"/>
  <c r="J36" i="89"/>
  <c r="P23" i="90"/>
  <c r="E812" i="84"/>
  <c r="E948" i="84"/>
  <c r="E951" i="84" s="1"/>
  <c r="E955" i="84"/>
  <c r="K955" i="84"/>
  <c r="K1031" i="84"/>
  <c r="K1034" i="84" s="1"/>
  <c r="I13" i="87"/>
  <c r="L13" i="87" s="1"/>
  <c r="E27" i="89"/>
  <c r="E36" i="89"/>
  <c r="H19" i="90"/>
  <c r="J40" i="89"/>
  <c r="J42" i="89" s="1"/>
  <c r="L19" i="90"/>
  <c r="L24" i="90"/>
  <c r="P24" i="90"/>
  <c r="P32" i="90"/>
  <c r="P27" i="90"/>
  <c r="H27" i="90"/>
  <c r="H28" i="90"/>
  <c r="P30" i="90"/>
  <c r="H27" i="91"/>
  <c r="H30" i="91" s="1"/>
  <c r="J16" i="89"/>
  <c r="L26" i="90"/>
  <c r="P26" i="90"/>
  <c r="L27" i="90"/>
  <c r="L29" i="90"/>
  <c r="H33" i="90"/>
  <c r="A13" i="94"/>
  <c r="K14" i="93"/>
  <c r="E17" i="94"/>
  <c r="I17" i="94" s="1"/>
  <c r="I23" i="94" s="1"/>
  <c r="E32" i="40" s="1"/>
  <c r="J27" i="89" l="1"/>
  <c r="I48" i="89"/>
  <c r="J18" i="89"/>
  <c r="G78" i="84"/>
  <c r="G81" i="84" s="1"/>
  <c r="M520" i="84"/>
  <c r="M523" i="84" s="1"/>
  <c r="G134" i="84"/>
  <c r="F17" i="42" s="1"/>
  <c r="G127" i="84"/>
  <c r="G130" i="84" s="1"/>
  <c r="G17" i="7" s="1"/>
  <c r="G85" i="84"/>
  <c r="F18" i="29" s="1"/>
  <c r="K44" i="84"/>
  <c r="R28" i="90"/>
  <c r="P31" i="90"/>
  <c r="P28" i="90"/>
  <c r="P19" i="90"/>
  <c r="H30" i="90"/>
  <c r="H35" i="90"/>
  <c r="H32" i="90"/>
  <c r="H23" i="90"/>
  <c r="F25" i="90"/>
  <c r="F22" i="90"/>
  <c r="F20" i="90"/>
  <c r="F36" i="90" s="1"/>
  <c r="N18" i="90"/>
  <c r="P18" i="90"/>
  <c r="H18" i="90"/>
  <c r="R18" i="90"/>
  <c r="F29" i="92"/>
  <c r="E24" i="26" s="1"/>
  <c r="I65" i="94"/>
  <c r="I71" i="94" s="1"/>
  <c r="E36" i="40" s="1"/>
  <c r="F36" i="40" s="1"/>
  <c r="I74" i="93"/>
  <c r="E36" i="39" s="1"/>
  <c r="F36" i="39" s="1"/>
  <c r="M193" i="84"/>
  <c r="M717" i="84"/>
  <c r="M545" i="84"/>
  <c r="M367" i="84"/>
  <c r="H32" i="91"/>
  <c r="I37" i="87" s="1"/>
  <c r="L37" i="87" s="1"/>
  <c r="AS18" i="101"/>
  <c r="E15" i="42"/>
  <c r="E16" i="29"/>
  <c r="G18" i="7"/>
  <c r="E16" i="31"/>
  <c r="G23" i="7"/>
  <c r="R33" i="90"/>
  <c r="R30" i="90"/>
  <c r="R23" i="90"/>
  <c r="R34" i="90"/>
  <c r="R21" i="90"/>
  <c r="R31" i="90"/>
  <c r="M127" i="84"/>
  <c r="M130" i="84" s="1"/>
  <c r="K37" i="84"/>
  <c r="F17" i="39" s="1"/>
  <c r="AS32" i="101"/>
  <c r="E783" i="84"/>
  <c r="E786" i="84" s="1"/>
  <c r="E790" i="84"/>
  <c r="I264" i="84"/>
  <c r="I257" i="84"/>
  <c r="I260" i="84" s="1"/>
  <c r="J21" i="88"/>
  <c r="R29" i="90"/>
  <c r="R26" i="90"/>
  <c r="L33" i="90"/>
  <c r="L30" i="90"/>
  <c r="L23" i="90"/>
  <c r="L34" i="90"/>
  <c r="L21" i="90"/>
  <c r="L18" i="90"/>
  <c r="M134" i="84"/>
  <c r="F18" i="46" s="1"/>
  <c r="K30" i="84"/>
  <c r="K33" i="84" s="1"/>
  <c r="R20" i="90"/>
  <c r="R27" i="90"/>
  <c r="R24" i="90"/>
  <c r="R19" i="90"/>
  <c r="E48" i="89"/>
  <c r="R22" i="90"/>
  <c r="I35" i="87"/>
  <c r="L35" i="87" s="1"/>
  <c r="G27" i="23"/>
  <c r="E38" i="10"/>
  <c r="R35" i="90"/>
  <c r="AS46" i="101"/>
  <c r="K611" i="84"/>
  <c r="K614" i="84" s="1"/>
  <c r="K618" i="84"/>
  <c r="G1031" i="84"/>
  <c r="G1034" i="84" s="1"/>
  <c r="G1038" i="84"/>
  <c r="I831" i="84"/>
  <c r="I824" i="84"/>
  <c r="I827" i="84" s="1"/>
  <c r="E478" i="84"/>
  <c r="E481" i="84" s="1"/>
  <c r="E485" i="84"/>
  <c r="G700" i="84"/>
  <c r="G693" i="84"/>
  <c r="G696" i="84" s="1"/>
  <c r="I307" i="84"/>
  <c r="I300" i="84"/>
  <c r="I303" i="84" s="1"/>
  <c r="K440" i="84"/>
  <c r="K433" i="84"/>
  <c r="K436" i="84" s="1"/>
  <c r="R90" i="90"/>
  <c r="R92" i="90"/>
  <c r="R88" i="90"/>
  <c r="R84" i="90"/>
  <c r="R82" i="90"/>
  <c r="R91" i="90"/>
  <c r="R87" i="90"/>
  <c r="E25" i="30" s="1"/>
  <c r="R81" i="90"/>
  <c r="E27" i="40" s="1"/>
  <c r="R79" i="90"/>
  <c r="R89" i="90"/>
  <c r="E22" i="31" s="1"/>
  <c r="R77" i="90"/>
  <c r="R86" i="90"/>
  <c r="E27" i="29" s="1"/>
  <c r="R93" i="90"/>
  <c r="R85" i="90"/>
  <c r="P29" i="90"/>
  <c r="P34" i="90"/>
  <c r="P21" i="90"/>
  <c r="G1013" i="84"/>
  <c r="G675" i="84"/>
  <c r="G324" i="84"/>
  <c r="G847" i="84"/>
  <c r="G502" i="84"/>
  <c r="H91" i="90"/>
  <c r="H93" i="90"/>
  <c r="H89" i="90"/>
  <c r="H85" i="90"/>
  <c r="H77" i="90"/>
  <c r="H92" i="90"/>
  <c r="H88" i="90"/>
  <c r="H84" i="90"/>
  <c r="H82" i="90"/>
  <c r="H86" i="90"/>
  <c r="H79" i="90"/>
  <c r="H90" i="90"/>
  <c r="H87" i="90"/>
  <c r="H81" i="90"/>
  <c r="I85" i="84"/>
  <c r="F18" i="30" s="1"/>
  <c r="I78" i="84"/>
  <c r="I81" i="84" s="1"/>
  <c r="M176" i="84"/>
  <c r="E18" i="70" s="1"/>
  <c r="M169" i="84"/>
  <c r="M172" i="84" s="1"/>
  <c r="E176" i="84"/>
  <c r="E18" i="65" s="1"/>
  <c r="E169" i="84"/>
  <c r="E172" i="84" s="1"/>
  <c r="E134" i="84"/>
  <c r="F17" i="41" s="1"/>
  <c r="E127" i="84"/>
  <c r="E130" i="84" s="1"/>
  <c r="M624" i="84"/>
  <c r="M665" i="84"/>
  <c r="M584" i="84"/>
  <c r="I134" i="84"/>
  <c r="F17" i="43" s="1"/>
  <c r="I127" i="84"/>
  <c r="I130" i="84" s="1"/>
  <c r="L93" i="90"/>
  <c r="I29" i="7" s="1"/>
  <c r="L91" i="90"/>
  <c r="E24" i="47" s="1"/>
  <c r="L87" i="90"/>
  <c r="E23" i="30" s="1"/>
  <c r="L81" i="90"/>
  <c r="L79" i="90"/>
  <c r="L90" i="90"/>
  <c r="L86" i="90"/>
  <c r="L84" i="90"/>
  <c r="E24" i="49" s="1"/>
  <c r="L92" i="90"/>
  <c r="L89" i="90"/>
  <c r="E21" i="31" s="1"/>
  <c r="L77" i="90"/>
  <c r="I13" i="7" s="1"/>
  <c r="L88" i="90"/>
  <c r="E24" i="45" s="1"/>
  <c r="L82" i="90"/>
  <c r="L85" i="90"/>
  <c r="E23" i="41" s="1"/>
  <c r="G996" i="84"/>
  <c r="G989" i="84"/>
  <c r="G992" i="84" s="1"/>
  <c r="G658" i="84"/>
  <c r="G651" i="84"/>
  <c r="G654" i="84" s="1"/>
  <c r="I693" i="84"/>
  <c r="I696" i="84" s="1"/>
  <c r="I700" i="84"/>
  <c r="E433" i="84"/>
  <c r="E436" i="84" s="1"/>
  <c r="E440" i="84"/>
  <c r="M349" i="84"/>
  <c r="M342" i="84"/>
  <c r="M345" i="84" s="1"/>
  <c r="K930" i="84"/>
  <c r="K593" i="84"/>
  <c r="K765" i="84"/>
  <c r="K239" i="84"/>
  <c r="K415" i="84"/>
  <c r="I30" i="84"/>
  <c r="I33" i="84" s="1"/>
  <c r="I37" i="84"/>
  <c r="F18" i="16" s="1"/>
  <c r="H34" i="90"/>
  <c r="H24" i="90"/>
  <c r="H21" i="90"/>
  <c r="H29" i="90"/>
  <c r="H26" i="90"/>
  <c r="G37" i="84"/>
  <c r="G17" i="12" s="1"/>
  <c r="G30" i="84"/>
  <c r="G33" i="84" s="1"/>
  <c r="G673" i="84"/>
  <c r="G1011" i="84"/>
  <c r="G845" i="84"/>
  <c r="G322" i="84"/>
  <c r="G500" i="84"/>
  <c r="E824" i="84"/>
  <c r="E827" i="84" s="1"/>
  <c r="E831" i="84"/>
  <c r="K831" i="84"/>
  <c r="K824" i="84"/>
  <c r="K827" i="84" s="1"/>
  <c r="E1038" i="84"/>
  <c r="E1031" i="84"/>
  <c r="E1034" i="84" s="1"/>
  <c r="I989" i="84"/>
  <c r="I992" i="84" s="1"/>
  <c r="I996" i="84"/>
  <c r="I618" i="84"/>
  <c r="I611" i="84"/>
  <c r="I614" i="84" s="1"/>
  <c r="E700" i="84"/>
  <c r="E693" i="84"/>
  <c r="E696" i="84" s="1"/>
  <c r="K257" i="84"/>
  <c r="K260" i="84" s="1"/>
  <c r="K264" i="84"/>
  <c r="E349" i="84"/>
  <c r="E342" i="84"/>
  <c r="E345" i="84" s="1"/>
  <c r="K349" i="84"/>
  <c r="K342" i="84"/>
  <c r="K345" i="84" s="1"/>
  <c r="K134" i="84"/>
  <c r="F18" i="45" s="1"/>
  <c r="K127" i="84"/>
  <c r="K130" i="84" s="1"/>
  <c r="E28" i="46"/>
  <c r="E23" i="70"/>
  <c r="E23" i="31"/>
  <c r="E27" i="41"/>
  <c r="E27" i="42"/>
  <c r="E28" i="43"/>
  <c r="E29" i="40"/>
  <c r="E78" i="84"/>
  <c r="E81" i="84" s="1"/>
  <c r="E85" i="84"/>
  <c r="F18" i="13" s="1"/>
  <c r="G176" i="84"/>
  <c r="F18" i="49" s="1"/>
  <c r="G169" i="84"/>
  <c r="G172" i="84" s="1"/>
  <c r="K78" i="84"/>
  <c r="K81" i="84" s="1"/>
  <c r="K85" i="84"/>
  <c r="F17" i="40" s="1"/>
  <c r="D94" i="90"/>
  <c r="F78" i="90" s="1"/>
  <c r="M1038" i="84"/>
  <c r="M1031" i="84"/>
  <c r="M1034" i="84" s="1"/>
  <c r="G872" i="84"/>
  <c r="G865" i="84"/>
  <c r="G868" i="84" s="1"/>
  <c r="K700" i="84"/>
  <c r="K693" i="84"/>
  <c r="K696" i="84" s="1"/>
  <c r="M700" i="84"/>
  <c r="M693" i="84"/>
  <c r="M696" i="84" s="1"/>
  <c r="K485" i="84"/>
  <c r="K478" i="84"/>
  <c r="K481" i="84" s="1"/>
  <c r="G349" i="84"/>
  <c r="G342" i="84"/>
  <c r="G345" i="84" s="1"/>
  <c r="K176" i="84"/>
  <c r="F18" i="47" s="1"/>
  <c r="K169" i="84"/>
  <c r="K172" i="84" s="1"/>
  <c r="P91" i="90"/>
  <c r="P93" i="90"/>
  <c r="P89" i="90"/>
  <c r="P85" i="90"/>
  <c r="P77" i="90"/>
  <c r="H13" i="7" s="1"/>
  <c r="P92" i="90"/>
  <c r="P88" i="90"/>
  <c r="P84" i="90"/>
  <c r="P82" i="90"/>
  <c r="P90" i="90"/>
  <c r="P87" i="90"/>
  <c r="P81" i="90"/>
  <c r="P86" i="90"/>
  <c r="P79" i="90"/>
  <c r="G1012" i="84"/>
  <c r="G846" i="84"/>
  <c r="G501" i="84"/>
  <c r="G674" i="84"/>
  <c r="G323" i="84"/>
  <c r="M30" i="84"/>
  <c r="M33" i="84" s="1"/>
  <c r="M37" i="84"/>
  <c r="F18" i="48" s="1"/>
  <c r="M406" i="84"/>
  <c r="M451" i="84"/>
  <c r="M837" i="84"/>
  <c r="M878" i="84" s="1"/>
  <c r="M756" i="84"/>
  <c r="M797" i="84"/>
  <c r="L32" i="90"/>
  <c r="L28" i="90"/>
  <c r="I18" i="7" s="1"/>
  <c r="F83" i="90" l="1"/>
  <c r="F80" i="90"/>
  <c r="N78" i="90"/>
  <c r="H78" i="90"/>
  <c r="L78" i="90"/>
  <c r="R78" i="90"/>
  <c r="E28" i="16" s="1"/>
  <c r="P78" i="90"/>
  <c r="E24" i="16" s="1"/>
  <c r="F76" i="90"/>
  <c r="P76" i="90" s="1"/>
  <c r="H22" i="12" s="1"/>
  <c r="E20" i="31"/>
  <c r="E20" i="70"/>
  <c r="N25" i="90"/>
  <c r="H25" i="90"/>
  <c r="R25" i="90"/>
  <c r="P25" i="90"/>
  <c r="L25" i="90"/>
  <c r="N22" i="90"/>
  <c r="P22" i="90"/>
  <c r="H22" i="90"/>
  <c r="L22" i="90"/>
  <c r="N20" i="90"/>
  <c r="P20" i="90"/>
  <c r="H20" i="90"/>
  <c r="L20" i="90"/>
  <c r="E26" i="16" s="1"/>
  <c r="E25" i="41"/>
  <c r="E21" i="65"/>
  <c r="E29" i="29"/>
  <c r="E15" i="58"/>
  <c r="E39" i="10"/>
  <c r="E28" i="47"/>
  <c r="E28" i="45"/>
  <c r="E27" i="30"/>
  <c r="M11" i="102"/>
  <c r="I11" i="102" s="1"/>
  <c r="C14" i="102" s="1"/>
  <c r="H28" i="7"/>
  <c r="I20" i="7"/>
  <c r="J28" i="7"/>
  <c r="E23" i="65"/>
  <c r="E21" i="70"/>
  <c r="H17" i="7"/>
  <c r="E22" i="65"/>
  <c r="E16" i="16"/>
  <c r="G14" i="7"/>
  <c r="E15" i="41"/>
  <c r="G22" i="7"/>
  <c r="E16" i="13"/>
  <c r="G13" i="7"/>
  <c r="G25" i="7"/>
  <c r="E16" i="49"/>
  <c r="E28" i="49"/>
  <c r="I17" i="7"/>
  <c r="E23" i="42"/>
  <c r="E16" i="65"/>
  <c r="G15" i="7"/>
  <c r="E22" i="43"/>
  <c r="E28" i="13"/>
  <c r="H29" i="7"/>
  <c r="E32" i="13"/>
  <c r="J13" i="7"/>
  <c r="E26" i="45"/>
  <c r="J48" i="89"/>
  <c r="E25" i="19"/>
  <c r="J14" i="7"/>
  <c r="I27" i="7"/>
  <c r="E26" i="49"/>
  <c r="J25" i="7"/>
  <c r="J15" i="7"/>
  <c r="E22" i="45"/>
  <c r="E16" i="48"/>
  <c r="G24" i="7"/>
  <c r="E15" i="40"/>
  <c r="G20" i="7"/>
  <c r="E16" i="47"/>
  <c r="G27" i="7"/>
  <c r="E25" i="40"/>
  <c r="G21" i="7"/>
  <c r="E15" i="43"/>
  <c r="E23" i="40"/>
  <c r="H20" i="7"/>
  <c r="E22" i="46"/>
  <c r="E22" i="49"/>
  <c r="H25" i="7"/>
  <c r="E22" i="47"/>
  <c r="H27" i="7"/>
  <c r="H26" i="7"/>
  <c r="I25" i="7"/>
  <c r="E15" i="39"/>
  <c r="G19" i="7"/>
  <c r="I15" i="7"/>
  <c r="J16" i="7"/>
  <c r="E16" i="46"/>
  <c r="G26" i="7"/>
  <c r="J20" i="7"/>
  <c r="G15" i="12"/>
  <c r="G12" i="7"/>
  <c r="E25" i="29"/>
  <c r="G29" i="7"/>
  <c r="E16" i="70"/>
  <c r="E21" i="30"/>
  <c r="H16" i="7"/>
  <c r="E21" i="42"/>
  <c r="E21" i="41"/>
  <c r="H22" i="7"/>
  <c r="E25" i="42"/>
  <c r="J17" i="7"/>
  <c r="E26" i="43"/>
  <c r="J21" i="7"/>
  <c r="E26" i="46"/>
  <c r="J26" i="7"/>
  <c r="E22" i="70"/>
  <c r="J29" i="7"/>
  <c r="I16" i="7"/>
  <c r="J24" i="88"/>
  <c r="N23" i="88"/>
  <c r="J25" i="88"/>
  <c r="E24" i="43"/>
  <c r="I21" i="7"/>
  <c r="E16" i="45"/>
  <c r="G28" i="7"/>
  <c r="H21" i="7"/>
  <c r="E34" i="13"/>
  <c r="E24" i="46"/>
  <c r="I26" i="7"/>
  <c r="E16" i="30"/>
  <c r="G16" i="7"/>
  <c r="E23" i="29"/>
  <c r="H18" i="7"/>
  <c r="E20" i="65"/>
  <c r="H15" i="7"/>
  <c r="H23" i="7"/>
  <c r="E30" i="13"/>
  <c r="J22" i="7"/>
  <c r="J18" i="7"/>
  <c r="I28" i="7"/>
  <c r="J23" i="7"/>
  <c r="J27" i="7"/>
  <c r="E26" i="47"/>
  <c r="I22" i="7"/>
  <c r="I23" i="7"/>
  <c r="M962" i="84"/>
  <c r="M921" i="84"/>
  <c r="M1003" i="84"/>
  <c r="E32" i="16" l="1"/>
  <c r="H14" i="7"/>
  <c r="R76" i="90"/>
  <c r="G24" i="12" s="1"/>
  <c r="L76" i="90"/>
  <c r="G23" i="12" s="1"/>
  <c r="H76" i="90"/>
  <c r="N83" i="90"/>
  <c r="E28" i="48" s="1"/>
  <c r="P83" i="90"/>
  <c r="R83" i="90"/>
  <c r="L83" i="90"/>
  <c r="I24" i="7" s="1"/>
  <c r="H83" i="90"/>
  <c r="N80" i="90"/>
  <c r="E29" i="39" s="1"/>
  <c r="P80" i="90"/>
  <c r="H80" i="90"/>
  <c r="L80" i="90"/>
  <c r="R80" i="90"/>
  <c r="N76" i="90"/>
  <c r="G25" i="12" s="1"/>
  <c r="F94" i="90"/>
  <c r="I14" i="7"/>
  <c r="I14" i="102"/>
  <c r="I18" i="102" s="1"/>
  <c r="E27" i="12" s="1"/>
  <c r="I12" i="7"/>
  <c r="G22" i="12"/>
  <c r="H12" i="7"/>
  <c r="I31" i="12"/>
  <c r="H31" i="12"/>
  <c r="E31" i="12"/>
  <c r="J12" i="7" l="1"/>
  <c r="J24" i="7"/>
  <c r="E26" i="48"/>
  <c r="E24" i="48"/>
  <c r="H24" i="7"/>
  <c r="E22" i="48"/>
  <c r="J19" i="7"/>
  <c r="E27" i="39"/>
  <c r="E25" i="39"/>
  <c r="I19" i="7"/>
  <c r="H19" i="7"/>
  <c r="E23" i="39"/>
  <c r="E45" i="10"/>
  <c r="I45" i="87" l="1"/>
  <c r="L45" i="87" s="1"/>
  <c r="A149" i="4"/>
  <c r="A148" i="4"/>
  <c r="A147" i="4"/>
  <c r="A146" i="4"/>
  <c r="A115" i="4"/>
  <c r="A89" i="4"/>
  <c r="A46" i="4"/>
  <c r="A45" i="4"/>
  <c r="A10" i="4"/>
  <c r="B5" i="4"/>
  <c r="B3" i="4"/>
  <c r="A13" i="4"/>
  <c r="W75" i="90" s="1"/>
  <c r="A12" i="4"/>
  <c r="A11" i="4"/>
  <c r="D44" i="97" l="1"/>
  <c r="C87" i="87"/>
  <c r="I83" i="87"/>
  <c r="E87" i="87" s="1"/>
  <c r="C44" i="97"/>
  <c r="W94" i="90"/>
  <c r="J83" i="90" s="1"/>
  <c r="E28" i="83"/>
  <c r="I2" i="84"/>
  <c r="B6" i="99"/>
  <c r="A4" i="5" s="1"/>
  <c r="M184" i="84"/>
  <c r="B148" i="4"/>
  <c r="B147" i="4"/>
  <c r="B146" i="4"/>
  <c r="B81" i="4"/>
  <c r="B47" i="4"/>
  <c r="J78" i="90" l="1"/>
  <c r="J80" i="90"/>
  <c r="J75" i="90"/>
  <c r="J76" i="90"/>
  <c r="J94" i="90" s="1"/>
  <c r="E89" i="87"/>
  <c r="I89" i="87" s="1"/>
  <c r="I94" i="87" s="1"/>
  <c r="C28" i="87" s="1"/>
  <c r="I28" i="87" s="1"/>
  <c r="L28" i="87" s="1"/>
  <c r="M274" i="84"/>
  <c r="M231" i="84"/>
  <c r="M315" i="84"/>
  <c r="I534" i="84"/>
  <c r="I183" i="84"/>
  <c r="I52" i="84"/>
  <c r="I100" i="84"/>
  <c r="I141" i="84"/>
  <c r="I356" i="84"/>
  <c r="I706" i="84"/>
  <c r="F59" i="5"/>
  <c r="I584" i="84" l="1"/>
  <c r="I624" i="84"/>
  <c r="I665" i="84"/>
  <c r="I406" i="84"/>
  <c r="I451" i="84"/>
  <c r="I492" i="84"/>
  <c r="I314" i="84"/>
  <c r="I230" i="84"/>
  <c r="I273" i="84"/>
  <c r="I837" i="84"/>
  <c r="I878" i="84" s="1"/>
  <c r="I756" i="84"/>
  <c r="I797" i="84"/>
  <c r="O34" i="8"/>
  <c r="I962" i="84" l="1"/>
  <c r="I1003" i="84"/>
  <c r="I921" i="84"/>
  <c r="V28" i="58" l="1"/>
  <c r="V26" i="58"/>
  <c r="A150" i="4"/>
  <c r="B135" i="4"/>
  <c r="B117" i="4"/>
  <c r="B89" i="4"/>
  <c r="E44" i="97" l="1"/>
  <c r="E8" i="8"/>
  <c r="B131" i="4" l="1"/>
  <c r="E262" i="23" l="1"/>
  <c r="A8" i="4" l="1"/>
  <c r="J15" i="88"/>
  <c r="K34" i="8" l="1"/>
  <c r="J34" i="8"/>
  <c r="I34" i="8"/>
  <c r="H34" i="8"/>
  <c r="E34" i="8"/>
  <c r="O30" i="8" s="1"/>
  <c r="K27" i="8"/>
  <c r="J27" i="8"/>
  <c r="I27" i="8"/>
  <c r="H27" i="8"/>
  <c r="E27" i="8"/>
  <c r="O29" i="8" l="1"/>
  <c r="A56" i="5"/>
  <c r="A64" i="4"/>
  <c r="O32" i="8" l="1"/>
  <c r="O36" i="8" s="1"/>
  <c r="B2" i="8" s="1"/>
  <c r="B79" i="4"/>
  <c r="B78" i="4"/>
  <c r="O37" i="8" l="1"/>
  <c r="V25" i="58"/>
  <c r="V29" i="58" s="1"/>
  <c r="E187" i="26" l="1"/>
  <c r="D187" i="26"/>
  <c r="BS3" i="76" l="1"/>
  <c r="I96" i="4" l="1"/>
  <c r="B67" i="4" l="1"/>
  <c r="B49" i="4" l="1"/>
  <c r="B59" i="5" l="1"/>
  <c r="E20" i="5" l="1"/>
  <c r="H20" i="50" l="1"/>
  <c r="I81" i="20" l="1"/>
  <c r="D80" i="20"/>
  <c r="C80" i="20"/>
  <c r="C31" i="12" l="1"/>
  <c r="A2" i="80" l="1"/>
  <c r="B70" i="4" l="1"/>
  <c r="A39" i="80" l="1"/>
  <c r="A4" i="80"/>
  <c r="D10" i="80"/>
  <c r="B10" i="80"/>
  <c r="AG27" i="58" l="1"/>
  <c r="AG24" i="58"/>
  <c r="AF27" i="58"/>
  <c r="AF24" i="58"/>
  <c r="D252" i="44"/>
  <c r="E252" i="44"/>
  <c r="C252" i="44"/>
  <c r="D196" i="64" l="1"/>
  <c r="E196" i="64"/>
  <c r="C196" i="64"/>
  <c r="Z27" i="58" l="1"/>
  <c r="Z24" i="58"/>
  <c r="X24" i="58"/>
  <c r="D168" i="18"/>
  <c r="E168" i="18"/>
  <c r="C168" i="18"/>
  <c r="AE27" i="58"/>
  <c r="AE24" i="58"/>
  <c r="AD27" i="58"/>
  <c r="AD24" i="58"/>
  <c r="AC27" i="58"/>
  <c r="AC24" i="58"/>
  <c r="AB27" i="58"/>
  <c r="AB24" i="58"/>
  <c r="AA24" i="58"/>
  <c r="AA27" i="58"/>
  <c r="X27" i="58"/>
  <c r="W27" i="58"/>
  <c r="W24" i="58"/>
  <c r="U27" i="58"/>
  <c r="U24" i="58"/>
  <c r="T27" i="58"/>
  <c r="T24" i="58"/>
  <c r="S27" i="58"/>
  <c r="S24" i="58"/>
  <c r="Q27" i="58"/>
  <c r="Q24" i="58"/>
  <c r="O27" i="58"/>
  <c r="O24" i="58"/>
  <c r="N27" i="58"/>
  <c r="N24" i="58"/>
  <c r="M24" i="58"/>
  <c r="M27" i="58"/>
  <c r="D247" i="52"/>
  <c r="E247" i="52"/>
  <c r="C247" i="52"/>
  <c r="D262" i="23"/>
  <c r="C262" i="23"/>
  <c r="AH27" i="58" l="1"/>
  <c r="G35" i="58" s="1"/>
  <c r="D144" i="16"/>
  <c r="E144" i="16"/>
  <c r="C144" i="16"/>
  <c r="D183" i="17"/>
  <c r="E183" i="17"/>
  <c r="C183" i="17"/>
  <c r="B122" i="71"/>
  <c r="D175" i="71"/>
  <c r="E175" i="71"/>
  <c r="C175" i="71"/>
  <c r="B65" i="71"/>
  <c r="D180" i="15"/>
  <c r="E180" i="15"/>
  <c r="C180" i="15"/>
  <c r="D179" i="61"/>
  <c r="E179" i="61"/>
  <c r="C179" i="61"/>
  <c r="D180" i="60"/>
  <c r="E180" i="60"/>
  <c r="C180" i="60"/>
  <c r="D245" i="11"/>
  <c r="E245" i="11"/>
  <c r="C245" i="11"/>
  <c r="C357" i="10"/>
  <c r="D31" i="12" l="1"/>
  <c r="D41" i="4" l="1"/>
  <c r="C19" i="80" s="1"/>
  <c r="D40" i="4"/>
  <c r="C20" i="80" s="1"/>
  <c r="D39" i="4"/>
  <c r="C18" i="80" s="1"/>
  <c r="D38" i="4"/>
  <c r="D36" i="4"/>
  <c r="D35" i="4"/>
  <c r="D34" i="4"/>
  <c r="D33" i="4"/>
  <c r="D32" i="4"/>
  <c r="D31" i="4"/>
  <c r="C21" i="80" s="1"/>
  <c r="D30" i="4"/>
  <c r="D29" i="4"/>
  <c r="D28" i="4"/>
  <c r="D27" i="4"/>
  <c r="C17" i="80" s="1"/>
  <c r="D26" i="4"/>
  <c r="C16" i="80" s="1"/>
  <c r="D25" i="4"/>
  <c r="C15" i="80" s="1"/>
  <c r="D24" i="4"/>
  <c r="C14" i="80" s="1"/>
  <c r="D23" i="4"/>
  <c r="C13" i="80" s="1"/>
  <c r="D22" i="4"/>
  <c r="B41" i="4"/>
  <c r="B40" i="4"/>
  <c r="B39" i="4"/>
  <c r="B38" i="4"/>
  <c r="B36" i="4"/>
  <c r="B35" i="4"/>
  <c r="B34" i="4"/>
  <c r="B33" i="4"/>
  <c r="B32" i="4"/>
  <c r="B31" i="4"/>
  <c r="B30" i="4"/>
  <c r="B29" i="4"/>
  <c r="B28" i="4"/>
  <c r="B27" i="4"/>
  <c r="B26" i="4"/>
  <c r="B25" i="4"/>
  <c r="B24" i="4"/>
  <c r="B23" i="4"/>
  <c r="B22" i="4"/>
  <c r="C23" i="80" l="1"/>
  <c r="E6" i="32"/>
  <c r="F39" i="16" l="1"/>
  <c r="C184" i="22" l="1"/>
  <c r="C108" i="21"/>
  <c r="C35" i="32" l="1"/>
  <c r="D35" i="32"/>
  <c r="C37" i="32" l="1"/>
  <c r="D184" i="22"/>
  <c r="D108" i="21"/>
  <c r="K37" i="65" l="1"/>
  <c r="K35" i="65"/>
  <c r="A1" i="78" l="1"/>
  <c r="C17" i="74" l="1"/>
  <c r="CA3" i="76" l="1"/>
  <c r="BZ3" i="76"/>
  <c r="BY3" i="76"/>
  <c r="BX3" i="76"/>
  <c r="BW3" i="76"/>
  <c r="BR3" i="76"/>
  <c r="BQ3" i="76"/>
  <c r="BP3" i="76"/>
  <c r="BO3" i="76"/>
  <c r="BK3" i="76"/>
  <c r="BJ3" i="76"/>
  <c r="BG3" i="76"/>
  <c r="BF3" i="76"/>
  <c r="BD3" i="76"/>
  <c r="BC3" i="76"/>
  <c r="AR3" i="76"/>
  <c r="AQ3" i="76"/>
  <c r="AP3" i="76"/>
  <c r="AO3" i="76"/>
  <c r="AM3" i="76"/>
  <c r="S3" i="76"/>
  <c r="R3" i="76"/>
  <c r="Q3" i="76"/>
  <c r="M3" i="76"/>
  <c r="L3" i="76"/>
  <c r="K3" i="76"/>
  <c r="J3" i="76"/>
  <c r="I3" i="76"/>
  <c r="H3" i="76"/>
  <c r="B3" i="76"/>
  <c r="V7" i="78" l="1"/>
  <c r="AO7" i="78"/>
  <c r="N7" i="78"/>
  <c r="AK7" i="78"/>
  <c r="AP7" i="78"/>
  <c r="AT7" i="78"/>
  <c r="AD7" i="78"/>
  <c r="AM7" i="78"/>
  <c r="AQ7" i="78"/>
  <c r="AU7" i="78"/>
  <c r="AE7" i="78"/>
  <c r="AN7" i="78"/>
  <c r="AS7" i="78"/>
  <c r="AV7" i="78"/>
  <c r="AH7" i="78"/>
  <c r="K7" i="78"/>
  <c r="AJ7" i="78"/>
  <c r="Y7" i="78"/>
  <c r="X7" i="78"/>
  <c r="AG7" i="78"/>
  <c r="L7" i="78"/>
  <c r="C41" i="38" l="1"/>
  <c r="D41" i="38"/>
  <c r="N53" i="4"/>
  <c r="H35" i="48" s="1"/>
  <c r="Q53" i="4"/>
  <c r="Q56" i="4"/>
  <c r="Q52" i="4"/>
  <c r="A77" i="50" s="1"/>
  <c r="S49" i="4"/>
  <c r="A7" i="48" s="1"/>
  <c r="S52" i="4"/>
  <c r="A7" i="49" s="1"/>
  <c r="Q51" i="4"/>
  <c r="A25" i="7" s="1"/>
  <c r="O49" i="4"/>
  <c r="O51" i="4"/>
  <c r="A38" i="4" s="1"/>
  <c r="S51" i="4"/>
  <c r="A6" i="49" s="1"/>
  <c r="N56" i="4"/>
  <c r="B19" i="4"/>
  <c r="E3" i="70"/>
  <c r="E3" i="31"/>
  <c r="E3" i="65"/>
  <c r="N44" i="4"/>
  <c r="I28" i="10"/>
  <c r="D9" i="4"/>
  <c r="F22" i="4"/>
  <c r="W17" i="90" s="1"/>
  <c r="E184" i="22"/>
  <c r="E108" i="21"/>
  <c r="C28" i="60"/>
  <c r="C42" i="50" s="1"/>
  <c r="C6" i="74"/>
  <c r="C28" i="74" s="1"/>
  <c r="D6" i="74"/>
  <c r="D28" i="74" s="1"/>
  <c r="E3" i="74"/>
  <c r="E6" i="74" s="1"/>
  <c r="E28" i="74" s="1"/>
  <c r="C1" i="74"/>
  <c r="D53" i="74"/>
  <c r="D18" i="74" s="1"/>
  <c r="C53" i="74"/>
  <c r="C18" i="74" s="1"/>
  <c r="J93" i="4"/>
  <c r="A97" i="4"/>
  <c r="H37" i="45"/>
  <c r="R42" i="4"/>
  <c r="R40" i="4"/>
  <c r="N41" i="4"/>
  <c r="B20" i="4"/>
  <c r="B48" i="4"/>
  <c r="A37" i="4"/>
  <c r="O45" i="4"/>
  <c r="O44" i="4"/>
  <c r="N45" i="4"/>
  <c r="R41" i="4"/>
  <c r="I1" i="50"/>
  <c r="B18" i="4"/>
  <c r="F36" i="29"/>
  <c r="A3" i="50"/>
  <c r="A49" i="50" s="1"/>
  <c r="A4" i="50"/>
  <c r="A11" i="50"/>
  <c r="C14" i="50"/>
  <c r="C49" i="50" s="1"/>
  <c r="E14" i="50"/>
  <c r="E49" i="50" s="1"/>
  <c r="G14" i="50"/>
  <c r="G49" i="50" s="1"/>
  <c r="H15" i="50"/>
  <c r="H50" i="50" s="1"/>
  <c r="D20" i="50"/>
  <c r="F20" i="50"/>
  <c r="D21" i="50"/>
  <c r="F21" i="50"/>
  <c r="D23" i="50"/>
  <c r="F23" i="50"/>
  <c r="D27" i="50"/>
  <c r="F27" i="50"/>
  <c r="D36" i="50"/>
  <c r="F36" i="50"/>
  <c r="D37" i="50"/>
  <c r="F37" i="50"/>
  <c r="D38" i="50"/>
  <c r="F38" i="50"/>
  <c r="D43" i="50"/>
  <c r="F43" i="50"/>
  <c r="D45" i="50"/>
  <c r="F45" i="50"/>
  <c r="D60" i="50"/>
  <c r="F60" i="50"/>
  <c r="D61" i="50"/>
  <c r="F61" i="50"/>
  <c r="D62" i="50"/>
  <c r="F62" i="50"/>
  <c r="D63" i="50"/>
  <c r="F63" i="50"/>
  <c r="D64" i="50"/>
  <c r="F64" i="50"/>
  <c r="N68" i="50"/>
  <c r="J70" i="50"/>
  <c r="K70" i="50"/>
  <c r="D73" i="50"/>
  <c r="F73" i="50"/>
  <c r="D74" i="50"/>
  <c r="F74" i="50"/>
  <c r="D75" i="50"/>
  <c r="F75" i="50"/>
  <c r="D76" i="50"/>
  <c r="F76" i="50"/>
  <c r="D77" i="50"/>
  <c r="F77" i="50"/>
  <c r="G80" i="50"/>
  <c r="G81" i="50"/>
  <c r="C82" i="50"/>
  <c r="E82" i="50"/>
  <c r="G82" i="50"/>
  <c r="C83" i="50"/>
  <c r="E83" i="50"/>
  <c r="G83" i="50"/>
  <c r="C84" i="50"/>
  <c r="E84" i="50"/>
  <c r="G84" i="50"/>
  <c r="C85" i="50"/>
  <c r="E85" i="50"/>
  <c r="G85" i="50"/>
  <c r="C86" i="50"/>
  <c r="E86" i="50"/>
  <c r="G86" i="50"/>
  <c r="C87" i="50"/>
  <c r="E87" i="50"/>
  <c r="G87" i="50"/>
  <c r="B1" i="49"/>
  <c r="F3" i="49"/>
  <c r="C6" i="49"/>
  <c r="D6" i="49"/>
  <c r="E6" i="49"/>
  <c r="A14" i="49"/>
  <c r="A15" i="49"/>
  <c r="A16" i="49"/>
  <c r="A17" i="49"/>
  <c r="F19" i="49"/>
  <c r="C30" i="49"/>
  <c r="C33" i="49"/>
  <c r="D33" i="49"/>
  <c r="E33" i="49"/>
  <c r="C39" i="49"/>
  <c r="B1" i="48"/>
  <c r="F3" i="48"/>
  <c r="C6" i="48"/>
  <c r="D6" i="48"/>
  <c r="E6" i="48"/>
  <c r="A14" i="48"/>
  <c r="A15" i="48"/>
  <c r="A16" i="48"/>
  <c r="A17" i="48"/>
  <c r="F19" i="48"/>
  <c r="C30" i="48"/>
  <c r="C33" i="48"/>
  <c r="C76" i="50" s="1"/>
  <c r="D33" i="48"/>
  <c r="E33" i="48"/>
  <c r="D82" i="5" s="1"/>
  <c r="C39" i="48"/>
  <c r="B1" i="47"/>
  <c r="F3" i="47"/>
  <c r="C6" i="47"/>
  <c r="D6" i="47"/>
  <c r="E6" i="47"/>
  <c r="A14" i="47"/>
  <c r="A15" i="47"/>
  <c r="A16" i="47"/>
  <c r="A17" i="47"/>
  <c r="F19" i="47"/>
  <c r="C30" i="47"/>
  <c r="C33" i="47"/>
  <c r="C75" i="50" s="1"/>
  <c r="D33" i="47"/>
  <c r="E33" i="47"/>
  <c r="C39" i="47"/>
  <c r="B1" i="46"/>
  <c r="F3" i="46"/>
  <c r="C6" i="46"/>
  <c r="D6" i="46"/>
  <c r="E6" i="46"/>
  <c r="A14" i="46"/>
  <c r="A15" i="46"/>
  <c r="A16" i="46"/>
  <c r="A17" i="46"/>
  <c r="F19" i="46"/>
  <c r="C30" i="46"/>
  <c r="C33" i="46"/>
  <c r="C74" i="50" s="1"/>
  <c r="D33" i="46"/>
  <c r="E33" i="46"/>
  <c r="C39" i="46"/>
  <c r="B1" i="45"/>
  <c r="F3" i="45"/>
  <c r="C6" i="45"/>
  <c r="D6" i="45"/>
  <c r="E6" i="45"/>
  <c r="A14" i="45"/>
  <c r="A15" i="45"/>
  <c r="A16" i="45"/>
  <c r="A17" i="45"/>
  <c r="F19" i="45"/>
  <c r="C30" i="45"/>
  <c r="C33" i="45"/>
  <c r="C73" i="50"/>
  <c r="D33" i="45"/>
  <c r="E33" i="45"/>
  <c r="C39" i="45"/>
  <c r="B1" i="44"/>
  <c r="E3" i="44"/>
  <c r="E128" i="44" s="1"/>
  <c r="C6" i="44"/>
  <c r="C73" i="44" s="1"/>
  <c r="D6" i="44"/>
  <c r="E6" i="44"/>
  <c r="C22" i="44"/>
  <c r="B1" i="43"/>
  <c r="F3" i="43"/>
  <c r="C6" i="43"/>
  <c r="D6" i="43"/>
  <c r="E6" i="43"/>
  <c r="A13" i="43"/>
  <c r="A14" i="43"/>
  <c r="A15" i="43"/>
  <c r="A16" i="43"/>
  <c r="F19" i="43"/>
  <c r="C30" i="43"/>
  <c r="C35" i="43"/>
  <c r="C64" i="50" s="1"/>
  <c r="D35" i="43"/>
  <c r="E64" i="50" s="1"/>
  <c r="E35" i="43"/>
  <c r="G64" i="50"/>
  <c r="C42" i="43"/>
  <c r="B1" i="42"/>
  <c r="F3" i="42"/>
  <c r="C6" i="42"/>
  <c r="D6" i="42"/>
  <c r="E6" i="42"/>
  <c r="A13" i="42"/>
  <c r="A14" i="42"/>
  <c r="A15" i="42"/>
  <c r="A16" i="42"/>
  <c r="F18" i="42"/>
  <c r="C29" i="42"/>
  <c r="C33" i="42"/>
  <c r="C63" i="50" s="1"/>
  <c r="D33" i="42"/>
  <c r="E33" i="42"/>
  <c r="C39" i="42"/>
  <c r="C1" i="41"/>
  <c r="F3" i="41"/>
  <c r="C6" i="41"/>
  <c r="D6" i="41"/>
  <c r="E6" i="41"/>
  <c r="A13" i="41"/>
  <c r="A14" i="41"/>
  <c r="A15" i="41"/>
  <c r="A16" i="41"/>
  <c r="F18" i="41"/>
  <c r="C29" i="41"/>
  <c r="C34" i="41"/>
  <c r="D34" i="41"/>
  <c r="E34" i="41"/>
  <c r="F34" i="41" s="1"/>
  <c r="C41" i="41"/>
  <c r="B1" i="40"/>
  <c r="F3" i="40"/>
  <c r="C6" i="40"/>
  <c r="D6" i="40"/>
  <c r="E6" i="40"/>
  <c r="A13" i="40"/>
  <c r="A14" i="40"/>
  <c r="A15" i="40"/>
  <c r="A16" i="40"/>
  <c r="F18" i="40"/>
  <c r="F20" i="40"/>
  <c r="C41" i="40"/>
  <c r="C47" i="40"/>
  <c r="C61" i="50" s="1"/>
  <c r="D47" i="40"/>
  <c r="E47" i="40"/>
  <c r="C56" i="40"/>
  <c r="B1" i="39"/>
  <c r="A8" i="39" s="1"/>
  <c r="F3" i="39"/>
  <c r="C6" i="39"/>
  <c r="D6" i="39"/>
  <c r="E6" i="39"/>
  <c r="A13" i="39"/>
  <c r="A14" i="39"/>
  <c r="A15" i="39"/>
  <c r="A16" i="39"/>
  <c r="F18" i="39"/>
  <c r="F20" i="39"/>
  <c r="C41" i="39"/>
  <c r="C47" i="39"/>
  <c r="D47" i="39"/>
  <c r="E47" i="39"/>
  <c r="C56" i="39"/>
  <c r="C1" i="64"/>
  <c r="C180" i="64" s="1"/>
  <c r="E3" i="64"/>
  <c r="E182" i="64" s="1"/>
  <c r="C6" i="64"/>
  <c r="C185" i="64" s="1"/>
  <c r="D6" i="64"/>
  <c r="E6" i="64"/>
  <c r="C17" i="64"/>
  <c r="B1" i="38"/>
  <c r="E3" i="38"/>
  <c r="E6" i="38" s="1"/>
  <c r="C6" i="38"/>
  <c r="D6" i="38"/>
  <c r="C21" i="38"/>
  <c r="D21" i="38"/>
  <c r="C22" i="38"/>
  <c r="D22" i="38"/>
  <c r="C23" i="38"/>
  <c r="D23" i="38"/>
  <c r="C56" i="50"/>
  <c r="B1" i="37"/>
  <c r="E3" i="37"/>
  <c r="E118" i="37" s="1"/>
  <c r="C6" i="37"/>
  <c r="D6" i="37"/>
  <c r="C12" i="37"/>
  <c r="D12" i="37"/>
  <c r="B1" i="58"/>
  <c r="E3" i="58"/>
  <c r="C6" i="58"/>
  <c r="G42" i="58" s="1"/>
  <c r="D6" i="58"/>
  <c r="H42" i="58" s="1"/>
  <c r="E6" i="58"/>
  <c r="I42" i="58" s="1"/>
  <c r="M17" i="58"/>
  <c r="M19" i="58"/>
  <c r="N19" i="58"/>
  <c r="O19" i="58"/>
  <c r="P19" i="58"/>
  <c r="Q19" i="58"/>
  <c r="R19" i="58"/>
  <c r="S19" i="58"/>
  <c r="T19" i="58"/>
  <c r="U19" i="58"/>
  <c r="W19" i="58"/>
  <c r="X19" i="58"/>
  <c r="AB19" i="58"/>
  <c r="AC19" i="58"/>
  <c r="AD19" i="58"/>
  <c r="AE19" i="58"/>
  <c r="AF19" i="58"/>
  <c r="AG19" i="58"/>
  <c r="M20" i="58"/>
  <c r="N20" i="58"/>
  <c r="O20" i="58"/>
  <c r="P20" i="58"/>
  <c r="Q20" i="58"/>
  <c r="R20" i="58"/>
  <c r="S20" i="58"/>
  <c r="T20" i="58"/>
  <c r="U20" i="58"/>
  <c r="W20" i="58"/>
  <c r="X20" i="58"/>
  <c r="AA20" i="58"/>
  <c r="AB20" i="58"/>
  <c r="AC20" i="58"/>
  <c r="AD20" i="58"/>
  <c r="AE20" i="58"/>
  <c r="AF20" i="58"/>
  <c r="AG20" i="58"/>
  <c r="M21" i="58"/>
  <c r="N21" i="58"/>
  <c r="O21" i="58"/>
  <c r="P21" i="58"/>
  <c r="Q21" i="58"/>
  <c r="R21" i="58"/>
  <c r="S21" i="58"/>
  <c r="T21" i="58"/>
  <c r="U21" i="58"/>
  <c r="W21" i="58"/>
  <c r="X21" i="58"/>
  <c r="Z21" i="58"/>
  <c r="AA21" i="58"/>
  <c r="AB21" i="58"/>
  <c r="AC21" i="58"/>
  <c r="AD21" i="58"/>
  <c r="AE21" i="58"/>
  <c r="AF21" i="58"/>
  <c r="AG21" i="58"/>
  <c r="M22" i="58"/>
  <c r="N22" i="58"/>
  <c r="O22" i="58"/>
  <c r="P22" i="58"/>
  <c r="AC22" i="58"/>
  <c r="AE22" i="58"/>
  <c r="AF22" i="58"/>
  <c r="AG22" i="58"/>
  <c r="M23" i="58"/>
  <c r="N23" i="58"/>
  <c r="O23" i="58"/>
  <c r="Q23" i="58"/>
  <c r="R23" i="58"/>
  <c r="S23" i="58"/>
  <c r="T23" i="58"/>
  <c r="U23" i="58"/>
  <c r="W23" i="58"/>
  <c r="X23" i="58"/>
  <c r="AB23" i="58"/>
  <c r="AC23" i="58"/>
  <c r="AD23" i="58"/>
  <c r="AE23" i="58"/>
  <c r="AF23" i="58"/>
  <c r="AG23" i="58"/>
  <c r="M25" i="58"/>
  <c r="N25" i="58"/>
  <c r="O25" i="58"/>
  <c r="P25" i="58"/>
  <c r="Q25" i="58"/>
  <c r="R25" i="58"/>
  <c r="S25" i="58"/>
  <c r="T25" i="58"/>
  <c r="U25" i="58"/>
  <c r="W25" i="58"/>
  <c r="X25" i="58"/>
  <c r="Y25" i="58"/>
  <c r="AB25" i="58"/>
  <c r="AC25" i="58"/>
  <c r="AD25" i="58"/>
  <c r="AE25" i="58"/>
  <c r="AF25" i="58"/>
  <c r="AG25" i="58"/>
  <c r="M26" i="58"/>
  <c r="N26" i="58"/>
  <c r="O26" i="58"/>
  <c r="Q26" i="58"/>
  <c r="S26" i="58"/>
  <c r="T26" i="58"/>
  <c r="AC26" i="58"/>
  <c r="AE26" i="58"/>
  <c r="AG26" i="58"/>
  <c r="Y28" i="58"/>
  <c r="AE28" i="58"/>
  <c r="G44" i="58"/>
  <c r="H44" i="58"/>
  <c r="I44" i="58"/>
  <c r="B1" i="32"/>
  <c r="E3" i="32"/>
  <c r="C6" i="32"/>
  <c r="D6" i="32"/>
  <c r="C30" i="32"/>
  <c r="D30" i="32"/>
  <c r="C39" i="50"/>
  <c r="C1" i="31"/>
  <c r="C6" i="31"/>
  <c r="D6" i="31"/>
  <c r="E6" i="31"/>
  <c r="A14" i="31"/>
  <c r="A15" i="31"/>
  <c r="A16" i="31"/>
  <c r="A17" i="31"/>
  <c r="H21" i="31"/>
  <c r="C24" i="31"/>
  <c r="C29" i="31"/>
  <c r="C38" i="50" s="1"/>
  <c r="D29" i="31"/>
  <c r="C33" i="31"/>
  <c r="C1" i="30"/>
  <c r="F3" i="30"/>
  <c r="C6" i="30"/>
  <c r="D6" i="30"/>
  <c r="E6" i="30"/>
  <c r="A14" i="30"/>
  <c r="A15" i="30"/>
  <c r="A16" i="30"/>
  <c r="A17" i="30"/>
  <c r="C29" i="30"/>
  <c r="C34" i="30"/>
  <c r="C37" i="50" s="1"/>
  <c r="D34" i="30"/>
  <c r="E34" i="30"/>
  <c r="C40" i="30"/>
  <c r="B1" i="29"/>
  <c r="F3" i="29"/>
  <c r="C6" i="29"/>
  <c r="D6" i="29"/>
  <c r="E6" i="29"/>
  <c r="A14" i="29"/>
  <c r="A15" i="29"/>
  <c r="A16" i="29"/>
  <c r="A17" i="29"/>
  <c r="F20" i="29"/>
  <c r="C32" i="29"/>
  <c r="D32" i="29"/>
  <c r="E32" i="29"/>
  <c r="C34" i="29"/>
  <c r="D34" i="29"/>
  <c r="E34" i="29"/>
  <c r="C36" i="29"/>
  <c r="D36" i="29"/>
  <c r="C46" i="29"/>
  <c r="C36" i="50" s="1"/>
  <c r="D46" i="29"/>
  <c r="E46" i="29"/>
  <c r="C52" i="29"/>
  <c r="C1" i="52"/>
  <c r="E3" i="52"/>
  <c r="C6" i="52"/>
  <c r="C191" i="52" s="1"/>
  <c r="D6" i="52"/>
  <c r="D191" i="52" s="1"/>
  <c r="E6" i="52"/>
  <c r="C20" i="52"/>
  <c r="B2" i="26"/>
  <c r="D24" i="26" s="1"/>
  <c r="E3" i="26"/>
  <c r="E135" i="26" s="1"/>
  <c r="C6" i="26"/>
  <c r="C138" i="26" s="1"/>
  <c r="D6" i="26"/>
  <c r="D138" i="26" s="1"/>
  <c r="E6" i="26"/>
  <c r="E138" i="26" s="1"/>
  <c r="C31" i="26"/>
  <c r="D31" i="26"/>
  <c r="E31" i="26"/>
  <c r="C32" i="26"/>
  <c r="D32" i="26"/>
  <c r="E32" i="26"/>
  <c r="C33" i="26"/>
  <c r="D33" i="26"/>
  <c r="C35" i="26"/>
  <c r="C35" i="50" s="1"/>
  <c r="D35" i="26"/>
  <c r="D1" i="70"/>
  <c r="C6" i="70"/>
  <c r="D6" i="70"/>
  <c r="E6" i="70"/>
  <c r="A14" i="70"/>
  <c r="A15" i="70"/>
  <c r="A16" i="70"/>
  <c r="A17" i="70"/>
  <c r="C24" i="70"/>
  <c r="C29" i="70"/>
  <c r="D29" i="70"/>
  <c r="E43" i="50" s="1"/>
  <c r="C33" i="70"/>
  <c r="B1" i="23"/>
  <c r="B196" i="23" s="1"/>
  <c r="E3" i="23"/>
  <c r="E198" i="23" s="1"/>
  <c r="C6" i="23"/>
  <c r="C201" i="23" s="1"/>
  <c r="D6" i="23"/>
  <c r="E6" i="23"/>
  <c r="E201" i="23" s="1"/>
  <c r="C24" i="23"/>
  <c r="D24" i="23"/>
  <c r="E24" i="23"/>
  <c r="C25" i="23"/>
  <c r="D25" i="23"/>
  <c r="E25" i="23"/>
  <c r="C26" i="23"/>
  <c r="D26" i="23"/>
  <c r="B1" i="22"/>
  <c r="B68" i="22" s="1"/>
  <c r="E3" i="22"/>
  <c r="E126" i="22" s="1"/>
  <c r="C6" i="22"/>
  <c r="C32" i="22" s="1"/>
  <c r="D6" i="22"/>
  <c r="D73" i="22" s="1"/>
  <c r="E6" i="22"/>
  <c r="E129" i="22" s="1"/>
  <c r="C23" i="22"/>
  <c r="D23" i="22"/>
  <c r="E23" i="22"/>
  <c r="C24" i="22"/>
  <c r="D24" i="22"/>
  <c r="E24" i="22"/>
  <c r="C25" i="22"/>
  <c r="D25" i="22"/>
  <c r="C27" i="22"/>
  <c r="D27" i="22"/>
  <c r="B1" i="21"/>
  <c r="B56" i="21" s="1"/>
  <c r="E3" i="21"/>
  <c r="E58" i="21" s="1"/>
  <c r="C6" i="21"/>
  <c r="C30" i="21" s="1"/>
  <c r="D6" i="21"/>
  <c r="D30" i="21" s="1"/>
  <c r="E6" i="21"/>
  <c r="E30" i="21" s="1"/>
  <c r="C21" i="21"/>
  <c r="D21" i="21"/>
  <c r="E21" i="21"/>
  <c r="C22" i="21"/>
  <c r="D22" i="21"/>
  <c r="E22" i="21"/>
  <c r="C23" i="21"/>
  <c r="D23" i="21"/>
  <c r="C25" i="21"/>
  <c r="D25" i="21"/>
  <c r="B1" i="20"/>
  <c r="B65" i="20" s="1"/>
  <c r="E3" i="20"/>
  <c r="E67" i="20" s="1"/>
  <c r="C6" i="20"/>
  <c r="C70" i="20" s="1"/>
  <c r="D6" i="20"/>
  <c r="D70" i="20" s="1"/>
  <c r="E6" i="20"/>
  <c r="E70" i="20" s="1"/>
  <c r="C18" i="20"/>
  <c r="D18" i="20"/>
  <c r="E18" i="20"/>
  <c r="C19" i="20"/>
  <c r="D19" i="20"/>
  <c r="E19" i="20"/>
  <c r="C20" i="20"/>
  <c r="D20" i="20"/>
  <c r="C31" i="50"/>
  <c r="B1" i="19"/>
  <c r="B53" i="19" s="1"/>
  <c r="E3" i="19"/>
  <c r="E55" i="19" s="1"/>
  <c r="C6" i="19"/>
  <c r="C58" i="19" s="1"/>
  <c r="D6" i="19"/>
  <c r="D58" i="19" s="1"/>
  <c r="E6" i="19"/>
  <c r="E58" i="19" s="1"/>
  <c r="C28" i="19"/>
  <c r="D28" i="19"/>
  <c r="E28" i="19"/>
  <c r="C29" i="19"/>
  <c r="D29" i="19"/>
  <c r="E29" i="19"/>
  <c r="C30" i="19"/>
  <c r="D30" i="19"/>
  <c r="C100" i="19"/>
  <c r="C32" i="19" s="1"/>
  <c r="C30" i="50" s="1"/>
  <c r="D100" i="19"/>
  <c r="D32" i="19" s="1"/>
  <c r="E100" i="19"/>
  <c r="B1" i="18"/>
  <c r="B129" i="18" s="1"/>
  <c r="E3" i="18"/>
  <c r="E131" i="18" s="1"/>
  <c r="C6" i="18"/>
  <c r="C70" i="18" s="1"/>
  <c r="D6" i="18"/>
  <c r="E6" i="18"/>
  <c r="E70" i="18" s="1"/>
  <c r="C19" i="18"/>
  <c r="D19" i="18"/>
  <c r="E19" i="18"/>
  <c r="C20" i="18"/>
  <c r="D20" i="18"/>
  <c r="E20" i="18"/>
  <c r="C21" i="18"/>
  <c r="D21" i="18"/>
  <c r="C1" i="65"/>
  <c r="C6" i="65"/>
  <c r="D6" i="65"/>
  <c r="E6" i="65"/>
  <c r="A14" i="65"/>
  <c r="A15" i="65"/>
  <c r="A16" i="65"/>
  <c r="A17" i="65"/>
  <c r="C26" i="65"/>
  <c r="C31" i="65"/>
  <c r="D31" i="65"/>
  <c r="C35" i="65"/>
  <c r="B1" i="17"/>
  <c r="B124" i="17" s="1"/>
  <c r="E3" i="17"/>
  <c r="C6" i="17"/>
  <c r="D6" i="17"/>
  <c r="E6" i="17"/>
  <c r="C20" i="17"/>
  <c r="D20" i="17"/>
  <c r="E20" i="17"/>
  <c r="C21" i="17"/>
  <c r="D21" i="17"/>
  <c r="E21" i="17"/>
  <c r="C22" i="17"/>
  <c r="D22" i="17"/>
  <c r="C24" i="17"/>
  <c r="D24" i="17"/>
  <c r="C1" i="16"/>
  <c r="C35" i="16" s="1"/>
  <c r="F3" i="16"/>
  <c r="C6" i="16"/>
  <c r="D6" i="16"/>
  <c r="E6" i="16"/>
  <c r="A14" i="16"/>
  <c r="A15" i="16"/>
  <c r="A16" i="16"/>
  <c r="A17" i="16"/>
  <c r="F19" i="16"/>
  <c r="F21" i="16"/>
  <c r="F30" i="16"/>
  <c r="F37" i="16"/>
  <c r="C41" i="16"/>
  <c r="D41" i="16"/>
  <c r="E41" i="16"/>
  <c r="B1" i="71"/>
  <c r="E3" i="71"/>
  <c r="C6" i="71"/>
  <c r="D6" i="71"/>
  <c r="E6" i="71"/>
  <c r="E64" i="71" s="1"/>
  <c r="C20" i="71"/>
  <c r="D20" i="71"/>
  <c r="E20" i="71"/>
  <c r="C21" i="71"/>
  <c r="D21" i="71"/>
  <c r="E21" i="71"/>
  <c r="C22" i="71"/>
  <c r="D22" i="71"/>
  <c r="A34" i="71"/>
  <c r="B35" i="71"/>
  <c r="C24" i="71"/>
  <c r="C26" i="50" s="1"/>
  <c r="D24" i="71"/>
  <c r="C1" i="15"/>
  <c r="C126" i="15" s="1"/>
  <c r="E3" i="15"/>
  <c r="C6" i="15"/>
  <c r="D6" i="15"/>
  <c r="D72" i="15" s="1"/>
  <c r="E6" i="15"/>
  <c r="C19" i="15"/>
  <c r="D19" i="15"/>
  <c r="E19" i="15"/>
  <c r="C20" i="15"/>
  <c r="D20" i="15"/>
  <c r="E20" i="15"/>
  <c r="C21" i="15"/>
  <c r="D21" i="15"/>
  <c r="C23" i="15"/>
  <c r="D23" i="15"/>
  <c r="B2" i="61"/>
  <c r="E3" i="61"/>
  <c r="E128" i="61" s="1"/>
  <c r="C6" i="61"/>
  <c r="D6" i="61"/>
  <c r="D69" i="61" s="1"/>
  <c r="E6" i="61"/>
  <c r="E34" i="61" s="1"/>
  <c r="C24" i="61"/>
  <c r="D24" i="61"/>
  <c r="E24" i="61"/>
  <c r="C25" i="61"/>
  <c r="D25" i="61"/>
  <c r="E25" i="61"/>
  <c r="C26" i="61"/>
  <c r="D26" i="61"/>
  <c r="A34" i="61"/>
  <c r="A69" i="61" s="1"/>
  <c r="A131" i="61" s="1"/>
  <c r="C1" i="14"/>
  <c r="C67" i="14" s="1"/>
  <c r="E3" i="14"/>
  <c r="E69" i="14" s="1"/>
  <c r="C6" i="14"/>
  <c r="C28" i="14" s="1"/>
  <c r="D6" i="14"/>
  <c r="D72" i="14" s="1"/>
  <c r="E6" i="14"/>
  <c r="E28" i="14" s="1"/>
  <c r="C20" i="14"/>
  <c r="D20" i="14"/>
  <c r="E20" i="14"/>
  <c r="C21" i="14"/>
  <c r="D21" i="14"/>
  <c r="E21" i="14"/>
  <c r="C22" i="14"/>
  <c r="D22" i="14"/>
  <c r="C124" i="14"/>
  <c r="C24" i="14"/>
  <c r="D124" i="14"/>
  <c r="D24" i="14" s="1"/>
  <c r="E124" i="14"/>
  <c r="B2" i="60"/>
  <c r="E3" i="60"/>
  <c r="E129" i="60" s="1"/>
  <c r="C6" i="60"/>
  <c r="C33" i="60" s="1"/>
  <c r="D6" i="60"/>
  <c r="E6" i="60"/>
  <c r="C24" i="60"/>
  <c r="D24" i="60"/>
  <c r="E24" i="60"/>
  <c r="C25" i="60"/>
  <c r="D25" i="60"/>
  <c r="E25" i="60"/>
  <c r="C26" i="60"/>
  <c r="D26" i="60"/>
  <c r="D28" i="60"/>
  <c r="A33" i="60"/>
  <c r="A70" i="60"/>
  <c r="A132" i="60" s="1"/>
  <c r="B1" i="13"/>
  <c r="B59" i="13" s="1"/>
  <c r="F3" i="13"/>
  <c r="F61" i="13" s="1"/>
  <c r="C6" i="13"/>
  <c r="C64" i="13" s="1"/>
  <c r="D6" i="13"/>
  <c r="D126" i="13" s="1"/>
  <c r="E6" i="13"/>
  <c r="E64" i="13" s="1"/>
  <c r="A14" i="13"/>
  <c r="A15" i="13"/>
  <c r="A16" i="13"/>
  <c r="A17" i="13"/>
  <c r="F19" i="13"/>
  <c r="F23" i="13"/>
  <c r="F25" i="13"/>
  <c r="F37" i="13"/>
  <c r="F40" i="13"/>
  <c r="C43" i="13"/>
  <c r="D43" i="13"/>
  <c r="E43" i="13"/>
  <c r="C45" i="13"/>
  <c r="D45" i="13"/>
  <c r="E45" i="13"/>
  <c r="C47" i="13"/>
  <c r="D47" i="13"/>
  <c r="C163" i="13"/>
  <c r="C50" i="13" s="1"/>
  <c r="C23" i="50" s="1"/>
  <c r="D163" i="13"/>
  <c r="D50" i="13" s="1"/>
  <c r="E163" i="13"/>
  <c r="E50" i="13" s="1"/>
  <c r="B1" i="12"/>
  <c r="D28" i="12" s="1"/>
  <c r="E3" i="12"/>
  <c r="E74" i="12" s="1"/>
  <c r="C6" i="12"/>
  <c r="C77" i="12" s="1"/>
  <c r="D6" i="12"/>
  <c r="D44" i="12" s="1"/>
  <c r="E6" i="12"/>
  <c r="E273" i="12" s="1"/>
  <c r="A14" i="12"/>
  <c r="A15" i="12"/>
  <c r="A16" i="12"/>
  <c r="A36" i="12"/>
  <c r="A38" i="12"/>
  <c r="C324" i="12"/>
  <c r="D324" i="12"/>
  <c r="E324" i="12"/>
  <c r="G31" i="12" s="1"/>
  <c r="C1" i="11"/>
  <c r="E3" i="11"/>
  <c r="C6" i="11"/>
  <c r="C192" i="11" s="1"/>
  <c r="D6" i="11"/>
  <c r="E6" i="11"/>
  <c r="C19" i="11"/>
  <c r="C25" i="11"/>
  <c r="C1" i="10"/>
  <c r="E3" i="10"/>
  <c r="E190" i="10" s="1"/>
  <c r="C6" i="10"/>
  <c r="C193" i="10" s="1"/>
  <c r="D6" i="10"/>
  <c r="D71" i="10" s="1"/>
  <c r="E6" i="10"/>
  <c r="E193" i="10" s="1"/>
  <c r="A14" i="10"/>
  <c r="A15" i="10"/>
  <c r="A16" i="10"/>
  <c r="A17" i="10"/>
  <c r="I52" i="10"/>
  <c r="I1" i="9"/>
  <c r="A3" i="9"/>
  <c r="I9" i="9" s="1"/>
  <c r="J9" i="9"/>
  <c r="E31" i="9"/>
  <c r="F31" i="9"/>
  <c r="G31" i="9"/>
  <c r="H31" i="9"/>
  <c r="I31" i="9"/>
  <c r="J31" i="9"/>
  <c r="J1" i="8"/>
  <c r="A3" i="8"/>
  <c r="H6" i="8"/>
  <c r="J6" i="8"/>
  <c r="H9" i="9"/>
  <c r="L1" i="7"/>
  <c r="A3" i="7"/>
  <c r="G6" i="7"/>
  <c r="L7" i="7"/>
  <c r="C8" i="7"/>
  <c r="E6" i="7" s="1"/>
  <c r="K8" i="7"/>
  <c r="L8" i="7"/>
  <c r="E9" i="7"/>
  <c r="F9" i="7" s="1"/>
  <c r="L9" i="7"/>
  <c r="C33" i="7"/>
  <c r="G33" i="7"/>
  <c r="C37" i="7"/>
  <c r="G37" i="7"/>
  <c r="A39" i="7"/>
  <c r="D1" i="6"/>
  <c r="G3" i="6"/>
  <c r="B8" i="6"/>
  <c r="D8" i="6"/>
  <c r="F8" i="6"/>
  <c r="B12" i="6"/>
  <c r="D12" i="6"/>
  <c r="F12" i="6"/>
  <c r="B16" i="6"/>
  <c r="D16" i="6"/>
  <c r="F16" i="6"/>
  <c r="C1" i="5"/>
  <c r="I1" i="87" s="1"/>
  <c r="F3" i="5"/>
  <c r="F65" i="5" s="1"/>
  <c r="A10" i="5"/>
  <c r="D12" i="5"/>
  <c r="D67" i="5" s="1"/>
  <c r="E14" i="5"/>
  <c r="E69" i="5" s="1"/>
  <c r="D35" i="5"/>
  <c r="D50" i="5"/>
  <c r="D51" i="5"/>
  <c r="D52" i="5"/>
  <c r="D79" i="5"/>
  <c r="D80" i="5"/>
  <c r="D81" i="5"/>
  <c r="D83" i="5"/>
  <c r="A96" i="5"/>
  <c r="B113" i="5"/>
  <c r="D113" i="5"/>
  <c r="E113" i="5"/>
  <c r="F113" i="5"/>
  <c r="A119" i="5"/>
  <c r="F119" i="5"/>
  <c r="J37" i="65" s="1"/>
  <c r="E120" i="5"/>
  <c r="F121" i="5"/>
  <c r="A7" i="4"/>
  <c r="B10" i="4"/>
  <c r="B11" i="4"/>
  <c r="B12" i="4"/>
  <c r="B13" i="4"/>
  <c r="B16" i="4"/>
  <c r="B17" i="4"/>
  <c r="D20" i="4"/>
  <c r="F20" i="4"/>
  <c r="N40" i="4"/>
  <c r="H33" i="65" s="1"/>
  <c r="B45" i="4"/>
  <c r="B51" i="4"/>
  <c r="B52" i="4"/>
  <c r="B56" i="4"/>
  <c r="B65" i="4"/>
  <c r="B66" i="4"/>
  <c r="B68" i="4"/>
  <c r="B69" i="4"/>
  <c r="B73" i="4"/>
  <c r="B74" i="4"/>
  <c r="A105" i="4"/>
  <c r="A110" i="4"/>
  <c r="B115" i="4"/>
  <c r="B120" i="4"/>
  <c r="B122" i="4"/>
  <c r="D122" i="4"/>
  <c r="F122" i="4"/>
  <c r="B132" i="4"/>
  <c r="B133" i="4"/>
  <c r="B134" i="4"/>
  <c r="B139" i="4"/>
  <c r="A140" i="4"/>
  <c r="B141" i="4"/>
  <c r="A142" i="4"/>
  <c r="B150" i="4"/>
  <c r="B156" i="4"/>
  <c r="A157" i="4"/>
  <c r="A175" i="4"/>
  <c r="C131" i="44"/>
  <c r="F34" i="30"/>
  <c r="C36" i="46"/>
  <c r="D9" i="46" s="1"/>
  <c r="D49" i="97" s="1"/>
  <c r="F33" i="46"/>
  <c r="D121" i="37"/>
  <c r="G77" i="50"/>
  <c r="E77" i="50"/>
  <c r="C77" i="50"/>
  <c r="E76" i="50"/>
  <c r="G74" i="50"/>
  <c r="E74" i="50"/>
  <c r="F35" i="43"/>
  <c r="F38" i="43" s="1"/>
  <c r="C39" i="43"/>
  <c r="D9" i="43" s="1"/>
  <c r="D40" i="97" s="1"/>
  <c r="D54" i="5"/>
  <c r="C36" i="42"/>
  <c r="D9" i="42" s="1"/>
  <c r="D47" i="97" s="1"/>
  <c r="F33" i="42"/>
  <c r="F35" i="42" s="1"/>
  <c r="E63" i="50"/>
  <c r="G61" i="50"/>
  <c r="E61" i="50"/>
  <c r="E31" i="50"/>
  <c r="C36" i="45"/>
  <c r="D9" i="45" s="1"/>
  <c r="D48" i="97" s="1"/>
  <c r="C36" i="47"/>
  <c r="D9" i="47" s="1"/>
  <c r="D50" i="97" s="1"/>
  <c r="F35" i="46"/>
  <c r="C23" i="64"/>
  <c r="F47" i="40"/>
  <c r="G73" i="50"/>
  <c r="E73" i="50"/>
  <c r="G75" i="50"/>
  <c r="E75" i="50"/>
  <c r="F33" i="49"/>
  <c r="C45" i="50"/>
  <c r="C60" i="50"/>
  <c r="C62" i="50"/>
  <c r="E29" i="15"/>
  <c r="C129" i="22"/>
  <c r="C73" i="22"/>
  <c r="D61" i="21"/>
  <c r="E17" i="43"/>
  <c r="E17" i="12"/>
  <c r="E16" i="12"/>
  <c r="D16" i="49"/>
  <c r="E35" i="12"/>
  <c r="C24" i="50"/>
  <c r="E56" i="50"/>
  <c r="C33" i="50"/>
  <c r="E38" i="50"/>
  <c r="E45" i="50"/>
  <c r="C43" i="50"/>
  <c r="C25" i="50"/>
  <c r="C53" i="40"/>
  <c r="D9" i="40" s="1"/>
  <c r="D38" i="97" s="1"/>
  <c r="J146" i="4"/>
  <c r="J147" i="4"/>
  <c r="J149" i="4"/>
  <c r="F33" i="48" l="1"/>
  <c r="G76" i="50"/>
  <c r="H42" i="41"/>
  <c r="H32" i="70"/>
  <c r="H40" i="42"/>
  <c r="H40" i="45"/>
  <c r="H40" i="47"/>
  <c r="H19" i="16"/>
  <c r="D40" i="10"/>
  <c r="D35" i="10"/>
  <c r="D41" i="10"/>
  <c r="A29" i="4"/>
  <c r="B236" i="37"/>
  <c r="B174" i="37"/>
  <c r="D241" i="37"/>
  <c r="D179" i="37"/>
  <c r="C241" i="37"/>
  <c r="C14" i="37" s="1"/>
  <c r="C55" i="50" s="1"/>
  <c r="C179" i="37"/>
  <c r="D39" i="10"/>
  <c r="D37" i="10"/>
  <c r="D336" i="10" s="1"/>
  <c r="B23" i="90"/>
  <c r="B81" i="90" s="1"/>
  <c r="B25" i="90"/>
  <c r="B83" i="90" s="1"/>
  <c r="B22" i="90"/>
  <c r="B80" i="90" s="1"/>
  <c r="B26" i="90"/>
  <c r="B84" i="90" s="1"/>
  <c r="J69" i="50"/>
  <c r="J68" i="50" s="1"/>
  <c r="C68" i="50" s="1"/>
  <c r="D18" i="37"/>
  <c r="BI3" i="76"/>
  <c r="C18" i="37"/>
  <c r="BH3" i="76"/>
  <c r="C69" i="87"/>
  <c r="G69" i="87" s="1"/>
  <c r="R19" i="87"/>
  <c r="G19" i="87" s="1"/>
  <c r="R22" i="87"/>
  <c r="G20" i="87" s="1"/>
  <c r="E28" i="31" s="1"/>
  <c r="C67" i="87"/>
  <c r="G67" i="87" s="1"/>
  <c r="C68" i="87"/>
  <c r="G68" i="87" s="1"/>
  <c r="I61" i="87"/>
  <c r="C75" i="87"/>
  <c r="I75" i="87" s="1"/>
  <c r="G24" i="87"/>
  <c r="I26" i="87" s="1"/>
  <c r="L26" i="87" s="1"/>
  <c r="E18" i="87"/>
  <c r="C63" i="87"/>
  <c r="I63" i="87" s="1"/>
  <c r="C32" i="65"/>
  <c r="D9" i="65" s="1"/>
  <c r="D18" i="97" s="1"/>
  <c r="C36" i="49"/>
  <c r="D9" i="49" s="1"/>
  <c r="D52" i="97" s="1"/>
  <c r="W36" i="90"/>
  <c r="J25" i="90" s="1"/>
  <c r="C35" i="10"/>
  <c r="D38" i="10"/>
  <c r="C38" i="10"/>
  <c r="C24" i="26"/>
  <c r="C27" i="12"/>
  <c r="C13" i="58"/>
  <c r="E24" i="50"/>
  <c r="G15" i="19"/>
  <c r="E36" i="50"/>
  <c r="F34" i="29"/>
  <c r="E62" i="50"/>
  <c r="E42" i="50"/>
  <c r="G17" i="19"/>
  <c r="F47" i="39"/>
  <c r="F52" i="39" s="1"/>
  <c r="F37" i="41"/>
  <c r="G18" i="19"/>
  <c r="G16" i="19"/>
  <c r="F46" i="29"/>
  <c r="F48" i="29" s="1"/>
  <c r="B61" i="37"/>
  <c r="F35" i="48"/>
  <c r="C36" i="48"/>
  <c r="D9" i="48" s="1"/>
  <c r="D51" i="97" s="1"/>
  <c r="D53" i="97" s="1"/>
  <c r="F33" i="45"/>
  <c r="G62" i="50"/>
  <c r="C38" i="41"/>
  <c r="D9" i="41" s="1"/>
  <c r="D39" i="97" s="1"/>
  <c r="G60" i="50"/>
  <c r="G37" i="50"/>
  <c r="E37" i="50"/>
  <c r="G36" i="50"/>
  <c r="C37" i="30"/>
  <c r="D9" i="30" s="1"/>
  <c r="D29" i="97" s="1"/>
  <c r="D36" i="5"/>
  <c r="F36" i="30"/>
  <c r="F45" i="13"/>
  <c r="G30" i="7"/>
  <c r="D30" i="7"/>
  <c r="C80" i="50"/>
  <c r="G40" i="12"/>
  <c r="H41" i="30"/>
  <c r="H40" i="49"/>
  <c r="E270" i="12"/>
  <c r="H53" i="29"/>
  <c r="H38" i="46"/>
  <c r="C66" i="37"/>
  <c r="E73" i="22"/>
  <c r="F123" i="13"/>
  <c r="D28" i="14"/>
  <c r="C30" i="31"/>
  <c r="D9" i="31" s="1"/>
  <c r="D30" i="97" s="1"/>
  <c r="C37" i="29"/>
  <c r="C49" i="29" s="1"/>
  <c r="D9" i="29" s="1"/>
  <c r="C30" i="70"/>
  <c r="D9" i="70" s="1"/>
  <c r="C255" i="10"/>
  <c r="C121" i="37"/>
  <c r="W29" i="58"/>
  <c r="C273" i="12"/>
  <c r="C44" i="12"/>
  <c r="C204" i="12"/>
  <c r="C136" i="12"/>
  <c r="E130" i="10"/>
  <c r="E255" i="10"/>
  <c r="D66" i="37"/>
  <c r="D204" i="12"/>
  <c r="C61" i="21"/>
  <c r="C72" i="14"/>
  <c r="B21" i="80"/>
  <c r="B20" i="80"/>
  <c r="B19" i="80"/>
  <c r="B15" i="80"/>
  <c r="B18" i="80"/>
  <c r="B14" i="80"/>
  <c r="F14" i="80" s="1"/>
  <c r="B17" i="80"/>
  <c r="F17" i="80" s="1"/>
  <c r="B13" i="80"/>
  <c r="B16" i="80"/>
  <c r="B133" i="26"/>
  <c r="D84" i="5"/>
  <c r="D77" i="12"/>
  <c r="D136" i="12"/>
  <c r="AN3" i="76"/>
  <c r="D129" i="22"/>
  <c r="E72" i="14"/>
  <c r="E61" i="21"/>
  <c r="F52" i="40"/>
  <c r="C53" i="39"/>
  <c r="D9" i="39" s="1"/>
  <c r="E68" i="10"/>
  <c r="H57" i="39"/>
  <c r="E313" i="10"/>
  <c r="E252" i="10"/>
  <c r="E71" i="10"/>
  <c r="H36" i="31"/>
  <c r="H38" i="48"/>
  <c r="H18" i="13"/>
  <c r="H43" i="43"/>
  <c r="E80" i="50"/>
  <c r="D78" i="50"/>
  <c r="F35" i="45"/>
  <c r="E30" i="50"/>
  <c r="D16" i="30"/>
  <c r="E18" i="46"/>
  <c r="E17" i="41"/>
  <c r="A121" i="71"/>
  <c r="A64" i="71"/>
  <c r="E33" i="50"/>
  <c r="C47" i="32"/>
  <c r="D9" i="32" s="1"/>
  <c r="C19" i="74"/>
  <c r="D9" i="74" s="1"/>
  <c r="AK10" i="78"/>
  <c r="D16" i="65"/>
  <c r="D15" i="41"/>
  <c r="D16" i="31"/>
  <c r="D16" i="12"/>
  <c r="E18" i="45"/>
  <c r="D16" i="47"/>
  <c r="E18" i="49"/>
  <c r="E18" i="30"/>
  <c r="D53" i="5"/>
  <c r="G63" i="50"/>
  <c r="E57" i="50"/>
  <c r="D16" i="48"/>
  <c r="D15" i="40"/>
  <c r="D15" i="43"/>
  <c r="D16" i="70"/>
  <c r="D15" i="39"/>
  <c r="D15" i="42"/>
  <c r="E18" i="13"/>
  <c r="E18" i="29"/>
  <c r="F35" i="49"/>
  <c r="C78" i="50"/>
  <c r="F43" i="13"/>
  <c r="E25" i="50"/>
  <c r="F32" i="29"/>
  <c r="E18" i="47"/>
  <c r="E17" i="42"/>
  <c r="D16" i="16"/>
  <c r="D16" i="13"/>
  <c r="D16" i="46"/>
  <c r="D16" i="29"/>
  <c r="D16" i="45"/>
  <c r="E17" i="39"/>
  <c r="E17" i="40"/>
  <c r="E18" i="48"/>
  <c r="E23" i="50"/>
  <c r="E39" i="50"/>
  <c r="S29" i="58"/>
  <c r="E60" i="50"/>
  <c r="F33" i="47"/>
  <c r="D70" i="60"/>
  <c r="D132" i="60"/>
  <c r="O3" i="76" s="1"/>
  <c r="E72" i="15"/>
  <c r="E131" i="15"/>
  <c r="E118" i="71"/>
  <c r="E61" i="71"/>
  <c r="F51" i="16"/>
  <c r="F118" i="16"/>
  <c r="E29" i="17"/>
  <c r="E129" i="17"/>
  <c r="D71" i="23"/>
  <c r="D201" i="23"/>
  <c r="C70" i="60"/>
  <c r="C132" i="60"/>
  <c r="N3" i="76" s="1"/>
  <c r="D29" i="15"/>
  <c r="D131" i="15"/>
  <c r="X3" i="76" s="1"/>
  <c r="E43" i="16"/>
  <c r="E121" i="16"/>
  <c r="AE3" i="76" s="1"/>
  <c r="C116" i="16"/>
  <c r="D70" i="17"/>
  <c r="D129" i="17"/>
  <c r="AG3" i="76" s="1"/>
  <c r="E125" i="52"/>
  <c r="E188" i="52"/>
  <c r="E125" i="64"/>
  <c r="E185" i="64"/>
  <c r="C72" i="15"/>
  <c r="C131" i="15"/>
  <c r="W3" i="76" s="1"/>
  <c r="D121" i="71"/>
  <c r="D64" i="71"/>
  <c r="D43" i="16"/>
  <c r="D121" i="16"/>
  <c r="C29" i="17"/>
  <c r="C129" i="17"/>
  <c r="AF3" i="76" s="1"/>
  <c r="E128" i="52"/>
  <c r="E191" i="52"/>
  <c r="D125" i="64"/>
  <c r="D185" i="64"/>
  <c r="E126" i="11"/>
  <c r="E189" i="11"/>
  <c r="E70" i="60"/>
  <c r="E132" i="60"/>
  <c r="P3" i="76" s="1"/>
  <c r="E69" i="15"/>
  <c r="E128" i="15"/>
  <c r="C64" i="71"/>
  <c r="C121" i="71"/>
  <c r="C43" i="16"/>
  <c r="C121" i="16"/>
  <c r="E67" i="17"/>
  <c r="E126" i="17"/>
  <c r="C123" i="52"/>
  <c r="C186" i="52"/>
  <c r="E29" i="44"/>
  <c r="E197" i="44"/>
  <c r="B126" i="44"/>
  <c r="B192" i="44"/>
  <c r="B68" i="44"/>
  <c r="D131" i="44"/>
  <c r="D197" i="44"/>
  <c r="C29" i="44"/>
  <c r="C197" i="44"/>
  <c r="E70" i="44"/>
  <c r="E194" i="44"/>
  <c r="E23" i="64"/>
  <c r="C61" i="64"/>
  <c r="C120" i="64"/>
  <c r="C66" i="64"/>
  <c r="C18" i="64" s="1"/>
  <c r="C58" i="50" s="1"/>
  <c r="C125" i="64"/>
  <c r="E63" i="64"/>
  <c r="E122" i="64"/>
  <c r="E66" i="64"/>
  <c r="D23" i="64"/>
  <c r="D66" i="64"/>
  <c r="C27" i="61"/>
  <c r="C24" i="21"/>
  <c r="C26" i="21" s="1"/>
  <c r="D9" i="21" s="1"/>
  <c r="C21" i="20"/>
  <c r="C81" i="20" s="1"/>
  <c r="D9" i="20" s="1"/>
  <c r="D28" i="18"/>
  <c r="D134" i="18"/>
  <c r="D70" i="18"/>
  <c r="C28" i="18"/>
  <c r="C134" i="18"/>
  <c r="E28" i="18"/>
  <c r="E134" i="18"/>
  <c r="X29" i="58"/>
  <c r="AB29" i="58"/>
  <c r="Q29" i="58"/>
  <c r="M29" i="58"/>
  <c r="Y29" i="58"/>
  <c r="U29" i="58"/>
  <c r="AA29" i="58"/>
  <c r="C128" i="52"/>
  <c r="C40" i="52"/>
  <c r="D40" i="52"/>
  <c r="D128" i="52"/>
  <c r="AE29" i="58"/>
  <c r="E61" i="52"/>
  <c r="AH22" i="58"/>
  <c r="G25" i="58" s="1"/>
  <c r="E64" i="52"/>
  <c r="C59" i="52"/>
  <c r="C64" i="52"/>
  <c r="D64" i="52"/>
  <c r="C40" i="26"/>
  <c r="AD29" i="58"/>
  <c r="C37" i="23"/>
  <c r="C136" i="23"/>
  <c r="E133" i="23"/>
  <c r="E37" i="23"/>
  <c r="E136" i="23"/>
  <c r="B131" i="23"/>
  <c r="D37" i="23"/>
  <c r="D136" i="23"/>
  <c r="AC29" i="58"/>
  <c r="C71" i="23"/>
  <c r="D32" i="22"/>
  <c r="AH24" i="58"/>
  <c r="G29" i="58" s="1"/>
  <c r="B116" i="71"/>
  <c r="B59" i="71"/>
  <c r="B116" i="37"/>
  <c r="B127" i="60"/>
  <c r="C49" i="16"/>
  <c r="F41" i="16"/>
  <c r="AH23" i="58"/>
  <c r="G27" i="58" s="1"/>
  <c r="E70" i="17"/>
  <c r="C70" i="17"/>
  <c r="C23" i="71"/>
  <c r="C25" i="71" s="1"/>
  <c r="D9" i="71" s="1"/>
  <c r="E34" i="71"/>
  <c r="D34" i="71"/>
  <c r="C34" i="71"/>
  <c r="T29" i="58"/>
  <c r="C29" i="15"/>
  <c r="C22" i="15"/>
  <c r="C24" i="15" s="1"/>
  <c r="D9" i="15" s="1"/>
  <c r="E66" i="61"/>
  <c r="D34" i="61"/>
  <c r="D131" i="61"/>
  <c r="C69" i="61"/>
  <c r="C131" i="61"/>
  <c r="E69" i="61"/>
  <c r="E131" i="61"/>
  <c r="V3" i="76" s="1"/>
  <c r="B64" i="61"/>
  <c r="B126" i="61"/>
  <c r="D33" i="60"/>
  <c r="AH25" i="58"/>
  <c r="G31" i="58" s="1"/>
  <c r="AH21" i="58"/>
  <c r="G23" i="58" s="1"/>
  <c r="E33" i="60"/>
  <c r="C27" i="60"/>
  <c r="C29" i="60" s="1"/>
  <c r="D9" i="60" s="1"/>
  <c r="E129" i="11"/>
  <c r="E192" i="11"/>
  <c r="C124" i="11"/>
  <c r="C187" i="11"/>
  <c r="D129" i="11"/>
  <c r="D192" i="11"/>
  <c r="C66" i="11"/>
  <c r="C129" i="11"/>
  <c r="E66" i="11"/>
  <c r="C61" i="11"/>
  <c r="D66" i="11"/>
  <c r="E27" i="11"/>
  <c r="E63" i="11"/>
  <c r="I32" i="12"/>
  <c r="C33" i="12"/>
  <c r="D33" i="12"/>
  <c r="O29" i="58"/>
  <c r="C49" i="13"/>
  <c r="C53" i="13" s="1"/>
  <c r="D9" i="13" s="1"/>
  <c r="AH26" i="58"/>
  <c r="G33" i="58" s="1"/>
  <c r="AH20" i="58"/>
  <c r="G21" i="58" s="1"/>
  <c r="C316" i="10"/>
  <c r="C23" i="14"/>
  <c r="C25" i="14" s="1"/>
  <c r="D9" i="14" s="1"/>
  <c r="C22" i="18"/>
  <c r="D255" i="10"/>
  <c r="C23" i="17"/>
  <c r="C25" i="17" s="1"/>
  <c r="D9" i="17" s="1"/>
  <c r="C13" i="37"/>
  <c r="C15" i="37" s="1"/>
  <c r="D9" i="37" s="1"/>
  <c r="E30" i="11"/>
  <c r="G88" i="50"/>
  <c r="E88" i="50"/>
  <c r="C88" i="50"/>
  <c r="E136" i="12"/>
  <c r="E32" i="22"/>
  <c r="E78" i="50"/>
  <c r="E40" i="52"/>
  <c r="D316" i="10"/>
  <c r="C34" i="61"/>
  <c r="E71" i="23"/>
  <c r="D193" i="10"/>
  <c r="E121" i="37"/>
  <c r="E121" i="71"/>
  <c r="E73" i="44"/>
  <c r="E131" i="44"/>
  <c r="L33" i="7"/>
  <c r="K13" i="7" s="1"/>
  <c r="L13" i="7" s="1"/>
  <c r="B65" i="60"/>
  <c r="A8" i="40"/>
  <c r="I47" i="50"/>
  <c r="N29" i="58"/>
  <c r="D54" i="16"/>
  <c r="AD3" i="76"/>
  <c r="E54" i="16"/>
  <c r="C54" i="16"/>
  <c r="C24" i="38"/>
  <c r="C42" i="38" s="1"/>
  <c r="D9" i="38" s="1"/>
  <c r="C42" i="16"/>
  <c r="F78" i="50"/>
  <c r="E126" i="13"/>
  <c r="D130" i="10"/>
  <c r="C30" i="11"/>
  <c r="C71" i="10"/>
  <c r="C126" i="13"/>
  <c r="C130" i="10"/>
  <c r="E70" i="22"/>
  <c r="E66" i="37"/>
  <c r="E67" i="18"/>
  <c r="E68" i="23"/>
  <c r="E6" i="37"/>
  <c r="E63" i="37"/>
  <c r="E67" i="60"/>
  <c r="E77" i="12"/>
  <c r="E44" i="12"/>
  <c r="E204" i="12"/>
  <c r="C26" i="22"/>
  <c r="C28" i="22" s="1"/>
  <c r="D9" i="22" s="1"/>
  <c r="C31" i="19"/>
  <c r="C33" i="19" s="1"/>
  <c r="D9" i="19" s="1"/>
  <c r="E201" i="12"/>
  <c r="E133" i="12"/>
  <c r="D273" i="12"/>
  <c r="C27" i="23"/>
  <c r="A51" i="5"/>
  <c r="A61" i="50"/>
  <c r="E81" i="50"/>
  <c r="E18" i="16"/>
  <c r="B72" i="12"/>
  <c r="A82" i="5"/>
  <c r="A60" i="50"/>
  <c r="A19" i="7"/>
  <c r="A28" i="4"/>
  <c r="B124" i="22"/>
  <c r="A24" i="7"/>
  <c r="A36" i="4"/>
  <c r="A173" i="4"/>
  <c r="B66" i="23"/>
  <c r="B65" i="18"/>
  <c r="A177" i="4"/>
  <c r="A76" i="50"/>
  <c r="D73" i="44"/>
  <c r="D30" i="11"/>
  <c r="D64" i="13"/>
  <c r="D29" i="17"/>
  <c r="D29" i="44"/>
  <c r="C81" i="50"/>
  <c r="E316" i="10"/>
  <c r="F67" i="50"/>
  <c r="E127" i="10"/>
  <c r="H57" i="40"/>
  <c r="A83" i="5"/>
  <c r="D40" i="26"/>
  <c r="AX3" i="76"/>
  <c r="C72" i="26"/>
  <c r="AW3" i="76"/>
  <c r="E69" i="26"/>
  <c r="AY3" i="76"/>
  <c r="AH19" i="58"/>
  <c r="G19" i="58" s="1"/>
  <c r="E40" i="26"/>
  <c r="C67" i="15"/>
  <c r="B67" i="26"/>
  <c r="D17" i="74"/>
  <c r="E32" i="50"/>
  <c r="E26" i="50"/>
  <c r="E35" i="50"/>
  <c r="E72" i="26"/>
  <c r="D72" i="26"/>
  <c r="C49" i="10"/>
  <c r="D67" i="50"/>
  <c r="C125" i="10"/>
  <c r="F39" i="40"/>
  <c r="F39" i="39"/>
  <c r="C32" i="50"/>
  <c r="C28" i="50"/>
  <c r="E28" i="50"/>
  <c r="G78" i="50"/>
  <c r="L37" i="7"/>
  <c r="K14" i="7" s="1"/>
  <c r="L14" i="7" s="1"/>
  <c r="F15" i="39"/>
  <c r="F16" i="49"/>
  <c r="F15" i="40"/>
  <c r="F16" i="46"/>
  <c r="F15" i="43"/>
  <c r="F15" i="42"/>
  <c r="F16" i="48"/>
  <c r="F16" i="45"/>
  <c r="G7" i="7"/>
  <c r="F16" i="29"/>
  <c r="F16" i="47"/>
  <c r="F15" i="41"/>
  <c r="F16" i="30"/>
  <c r="F16" i="13"/>
  <c r="C188" i="10"/>
  <c r="AH28" i="58"/>
  <c r="G37" i="58" s="1"/>
  <c r="Z29" i="58"/>
  <c r="AG29" i="58"/>
  <c r="AF29" i="58"/>
  <c r="R29" i="58"/>
  <c r="P29" i="58"/>
  <c r="C57" i="50"/>
  <c r="B131" i="12"/>
  <c r="B268" i="12"/>
  <c r="C66" i="10"/>
  <c r="J148" i="4"/>
  <c r="A6" i="4" s="1"/>
  <c r="A174" i="4"/>
  <c r="B121" i="13"/>
  <c r="G23" i="50"/>
  <c r="D22" i="5"/>
  <c r="F50" i="13"/>
  <c r="A50" i="5"/>
  <c r="A20" i="7"/>
  <c r="D30" i="49"/>
  <c r="B65" i="17"/>
  <c r="C250" i="10"/>
  <c r="C311" i="10"/>
  <c r="B199" i="12"/>
  <c r="A3" i="76"/>
  <c r="A3" i="77"/>
  <c r="H25" i="31"/>
  <c r="C30" i="7"/>
  <c r="F16" i="16"/>
  <c r="F30" i="7"/>
  <c r="E30" i="7"/>
  <c r="D37" i="97" l="1"/>
  <c r="D35" i="97"/>
  <c r="D39" i="7"/>
  <c r="J20" i="90"/>
  <c r="J22" i="90"/>
  <c r="J17" i="90"/>
  <c r="J18" i="90"/>
  <c r="C48" i="10"/>
  <c r="C51" i="10" s="1"/>
  <c r="D9" i="10" s="1"/>
  <c r="I71" i="87"/>
  <c r="I73" i="87" s="1"/>
  <c r="I77" i="87" s="1"/>
  <c r="I6" i="87" s="1"/>
  <c r="D14" i="37"/>
  <c r="E179" i="37"/>
  <c r="E176" i="37"/>
  <c r="E241" i="37"/>
  <c r="E238" i="37"/>
  <c r="AI7" i="78"/>
  <c r="D37" i="32"/>
  <c r="C32" i="12"/>
  <c r="D352" i="10"/>
  <c r="D34" i="97"/>
  <c r="D11" i="97"/>
  <c r="D15" i="97"/>
  <c r="D20" i="97"/>
  <c r="D23" i="97"/>
  <c r="D21" i="97"/>
  <c r="D12" i="97"/>
  <c r="D14" i="97"/>
  <c r="D22" i="97"/>
  <c r="D31" i="97"/>
  <c r="D33" i="97"/>
  <c r="D17" i="97"/>
  <c r="D28" i="97"/>
  <c r="E18" i="37"/>
  <c r="C16" i="58"/>
  <c r="G43" i="58" s="1"/>
  <c r="G45" i="58" s="1"/>
  <c r="D25" i="97"/>
  <c r="D10" i="97"/>
  <c r="E79" i="50"/>
  <c r="E70" i="50"/>
  <c r="E30" i="65"/>
  <c r="L21" i="87"/>
  <c r="J36" i="90"/>
  <c r="L33" i="87"/>
  <c r="G27" i="50"/>
  <c r="D26" i="5"/>
  <c r="C70" i="50"/>
  <c r="C79" i="50"/>
  <c r="C46" i="16"/>
  <c r="D9" i="16" s="1"/>
  <c r="C27" i="50"/>
  <c r="D30" i="48"/>
  <c r="D30" i="47"/>
  <c r="D30" i="46"/>
  <c r="D30" i="45"/>
  <c r="D30" i="43"/>
  <c r="D39" i="43" s="1"/>
  <c r="E9" i="43" s="1"/>
  <c r="D29" i="42"/>
  <c r="D29" i="41"/>
  <c r="D24" i="31"/>
  <c r="D29" i="30"/>
  <c r="D37" i="29"/>
  <c r="D24" i="70"/>
  <c r="D26" i="65"/>
  <c r="D23" i="14"/>
  <c r="C34" i="26"/>
  <c r="C36" i="26" s="1"/>
  <c r="D9" i="26" s="1"/>
  <c r="Z3" i="77"/>
  <c r="D22" i="15"/>
  <c r="E27" i="50"/>
  <c r="F43" i="16"/>
  <c r="W7" i="78"/>
  <c r="D41" i="40"/>
  <c r="D41" i="39"/>
  <c r="F17" i="13"/>
  <c r="AH3" i="76"/>
  <c r="D19" i="74"/>
  <c r="E9" i="74" s="1"/>
  <c r="BN3" i="76"/>
  <c r="E21" i="50"/>
  <c r="Z3" i="76"/>
  <c r="F35" i="47"/>
  <c r="D49" i="13"/>
  <c r="Y3" i="76"/>
  <c r="M7" i="78"/>
  <c r="BL3" i="76"/>
  <c r="B23" i="80"/>
  <c r="AA3" i="76"/>
  <c r="BV3" i="76"/>
  <c r="BU3" i="76"/>
  <c r="D23" i="44"/>
  <c r="BT3" i="76"/>
  <c r="C23" i="44"/>
  <c r="C19" i="64"/>
  <c r="D9" i="64" s="1"/>
  <c r="D36" i="97" s="1"/>
  <c r="BM3" i="76"/>
  <c r="D18" i="64"/>
  <c r="D13" i="37"/>
  <c r="D21" i="20"/>
  <c r="AK3" i="76"/>
  <c r="D23" i="18"/>
  <c r="AL3" i="76"/>
  <c r="AJ3" i="76"/>
  <c r="C23" i="18"/>
  <c r="C29" i="50" s="1"/>
  <c r="BA3" i="76"/>
  <c r="D21" i="52"/>
  <c r="AZ3" i="76"/>
  <c r="C21" i="52"/>
  <c r="BB3" i="76"/>
  <c r="AU3" i="76"/>
  <c r="D28" i="23"/>
  <c r="AT3" i="76"/>
  <c r="C28" i="23"/>
  <c r="C34" i="50" s="1"/>
  <c r="AS3" i="76"/>
  <c r="D23" i="71"/>
  <c r="AB3" i="76"/>
  <c r="C28" i="61"/>
  <c r="T3" i="76"/>
  <c r="D28" i="61"/>
  <c r="U3" i="76"/>
  <c r="D27" i="60"/>
  <c r="G3" i="76"/>
  <c r="E20" i="11"/>
  <c r="E3" i="76"/>
  <c r="C20" i="11"/>
  <c r="F3" i="76"/>
  <c r="D20" i="11"/>
  <c r="C21" i="50"/>
  <c r="D26" i="22"/>
  <c r="D24" i="38"/>
  <c r="D31" i="19"/>
  <c r="G38" i="58"/>
  <c r="AC3" i="76"/>
  <c r="AB7" i="78"/>
  <c r="C20" i="50"/>
  <c r="D24" i="21"/>
  <c r="D23" i="17"/>
  <c r="F17" i="16"/>
  <c r="I28" i="102" s="1"/>
  <c r="I30" i="102" s="1"/>
  <c r="E35" i="16" s="1"/>
  <c r="F35" i="16" s="1"/>
  <c r="D36" i="49"/>
  <c r="AH29" i="58"/>
  <c r="E35" i="97" l="1"/>
  <c r="AK9" i="78"/>
  <c r="H336" i="10"/>
  <c r="D48" i="10"/>
  <c r="D30" i="12"/>
  <c r="E55" i="50"/>
  <c r="D25" i="14"/>
  <c r="C40" i="12"/>
  <c r="D9" i="12" s="1"/>
  <c r="K69" i="50"/>
  <c r="K68" i="50" s="1"/>
  <c r="E68" i="50" s="1"/>
  <c r="L6" i="87"/>
  <c r="L30" i="87" s="1"/>
  <c r="L39" i="87" s="1"/>
  <c r="D15" i="58"/>
  <c r="D357" i="10"/>
  <c r="C3" i="76"/>
  <c r="D16" i="97"/>
  <c r="D26" i="97"/>
  <c r="E40" i="97"/>
  <c r="D7" i="97"/>
  <c r="C38" i="58"/>
  <c r="C54" i="50" s="1"/>
  <c r="D42" i="16"/>
  <c r="D36" i="47"/>
  <c r="D36" i="45"/>
  <c r="D32" i="65"/>
  <c r="E9" i="65" s="1"/>
  <c r="E18" i="97" s="1"/>
  <c r="D37" i="30"/>
  <c r="F9" i="43"/>
  <c r="D36" i="48"/>
  <c r="D36" i="46"/>
  <c r="D36" i="42"/>
  <c r="D30" i="70"/>
  <c r="D49" i="29"/>
  <c r="D38" i="41"/>
  <c r="D30" i="31"/>
  <c r="D47" i="32"/>
  <c r="D34" i="26"/>
  <c r="D53" i="40"/>
  <c r="D53" i="39"/>
  <c r="AG5" i="78"/>
  <c r="D24" i="15"/>
  <c r="D17" i="64"/>
  <c r="I17" i="13"/>
  <c r="H23" i="50"/>
  <c r="I23" i="50" s="1"/>
  <c r="E22" i="5"/>
  <c r="D53" i="13"/>
  <c r="S7" i="78"/>
  <c r="D15" i="37"/>
  <c r="P7" i="78"/>
  <c r="AR7" i="78"/>
  <c r="E66" i="50"/>
  <c r="C66" i="50"/>
  <c r="C24" i="44"/>
  <c r="D9" i="44" s="1"/>
  <c r="D41" i="97" s="1"/>
  <c r="AL7" i="78"/>
  <c r="E58" i="50"/>
  <c r="D42" i="38"/>
  <c r="D33" i="19"/>
  <c r="D81" i="20"/>
  <c r="E29" i="50"/>
  <c r="U7" i="78"/>
  <c r="C24" i="18"/>
  <c r="D9" i="18" s="1"/>
  <c r="E41" i="50"/>
  <c r="C22" i="52"/>
  <c r="D9" i="52" s="1"/>
  <c r="C41" i="50"/>
  <c r="AC7" i="78"/>
  <c r="E34" i="50"/>
  <c r="C29" i="23"/>
  <c r="D9" i="23" s="1"/>
  <c r="Z7" i="78"/>
  <c r="D28" i="22"/>
  <c r="D25" i="71"/>
  <c r="Q7" i="78"/>
  <c r="E44" i="50"/>
  <c r="O7" i="78"/>
  <c r="C44" i="50"/>
  <c r="C29" i="61"/>
  <c r="D9" i="61" s="1"/>
  <c r="D29" i="60"/>
  <c r="D39" i="5"/>
  <c r="G40" i="50"/>
  <c r="C21" i="11"/>
  <c r="D9" i="11" s="1"/>
  <c r="C40" i="50"/>
  <c r="E40" i="50"/>
  <c r="J7" i="78"/>
  <c r="R7" i="78"/>
  <c r="E17" i="13"/>
  <c r="E17" i="16"/>
  <c r="H27" i="50"/>
  <c r="AD3" i="77"/>
  <c r="D25" i="17"/>
  <c r="E9" i="14"/>
  <c r="D26" i="21"/>
  <c r="E26" i="5"/>
  <c r="I18" i="16"/>
  <c r="E9" i="49"/>
  <c r="E52" i="97" s="1"/>
  <c r="D8" i="97" l="1"/>
  <c r="D27" i="97"/>
  <c r="D9" i="97"/>
  <c r="D49" i="10"/>
  <c r="D16" i="58"/>
  <c r="D32" i="12"/>
  <c r="D13" i="97"/>
  <c r="D24" i="97"/>
  <c r="D19" i="97"/>
  <c r="E12" i="97"/>
  <c r="D46" i="16"/>
  <c r="D19" i="64"/>
  <c r="E9" i="47"/>
  <c r="E50" i="97" s="1"/>
  <c r="E9" i="45"/>
  <c r="E48" i="97" s="1"/>
  <c r="E9" i="48"/>
  <c r="E51" i="97" s="1"/>
  <c r="E9" i="30"/>
  <c r="E9" i="70"/>
  <c r="E9" i="46"/>
  <c r="E49" i="97" s="1"/>
  <c r="E9" i="42"/>
  <c r="E47" i="97" s="1"/>
  <c r="E9" i="32"/>
  <c r="E9" i="29"/>
  <c r="E9" i="41"/>
  <c r="E39" i="97" s="1"/>
  <c r="E9" i="31"/>
  <c r="E30" i="97" s="1"/>
  <c r="AG9" i="78"/>
  <c r="E9" i="40"/>
  <c r="D36" i="26"/>
  <c r="AJ9" i="78"/>
  <c r="E9" i="39"/>
  <c r="E9" i="15"/>
  <c r="G41" i="38"/>
  <c r="E9" i="60"/>
  <c r="AI9" i="78"/>
  <c r="E9" i="19"/>
  <c r="E9" i="13"/>
  <c r="D14" i="80"/>
  <c r="E9" i="37"/>
  <c r="E9" i="22"/>
  <c r="E9" i="20"/>
  <c r="E14" i="80"/>
  <c r="I27" i="50"/>
  <c r="D15" i="80"/>
  <c r="F15" i="80" s="1"/>
  <c r="E9" i="38"/>
  <c r="C67" i="50"/>
  <c r="C69" i="50" s="1"/>
  <c r="D22" i="44"/>
  <c r="E9" i="64"/>
  <c r="E36" i="97" s="1"/>
  <c r="E9" i="71"/>
  <c r="D22" i="18"/>
  <c r="D20" i="52"/>
  <c r="D27" i="23"/>
  <c r="D27" i="61"/>
  <c r="D19" i="11"/>
  <c r="AK5" i="78"/>
  <c r="E23" i="14"/>
  <c r="G3" i="77"/>
  <c r="E9" i="17"/>
  <c r="E9" i="21"/>
  <c r="R3" i="77"/>
  <c r="F9" i="49"/>
  <c r="E20" i="50" l="1"/>
  <c r="F3" i="77"/>
  <c r="D43" i="97"/>
  <c r="D45" i="97" s="1"/>
  <c r="D51" i="10"/>
  <c r="D40" i="12"/>
  <c r="H43" i="58"/>
  <c r="H45" i="58" s="1"/>
  <c r="D38" i="58"/>
  <c r="E38" i="97"/>
  <c r="E28" i="97"/>
  <c r="E31" i="97"/>
  <c r="E9" i="16"/>
  <c r="E29" i="97"/>
  <c r="E37" i="97"/>
  <c r="E25" i="97"/>
  <c r="E20" i="97"/>
  <c r="E10" i="97"/>
  <c r="E22" i="97"/>
  <c r="E23" i="97"/>
  <c r="E14" i="97"/>
  <c r="E17" i="97"/>
  <c r="E33" i="97"/>
  <c r="E15" i="97"/>
  <c r="E11" i="97"/>
  <c r="E34" i="97"/>
  <c r="E21" i="97"/>
  <c r="E53" i="97"/>
  <c r="F9" i="45"/>
  <c r="F9" i="47"/>
  <c r="AC3" i="77"/>
  <c r="F9" i="30"/>
  <c r="F9" i="48"/>
  <c r="F9" i="29"/>
  <c r="F9" i="46"/>
  <c r="F9" i="42"/>
  <c r="F9" i="41"/>
  <c r="F9" i="40"/>
  <c r="E9" i="26"/>
  <c r="O3" i="77"/>
  <c r="F9" i="39"/>
  <c r="E27" i="60"/>
  <c r="E22" i="15"/>
  <c r="E31" i="19"/>
  <c r="E41" i="38"/>
  <c r="I3" i="77"/>
  <c r="P3" i="77"/>
  <c r="E14" i="37"/>
  <c r="E21" i="20"/>
  <c r="J3" i="77"/>
  <c r="E26" i="22"/>
  <c r="G79" i="20"/>
  <c r="F9" i="13"/>
  <c r="AB3" i="77"/>
  <c r="E15" i="80"/>
  <c r="E23" i="71"/>
  <c r="D24" i="44"/>
  <c r="E17" i="64"/>
  <c r="AE3" i="77"/>
  <c r="D24" i="18"/>
  <c r="D22" i="52"/>
  <c r="D29" i="23"/>
  <c r="D29" i="61"/>
  <c r="D21" i="11"/>
  <c r="M5" i="78"/>
  <c r="N5" i="78"/>
  <c r="E24" i="14"/>
  <c r="Q3" i="77"/>
  <c r="E24" i="21"/>
  <c r="Y5" i="78"/>
  <c r="E9" i="10" l="1"/>
  <c r="E9" i="12"/>
  <c r="E54" i="50"/>
  <c r="F9" i="16"/>
  <c r="E16" i="97"/>
  <c r="E26" i="97"/>
  <c r="AJ5" i="78"/>
  <c r="E28" i="60"/>
  <c r="E25" i="21"/>
  <c r="E80" i="20"/>
  <c r="E27" i="22"/>
  <c r="W5" i="78"/>
  <c r="E24" i="71"/>
  <c r="E23" i="15"/>
  <c r="V5" i="78"/>
  <c r="E32" i="19"/>
  <c r="P5" i="78"/>
  <c r="Q5" i="78"/>
  <c r="AI5" i="78"/>
  <c r="E9" i="44"/>
  <c r="E41" i="97" s="1"/>
  <c r="AL5" i="78"/>
  <c r="E18" i="64"/>
  <c r="E9" i="18"/>
  <c r="E9" i="52"/>
  <c r="E9" i="23"/>
  <c r="E9" i="61"/>
  <c r="E9" i="11"/>
  <c r="N9" i="78"/>
  <c r="D23" i="5"/>
  <c r="G24" i="14"/>
  <c r="G24" i="50"/>
  <c r="X5" i="78"/>
  <c r="E25" i="14"/>
  <c r="E8" i="97" l="1"/>
  <c r="E27" i="97"/>
  <c r="E7" i="97"/>
  <c r="I41" i="87"/>
  <c r="L41" i="87" s="1"/>
  <c r="E67" i="50"/>
  <c r="E9" i="97"/>
  <c r="E24" i="97"/>
  <c r="E19" i="97"/>
  <c r="E13" i="97"/>
  <c r="P9" i="78"/>
  <c r="D30" i="5"/>
  <c r="E24" i="15"/>
  <c r="D24" i="5"/>
  <c r="G23" i="15"/>
  <c r="G25" i="50"/>
  <c r="G27" i="22"/>
  <c r="G42" i="50"/>
  <c r="D44" i="5"/>
  <c r="G28" i="60"/>
  <c r="M9" i="78"/>
  <c r="E29" i="60"/>
  <c r="V9" i="78"/>
  <c r="E33" i="19"/>
  <c r="D29" i="5"/>
  <c r="G30" i="50"/>
  <c r="G32" i="19"/>
  <c r="E28" i="22"/>
  <c r="G31" i="50"/>
  <c r="Y9" i="78"/>
  <c r="W9" i="78"/>
  <c r="G33" i="50"/>
  <c r="E81" i="20"/>
  <c r="D32" i="5"/>
  <c r="Q9" i="78"/>
  <c r="D25" i="5"/>
  <c r="E25" i="71"/>
  <c r="G24" i="71"/>
  <c r="G26" i="50"/>
  <c r="E19" i="64"/>
  <c r="E22" i="44"/>
  <c r="AK3" i="77"/>
  <c r="AL9" i="78"/>
  <c r="G18" i="64"/>
  <c r="G58" i="50"/>
  <c r="E22" i="18"/>
  <c r="N3" i="77"/>
  <c r="V3" i="77"/>
  <c r="E20" i="52"/>
  <c r="S3" i="77"/>
  <c r="E27" i="23"/>
  <c r="H3" i="77"/>
  <c r="E27" i="61"/>
  <c r="E19" i="11"/>
  <c r="E26" i="21"/>
  <c r="D31" i="5"/>
  <c r="X9" i="78"/>
  <c r="G25" i="21"/>
  <c r="G32" i="50"/>
  <c r="E43" i="97" l="1"/>
  <c r="E45" i="97" s="1"/>
  <c r="E69" i="50"/>
  <c r="E28" i="61"/>
  <c r="E28" i="23"/>
  <c r="AR5" i="78"/>
  <c r="E23" i="44"/>
  <c r="U5" i="78"/>
  <c r="E23" i="18"/>
  <c r="E21" i="52"/>
  <c r="AC5" i="78"/>
  <c r="Z5" i="78"/>
  <c r="O5" i="78"/>
  <c r="E21" i="11"/>
  <c r="F20" i="86" l="1"/>
  <c r="F28" i="86" s="1"/>
  <c r="J25" i="10"/>
  <c r="O9" i="78"/>
  <c r="E29" i="61"/>
  <c r="G28" i="61"/>
  <c r="Z9" i="78"/>
  <c r="D45" i="5"/>
  <c r="G66" i="50"/>
  <c r="AR9" i="78"/>
  <c r="G23" i="44"/>
  <c r="E24" i="44"/>
  <c r="D73" i="5"/>
  <c r="G44" i="50"/>
  <c r="G28" i="23"/>
  <c r="E29" i="23"/>
  <c r="G34" i="50"/>
  <c r="D33" i="5"/>
  <c r="D28" i="5"/>
  <c r="U9" i="78"/>
  <c r="G29" i="50"/>
  <c r="G23" i="18"/>
  <c r="E24" i="18"/>
  <c r="E22" i="52"/>
  <c r="G41" i="50"/>
  <c r="G21" i="52"/>
  <c r="AC9" i="78"/>
  <c r="D40" i="5"/>
  <c r="G21" i="11"/>
  <c r="J9" i="78"/>
  <c r="C3" i="77"/>
  <c r="I25" i="10" l="1"/>
  <c r="I27" i="10" s="1"/>
  <c r="J5" i="78"/>
  <c r="I29" i="10" l="1"/>
  <c r="AA3" i="77"/>
  <c r="AH5" i="78" l="1"/>
  <c r="E47" i="10" l="1"/>
  <c r="I49" i="87" l="1"/>
  <c r="L55" i="87" s="1"/>
  <c r="C18" i="87" s="1"/>
  <c r="G18" i="87" s="1"/>
  <c r="B11" i="78"/>
  <c r="I21" i="87" l="1"/>
  <c r="I30" i="87" s="1"/>
  <c r="I39" i="87" s="1"/>
  <c r="E28" i="70"/>
  <c r="E34" i="26"/>
  <c r="I55" i="87" l="1"/>
  <c r="I41" i="10" s="1"/>
  <c r="E35" i="10"/>
  <c r="E35" i="26"/>
  <c r="E48" i="10" l="1"/>
  <c r="E36" i="26"/>
  <c r="AB9" i="78"/>
  <c r="G35" i="50"/>
  <c r="D34" i="5"/>
  <c r="G35" i="26"/>
  <c r="E42" i="16" l="1"/>
  <c r="E46" i="16" l="1"/>
  <c r="U3" i="77" l="1"/>
  <c r="AB5" i="78" l="1"/>
  <c r="F27" i="29"/>
  <c r="F25" i="30"/>
  <c r="F27" i="40"/>
  <c r="F26" i="30" l="1"/>
  <c r="F28" i="40"/>
  <c r="F28" i="29"/>
  <c r="F26" i="46"/>
  <c r="E23" i="17"/>
  <c r="L3" i="77"/>
  <c r="F26" i="43"/>
  <c r="F27" i="43" s="1"/>
  <c r="F25" i="42"/>
  <c r="F26" i="48"/>
  <c r="F27" i="39"/>
  <c r="F26" i="47"/>
  <c r="F34" i="39"/>
  <c r="F26" i="45"/>
  <c r="F25" i="41"/>
  <c r="F28" i="16"/>
  <c r="F23" i="41"/>
  <c r="S5" i="78" l="1"/>
  <c r="F26" i="41"/>
  <c r="F28" i="39"/>
  <c r="F27" i="45"/>
  <c r="F27" i="48"/>
  <c r="F29" i="16"/>
  <c r="F27" i="47"/>
  <c r="F24" i="41"/>
  <c r="F26" i="42"/>
  <c r="F27" i="46"/>
  <c r="F32" i="39"/>
  <c r="E352" i="10"/>
  <c r="E24" i="17"/>
  <c r="F24" i="47"/>
  <c r="F24" i="45"/>
  <c r="F25" i="29"/>
  <c r="F23" i="30"/>
  <c r="F25" i="40"/>
  <c r="F26" i="16"/>
  <c r="F28" i="47"/>
  <c r="F34" i="13"/>
  <c r="F23" i="39"/>
  <c r="F22" i="48"/>
  <c r="F21" i="42"/>
  <c r="F22" i="46"/>
  <c r="F26" i="40" l="1"/>
  <c r="F35" i="13"/>
  <c r="F24" i="30"/>
  <c r="F29" i="47"/>
  <c r="F26" i="29"/>
  <c r="F23" i="48"/>
  <c r="F27" i="16"/>
  <c r="F25" i="45"/>
  <c r="F25" i="47"/>
  <c r="E24" i="70"/>
  <c r="T3" i="77"/>
  <c r="AA5" i="78" s="1"/>
  <c r="F28" i="13"/>
  <c r="F21" i="41"/>
  <c r="F22" i="47"/>
  <c r="F21" i="30"/>
  <c r="F24" i="39"/>
  <c r="F28" i="48"/>
  <c r="F28" i="45"/>
  <c r="F27" i="42"/>
  <c r="F32" i="16"/>
  <c r="F29" i="29"/>
  <c r="F24" i="48"/>
  <c r="E24" i="12"/>
  <c r="D27" i="5"/>
  <c r="G24" i="17"/>
  <c r="S9" i="78"/>
  <c r="G28" i="50"/>
  <c r="F32" i="13"/>
  <c r="F23" i="40"/>
  <c r="F23" i="46"/>
  <c r="F22" i="42"/>
  <c r="F22" i="45"/>
  <c r="F29" i="40"/>
  <c r="F28" i="43"/>
  <c r="F29" i="43" s="1"/>
  <c r="F27" i="30"/>
  <c r="F27" i="41"/>
  <c r="F23" i="42"/>
  <c r="F30" i="13"/>
  <c r="H349" i="10"/>
  <c r="I53" i="10"/>
  <c r="I54" i="10" s="1"/>
  <c r="G13" i="58"/>
  <c r="E16" i="58"/>
  <c r="F24" i="43"/>
  <c r="F25" i="43" s="1"/>
  <c r="F23" i="29"/>
  <c r="E22" i="12"/>
  <c r="F22" i="43"/>
  <c r="F23" i="43" s="1"/>
  <c r="F29" i="39"/>
  <c r="F28" i="46"/>
  <c r="F24" i="46"/>
  <c r="F25" i="39"/>
  <c r="E23" i="12"/>
  <c r="E25" i="17"/>
  <c r="F22" i="49"/>
  <c r="F23" i="49" l="1"/>
  <c r="F24" i="42"/>
  <c r="F28" i="30"/>
  <c r="F28" i="42"/>
  <c r="F29" i="42" s="1"/>
  <c r="F22" i="30"/>
  <c r="F30" i="39"/>
  <c r="F26" i="39"/>
  <c r="F31" i="13"/>
  <c r="F25" i="48"/>
  <c r="F29" i="45"/>
  <c r="F23" i="47"/>
  <c r="F25" i="46"/>
  <c r="F30" i="40"/>
  <c r="F24" i="40"/>
  <c r="F30" i="29"/>
  <c r="F22" i="41"/>
  <c r="F29" i="48"/>
  <c r="F30" i="48" s="1"/>
  <c r="F29" i="46"/>
  <c r="F24" i="29"/>
  <c r="F28" i="41"/>
  <c r="F29" i="41" s="1"/>
  <c r="F23" i="45"/>
  <c r="F33" i="13"/>
  <c r="F33" i="16"/>
  <c r="A41" i="58"/>
  <c r="E38" i="58"/>
  <c r="I43" i="58"/>
  <c r="I45" i="58" s="1"/>
  <c r="I30" i="7"/>
  <c r="M3" i="77"/>
  <c r="T5" i="78" s="1"/>
  <c r="E26" i="65"/>
  <c r="F29" i="13"/>
  <c r="J30" i="7"/>
  <c r="F26" i="49"/>
  <c r="F30" i="43"/>
  <c r="F40" i="43" s="1"/>
  <c r="F24" i="49"/>
  <c r="H30" i="7"/>
  <c r="H22" i="31"/>
  <c r="H28" i="31" s="1"/>
  <c r="Y3" i="77"/>
  <c r="AF5" i="78" s="1"/>
  <c r="E24" i="31"/>
  <c r="F24" i="16"/>
  <c r="E49" i="13"/>
  <c r="F41" i="39" l="1"/>
  <c r="F54" i="39" s="1"/>
  <c r="AM9" i="78" s="1"/>
  <c r="F30" i="46"/>
  <c r="F29" i="30"/>
  <c r="F30" i="45"/>
  <c r="F37" i="45" s="1"/>
  <c r="F38" i="45" s="1"/>
  <c r="F37" i="29"/>
  <c r="F50" i="29" s="1"/>
  <c r="F27" i="49"/>
  <c r="F37" i="42"/>
  <c r="AP9" i="78" s="1"/>
  <c r="F37" i="46"/>
  <c r="F25" i="49"/>
  <c r="F39" i="41"/>
  <c r="AO9" i="78" s="1"/>
  <c r="F37" i="48"/>
  <c r="H42" i="48" s="1"/>
  <c r="F30" i="47"/>
  <c r="F25" i="16"/>
  <c r="F42" i="16" s="1"/>
  <c r="E3" i="77"/>
  <c r="F38" i="30"/>
  <c r="AE9" i="78" s="1"/>
  <c r="E53" i="13"/>
  <c r="F41" i="43"/>
  <c r="F42" i="43" s="1"/>
  <c r="AQ9" i="78"/>
  <c r="F49" i="13"/>
  <c r="D41" i="5"/>
  <c r="AH9" i="78"/>
  <c r="G54" i="50"/>
  <c r="E25" i="12"/>
  <c r="E32" i="12" s="1"/>
  <c r="F38" i="48" l="1"/>
  <c r="F39" i="48" s="1"/>
  <c r="I37" i="48" s="1"/>
  <c r="F44" i="16"/>
  <c r="H44" i="16" s="1"/>
  <c r="F45" i="16"/>
  <c r="H46" i="16" s="1"/>
  <c r="AD9" i="78"/>
  <c r="AS9" i="78"/>
  <c r="L5" i="78"/>
  <c r="F51" i="29"/>
  <c r="AU9" i="78"/>
  <c r="F37" i="47"/>
  <c r="F40" i="41"/>
  <c r="F38" i="46"/>
  <c r="F55" i="39"/>
  <c r="F39" i="45"/>
  <c r="H42" i="45" s="1"/>
  <c r="F40" i="45" s="1"/>
  <c r="F41" i="45" s="1"/>
  <c r="D3" i="77"/>
  <c r="F39" i="30"/>
  <c r="K3" i="77"/>
  <c r="F44" i="48"/>
  <c r="F38" i="42"/>
  <c r="F52" i="13"/>
  <c r="F51" i="13"/>
  <c r="K21" i="7"/>
  <c r="E54" i="5"/>
  <c r="H64" i="50"/>
  <c r="I64" i="50" s="1"/>
  <c r="I42" i="43"/>
  <c r="R9" i="78" l="1"/>
  <c r="F47" i="16"/>
  <c r="F52" i="29"/>
  <c r="K24" i="7"/>
  <c r="L24" i="7" s="1"/>
  <c r="E17" i="48" s="1"/>
  <c r="E30" i="48" s="1"/>
  <c r="H73" i="50"/>
  <c r="I73" i="50" s="1"/>
  <c r="K28" i="7"/>
  <c r="L28" i="7" s="1"/>
  <c r="E17" i="45" s="1"/>
  <c r="R5" i="78"/>
  <c r="K5" i="78"/>
  <c r="E79" i="5"/>
  <c r="I39" i="45"/>
  <c r="L9" i="78"/>
  <c r="H52" i="13"/>
  <c r="H76" i="50"/>
  <c r="E82" i="5"/>
  <c r="F39" i="46"/>
  <c r="AT9" i="78"/>
  <c r="F38" i="47"/>
  <c r="F39" i="42"/>
  <c r="H40" i="48"/>
  <c r="F40" i="48" s="1"/>
  <c r="F41" i="48" s="1"/>
  <c r="F40" i="30"/>
  <c r="F56" i="39"/>
  <c r="F41" i="41"/>
  <c r="L21" i="7"/>
  <c r="E16" i="43" s="1"/>
  <c r="K18" i="7" l="1"/>
  <c r="L18" i="7" s="1"/>
  <c r="AO3" i="77"/>
  <c r="AU5" i="78" s="1"/>
  <c r="E35" i="5"/>
  <c r="H36" i="50"/>
  <c r="D16" i="80" s="1"/>
  <c r="F16" i="80" s="1"/>
  <c r="I52" i="29"/>
  <c r="H62" i="50"/>
  <c r="I62" i="50" s="1"/>
  <c r="E52" i="5"/>
  <c r="K22" i="7"/>
  <c r="L22" i="7" s="1"/>
  <c r="E16" i="41" s="1"/>
  <c r="I41" i="41"/>
  <c r="H37" i="50"/>
  <c r="I40" i="30"/>
  <c r="K16" i="7"/>
  <c r="L16" i="7" s="1"/>
  <c r="E17" i="30" s="1"/>
  <c r="E36" i="5"/>
  <c r="F39" i="47"/>
  <c r="H74" i="50"/>
  <c r="I74" i="50" s="1"/>
  <c r="I37" i="46"/>
  <c r="K26" i="7"/>
  <c r="L26" i="7" s="1"/>
  <c r="E17" i="46" s="1"/>
  <c r="E80" i="5"/>
  <c r="H40" i="46"/>
  <c r="F40" i="46" s="1"/>
  <c r="F41" i="46" s="1"/>
  <c r="I56" i="39"/>
  <c r="E50" i="5"/>
  <c r="K19" i="7"/>
  <c r="L19" i="7" s="1"/>
  <c r="E16" i="39" s="1"/>
  <c r="H60" i="50"/>
  <c r="E36" i="48"/>
  <c r="K17" i="7"/>
  <c r="L17" i="7" s="1"/>
  <c r="E16" i="42" s="1"/>
  <c r="H63" i="50"/>
  <c r="I39" i="42"/>
  <c r="E53" i="5"/>
  <c r="J76" i="50"/>
  <c r="I76" i="50" s="1"/>
  <c r="M76" i="50"/>
  <c r="K76" i="50"/>
  <c r="L76" i="50"/>
  <c r="E30" i="45"/>
  <c r="AL3" i="77"/>
  <c r="AS5" i="78" s="1"/>
  <c r="E30" i="43"/>
  <c r="E39" i="43" s="1"/>
  <c r="AJ3" i="77"/>
  <c r="AQ5" i="78" s="1"/>
  <c r="I36" i="50" l="1"/>
  <c r="E17" i="29"/>
  <c r="E36" i="45"/>
  <c r="E29" i="42"/>
  <c r="AI3" i="77"/>
  <c r="AP5" i="78" s="1"/>
  <c r="AM3" i="77"/>
  <c r="E30" i="46"/>
  <c r="AH3" i="77"/>
  <c r="AO5" i="78" s="1"/>
  <c r="E29" i="41"/>
  <c r="J60" i="50"/>
  <c r="I60" i="50" s="1"/>
  <c r="K60" i="50"/>
  <c r="H75" i="50"/>
  <c r="I75" i="50" s="1"/>
  <c r="F40" i="47"/>
  <c r="F41" i="47" s="1"/>
  <c r="I39" i="47"/>
  <c r="E81" i="5"/>
  <c r="K27" i="7"/>
  <c r="L27" i="7" s="1"/>
  <c r="E17" i="47" s="1"/>
  <c r="D17" i="80"/>
  <c r="I37" i="50"/>
  <c r="AF3" i="77"/>
  <c r="AM5" i="78" s="1"/>
  <c r="E41" i="39"/>
  <c r="D21" i="80"/>
  <c r="F21" i="80" s="1"/>
  <c r="I63" i="50"/>
  <c r="E29" i="30"/>
  <c r="X3" i="77"/>
  <c r="AE5" i="78" s="1"/>
  <c r="H32" i="12"/>
  <c r="E33" i="12" s="1"/>
  <c r="I33" i="12"/>
  <c r="F34" i="40"/>
  <c r="E16" i="80" l="1"/>
  <c r="E37" i="29"/>
  <c r="W3" i="77"/>
  <c r="E30" i="47"/>
  <c r="AN3" i="77"/>
  <c r="AT5" i="78" s="1"/>
  <c r="E38" i="41"/>
  <c r="E36" i="46"/>
  <c r="E36" i="42"/>
  <c r="E21" i="80"/>
  <c r="E17" i="80"/>
  <c r="E37" i="30"/>
  <c r="E53" i="39"/>
  <c r="F32" i="40"/>
  <c r="K9" i="78"/>
  <c r="I15" i="78" s="1"/>
  <c r="G21" i="50"/>
  <c r="D21" i="5"/>
  <c r="G32" i="12"/>
  <c r="E34" i="12" s="1"/>
  <c r="E49" i="29" l="1"/>
  <c r="AD5" i="78"/>
  <c r="E36" i="47"/>
  <c r="F41" i="40"/>
  <c r="E36" i="12"/>
  <c r="F54" i="40" l="1"/>
  <c r="G35" i="12"/>
  <c r="E37" i="12" s="1"/>
  <c r="F55" i="40" l="1"/>
  <c r="AN9" i="78"/>
  <c r="E39" i="12"/>
  <c r="F56" i="40" l="1"/>
  <c r="E21" i="5"/>
  <c r="H38" i="12"/>
  <c r="K12" i="7"/>
  <c r="H21" i="50"/>
  <c r="D13" i="80" s="1"/>
  <c r="F13" i="80" s="1"/>
  <c r="L12" i="7" l="1"/>
  <c r="H61" i="50"/>
  <c r="I56" i="40"/>
  <c r="K20" i="7"/>
  <c r="L20" i="7" s="1"/>
  <c r="E16" i="40" s="1"/>
  <c r="E51" i="5"/>
  <c r="I21" i="50"/>
  <c r="AG3" i="77" l="1"/>
  <c r="AN5" i="78" s="1"/>
  <c r="E41" i="40"/>
  <c r="J61" i="50"/>
  <c r="I61" i="50" s="1"/>
  <c r="K61" i="50"/>
  <c r="E13" i="80"/>
  <c r="E53" i="40" l="1"/>
  <c r="F28" i="49"/>
  <c r="F29" i="49" l="1"/>
  <c r="BE3" i="76"/>
  <c r="E29" i="31"/>
  <c r="AF7" i="78" l="1"/>
  <c r="F30" i="49"/>
  <c r="E31" i="65"/>
  <c r="AI3" i="76"/>
  <c r="E357" i="10"/>
  <c r="D3" i="76"/>
  <c r="G38" i="50"/>
  <c r="D37" i="5"/>
  <c r="E31" i="31"/>
  <c r="T7" i="78" l="1"/>
  <c r="I13" i="78"/>
  <c r="I42" i="10"/>
  <c r="I7" i="78"/>
  <c r="F37" i="49"/>
  <c r="E32" i="31"/>
  <c r="AF9" i="78"/>
  <c r="G45" i="50"/>
  <c r="D47" i="5"/>
  <c r="E33" i="65"/>
  <c r="E33" i="31" l="1"/>
  <c r="AV9" i="78"/>
  <c r="F44" i="49"/>
  <c r="F38" i="49"/>
  <c r="H37" i="49"/>
  <c r="E34" i="65"/>
  <c r="T9" i="78"/>
  <c r="H38" i="50" l="1"/>
  <c r="D18" i="80" s="1"/>
  <c r="E37" i="5"/>
  <c r="F39" i="49"/>
  <c r="E35" i="65"/>
  <c r="I35" i="31"/>
  <c r="K23" i="7"/>
  <c r="I38" i="50" l="1"/>
  <c r="K15" i="7"/>
  <c r="L23" i="7"/>
  <c r="I32" i="65"/>
  <c r="E47" i="5"/>
  <c r="H45" i="50"/>
  <c r="I45" i="50" s="1"/>
  <c r="H77" i="50"/>
  <c r="K25" i="7"/>
  <c r="L25" i="7" s="1"/>
  <c r="E17" i="49" s="1"/>
  <c r="I39" i="49"/>
  <c r="E83" i="5"/>
  <c r="F18" i="80"/>
  <c r="E18" i="80" l="1"/>
  <c r="L15" i="7"/>
  <c r="D20" i="80"/>
  <c r="F20" i="80" s="1"/>
  <c r="E84" i="5"/>
  <c r="E30" i="49"/>
  <c r="AP3" i="77"/>
  <c r="AV5" i="78" s="1"/>
  <c r="J77" i="50"/>
  <c r="I77" i="50" s="1"/>
  <c r="H78" i="50"/>
  <c r="L77" i="50"/>
  <c r="E20" i="80"/>
  <c r="E36" i="49" l="1"/>
  <c r="I78" i="50"/>
  <c r="AV3" i="76"/>
  <c r="E29" i="70"/>
  <c r="L68" i="50"/>
  <c r="G68" i="50" s="1"/>
  <c r="I43" i="10"/>
  <c r="E49" i="10" l="1"/>
  <c r="AA7" i="78"/>
  <c r="B7" i="78" s="1"/>
  <c r="B3" i="77"/>
  <c r="D46" i="5"/>
  <c r="G43" i="50"/>
  <c r="E31" i="70"/>
  <c r="G20" i="50" l="1"/>
  <c r="E51" i="10"/>
  <c r="I9" i="78"/>
  <c r="I14" i="78" s="1"/>
  <c r="D20" i="5"/>
  <c r="D74" i="5" s="1"/>
  <c r="I5" i="78"/>
  <c r="B5" i="78" s="1"/>
  <c r="E32" i="70"/>
  <c r="AA9" i="78"/>
  <c r="G67" i="50" l="1"/>
  <c r="B9" i="78"/>
  <c r="B13" i="78" s="1"/>
  <c r="E33" i="70"/>
  <c r="G69" i="50" l="1"/>
  <c r="B14" i="78"/>
  <c r="H43" i="50"/>
  <c r="I43" i="50" s="1"/>
  <c r="I31" i="70"/>
  <c r="K29" i="7"/>
  <c r="E46" i="5"/>
  <c r="L29" i="7" l="1"/>
  <c r="H67" i="50"/>
  <c r="G79" i="50" s="1"/>
  <c r="D19" i="80"/>
  <c r="D23" i="80" s="1"/>
  <c r="F23" i="80" s="1"/>
  <c r="M23" i="80" s="1"/>
  <c r="I23" i="80" s="1"/>
  <c r="K30" i="7"/>
  <c r="E74" i="5"/>
  <c r="E19" i="80"/>
  <c r="E23" i="80" s="1"/>
  <c r="I67" i="50"/>
  <c r="L30" i="7" l="1"/>
  <c r="F19" i="80"/>
  <c r="G70" i="50"/>
</calcChain>
</file>

<file path=xl/comments1.xml><?xml version="1.0" encoding="utf-8"?>
<comments xmlns="http://schemas.openxmlformats.org/spreadsheetml/2006/main">
  <authors>
    <author>cics</author>
    <author>dreinert</author>
    <author>KSDE</author>
  </authors>
  <commentList>
    <comment ref="B3" authorId="0" shapeId="0">
      <text>
        <r>
          <rPr>
            <sz val="10"/>
            <color indexed="81"/>
            <rFont val="Arial"/>
            <family val="2"/>
          </rPr>
          <t>Based upon the USD # entered below, the district # and name will fill in.  This name can be overwritten by typing in this cell.  This name will then be transferred to the Certify page and Budget Glance.xlsx when it is linked.</t>
        </r>
        <r>
          <rPr>
            <sz val="10"/>
            <color indexed="81"/>
            <rFont val="Geneva"/>
          </rPr>
          <t xml:space="preserve">
</t>
        </r>
      </text>
    </comment>
    <comment ref="B5" authorId="0" shapeId="0">
      <text>
        <r>
          <rPr>
            <sz val="10"/>
            <color indexed="81"/>
            <rFont val="Arial"/>
            <family val="2"/>
          </rPr>
          <t xml:space="preserve">Based upon the USD # entered above, the county name will fill in.  This name can be overwritten by typing in this cell.  </t>
        </r>
        <r>
          <rPr>
            <sz val="10"/>
            <color indexed="81"/>
            <rFont val="Geneva"/>
          </rPr>
          <t xml:space="preserve">
</t>
        </r>
      </text>
    </comment>
    <comment ref="S5" authorId="1" shapeId="0">
      <text>
        <r>
          <rPr>
            <sz val="10"/>
            <color indexed="81"/>
            <rFont val="Arial"/>
            <family val="2"/>
          </rPr>
          <t>used in the filename of the pdfs</t>
        </r>
      </text>
    </comment>
    <comment ref="R31" authorId="1" shapeId="0">
      <text>
        <r>
          <rPr>
            <sz val="9"/>
            <color indexed="81"/>
            <rFont val="Tahoma"/>
            <family val="2"/>
          </rPr>
          <t>Between 40-50%</t>
        </r>
      </text>
    </comment>
    <comment ref="S31" authorId="1" shapeId="0">
      <text>
        <r>
          <rPr>
            <sz val="9"/>
            <color indexed="81"/>
            <rFont val="Tahoma"/>
            <family val="2"/>
          </rPr>
          <t>Between 40-50%</t>
        </r>
      </text>
    </comment>
    <comment ref="F124" authorId="2" shapeId="0">
      <text>
        <r>
          <rPr>
            <sz val="9"/>
            <color indexed="81"/>
            <rFont val="Tahoma"/>
            <family val="2"/>
          </rPr>
          <t xml:space="preserve">This figure should match the total amounts entered for prior and after 7/1/2015 bonds outstanding on the c05 worksheet.
</t>
        </r>
      </text>
    </comment>
    <comment ref="A146" authorId="0" shapeId="0">
      <text>
        <r>
          <rPr>
            <sz val="10"/>
            <color indexed="81"/>
            <rFont val="Arial"/>
            <family val="2"/>
          </rPr>
          <t>Audited numbers</t>
        </r>
      </text>
    </comment>
    <comment ref="A147" authorId="0" shapeId="0">
      <text>
        <r>
          <rPr>
            <sz val="10"/>
            <color indexed="81"/>
            <rFont val="Arial"/>
            <family val="2"/>
          </rPr>
          <t xml:space="preserve">Audited numbers </t>
        </r>
      </text>
    </comment>
    <comment ref="A148" authorId="0" shapeId="0">
      <text>
        <r>
          <rPr>
            <sz val="10"/>
            <color indexed="81"/>
            <rFont val="Arial"/>
            <family val="2"/>
          </rPr>
          <t xml:space="preserve">Audited numbers </t>
        </r>
      </text>
    </comment>
    <comment ref="A149" authorId="0" shapeId="0">
      <text>
        <r>
          <rPr>
            <sz val="10"/>
            <color indexed="81"/>
            <rFont val="Arial"/>
            <family val="2"/>
          </rPr>
          <t>Audited numbers</t>
        </r>
      </text>
    </comment>
  </commentList>
</comments>
</file>

<file path=xl/comments10.xml><?xml version="1.0" encoding="utf-8"?>
<comments xmlns="http://schemas.openxmlformats.org/spreadsheetml/2006/main">
  <authors>
    <author>dreinert</author>
  </authors>
  <commentList>
    <comment ref="E28" authorId="0" shapeId="0">
      <text>
        <r>
          <rPr>
            <sz val="9"/>
            <color indexed="81"/>
            <rFont val="Tahoma"/>
            <family val="2"/>
          </rPr>
          <t xml:space="preserve">This amount comes from the Form 151 Line 4A and can be overwritten to ensure taxes received will be adequate for State Payment.
</t>
        </r>
      </text>
    </comment>
  </commentList>
</comments>
</file>

<file path=xl/comments11.xml><?xml version="1.0" encoding="utf-8"?>
<comments xmlns="http://schemas.openxmlformats.org/spreadsheetml/2006/main">
  <authors>
    <author>dreinert</author>
  </authors>
  <commentList>
    <comment ref="E28" authorId="0" shapeId="0">
      <text>
        <r>
          <rPr>
            <sz val="9"/>
            <color indexed="81"/>
            <rFont val="Tahoma"/>
            <family val="2"/>
          </rPr>
          <t xml:space="preserve">This amount comes from the Form 151 line 4C and can be overwritten to ensure taxes received will be adequate for State Payment.
</t>
        </r>
      </text>
    </comment>
  </commentList>
</comments>
</file>

<file path=xl/comments12.xml><?xml version="1.0" encoding="utf-8"?>
<comments xmlns="http://schemas.openxmlformats.org/spreadsheetml/2006/main">
  <authors>
    <author>Donna Reinert</author>
    <author>KSDE</author>
  </authors>
  <commentList>
    <comment ref="D15" authorId="0" shapeId="0">
      <text>
        <r>
          <rPr>
            <sz val="9"/>
            <color indexed="81"/>
            <rFont val="Tahoma"/>
            <family val="2"/>
          </rPr>
          <t xml:space="preserve">Does not include the delayed payment to KPERS for April 2016
</t>
        </r>
      </text>
    </comment>
    <comment ref="E15" authorId="0" shapeId="0">
      <text>
        <r>
          <rPr>
            <sz val="9"/>
            <color indexed="81"/>
            <rFont val="Tahoma"/>
            <family val="2"/>
          </rPr>
          <t xml:space="preserve">Includes delayed payment to KPERS in July 2016.
</t>
        </r>
      </text>
    </comment>
    <comment ref="V28" authorId="1" shapeId="0">
      <text>
        <r>
          <rPr>
            <sz val="9"/>
            <color indexed="81"/>
            <rFont val="Tahoma"/>
            <family val="2"/>
          </rPr>
          <t>shows 4700 since there are no 3000</t>
        </r>
        <r>
          <rPr>
            <b/>
            <sz val="9"/>
            <color indexed="81"/>
            <rFont val="Tahoma"/>
            <family val="2"/>
          </rPr>
          <t xml:space="preserve">
</t>
        </r>
        <r>
          <rPr>
            <sz val="9"/>
            <color indexed="81"/>
            <rFont val="Tahoma"/>
            <family val="2"/>
          </rPr>
          <t xml:space="preserve">
</t>
        </r>
      </text>
    </comment>
    <comment ref="G37" authorId="1" shapeId="0">
      <text>
        <r>
          <rPr>
            <sz val="9"/>
            <color indexed="81"/>
            <rFont val="Tahoma"/>
            <family val="2"/>
          </rPr>
          <t xml:space="preserve">Includes 4700 salaries for c016.
</t>
        </r>
      </text>
    </comment>
  </commentList>
</comments>
</file>

<file path=xl/comments13.xml><?xml version="1.0" encoding="utf-8"?>
<comments xmlns="http://schemas.openxmlformats.org/spreadsheetml/2006/main">
  <authors>
    <author>CICS</author>
    <author>dreinert</author>
  </authors>
  <commentList>
    <comment ref="F33" authorId="0" shapeId="0">
      <text>
        <r>
          <rPr>
            <sz val="10"/>
            <color indexed="81"/>
            <rFont val="Geneva"/>
          </rPr>
          <t>Remember to enter state aid for the last six months here.</t>
        </r>
        <r>
          <rPr>
            <sz val="9"/>
            <color indexed="81"/>
            <rFont val="Geneva"/>
          </rPr>
          <t xml:space="preserve">
</t>
        </r>
      </text>
    </comment>
    <comment ref="F35" authorId="1" shapeId="0">
      <text>
        <r>
          <rPr>
            <sz val="9"/>
            <color indexed="81"/>
            <rFont val="Tahoma"/>
            <family val="2"/>
          </rPr>
          <t xml:space="preserve">Remember to enter state aid for the last six months here.
</t>
        </r>
      </text>
    </comment>
    <comment ref="F40" authorId="1" shapeId="0">
      <text>
        <r>
          <rPr>
            <sz val="10"/>
            <color indexed="81"/>
            <rFont val="Tahoma"/>
            <family val="2"/>
          </rPr>
          <t>Remember to enter federal aid for the last six months here.</t>
        </r>
        <r>
          <rPr>
            <sz val="8"/>
            <color indexed="81"/>
            <rFont val="Tahoma"/>
            <family val="2"/>
          </rPr>
          <t xml:space="preserve">
</t>
        </r>
      </text>
    </comment>
    <comment ref="E44" authorId="0" shapeId="0">
      <text>
        <r>
          <rPr>
            <b/>
            <sz val="10"/>
            <color indexed="81"/>
            <rFont val="Geneva"/>
          </rPr>
          <t>If you do not have a Bond &amp; Interest #2</t>
        </r>
        <r>
          <rPr>
            <sz val="10"/>
            <color indexed="81"/>
            <rFont val="Geneva"/>
          </rPr>
          <t xml:space="preserve"> then what you enter in this cell should be equal to  the total of </t>
        </r>
        <r>
          <rPr>
            <b/>
            <sz val="10"/>
            <color indexed="81"/>
            <rFont val="Geneva"/>
          </rPr>
          <t>col. 7</t>
        </r>
        <r>
          <rPr>
            <sz val="10"/>
            <color indexed="81"/>
            <rFont val="Geneva"/>
          </rPr>
          <t xml:space="preserve"> on C05.  </t>
        </r>
        <r>
          <rPr>
            <u/>
            <sz val="10"/>
            <color indexed="81"/>
            <rFont val="Geneva"/>
          </rPr>
          <t>NOTE:</t>
        </r>
        <r>
          <rPr>
            <sz val="10"/>
            <color indexed="81"/>
            <rFont val="Geneva"/>
          </rPr>
          <t xml:space="preserve">  this cell is highlighted in plum.</t>
        </r>
        <r>
          <rPr>
            <sz val="9"/>
            <color indexed="81"/>
            <rFont val="Geneva"/>
          </rPr>
          <t xml:space="preserve">
</t>
        </r>
      </text>
    </comment>
    <comment ref="E46" authorId="0" shapeId="0">
      <text>
        <r>
          <rPr>
            <b/>
            <sz val="10"/>
            <color indexed="81"/>
            <rFont val="Geneva"/>
          </rPr>
          <t xml:space="preserve">If you do not have a Bond &amp; Interest #2 </t>
        </r>
        <r>
          <rPr>
            <sz val="10"/>
            <color indexed="81"/>
            <rFont val="Geneva"/>
          </rPr>
          <t xml:space="preserve">then what you enter in this cell should be equal to  the total of </t>
        </r>
        <r>
          <rPr>
            <b/>
            <sz val="10"/>
            <color indexed="81"/>
            <rFont val="Geneva"/>
          </rPr>
          <t>col. 8</t>
        </r>
        <r>
          <rPr>
            <sz val="10"/>
            <color indexed="81"/>
            <rFont val="Geneva"/>
          </rPr>
          <t xml:space="preserve"> on C05.  </t>
        </r>
        <r>
          <rPr>
            <u/>
            <sz val="10"/>
            <color indexed="81"/>
            <rFont val="Geneva"/>
          </rPr>
          <t>NOTE:</t>
        </r>
        <r>
          <rPr>
            <sz val="10"/>
            <color indexed="81"/>
            <rFont val="Geneva"/>
          </rPr>
          <t xml:space="preserve">  this cell is highlighted in aqua.</t>
        </r>
        <r>
          <rPr>
            <sz val="9"/>
            <color indexed="81"/>
            <rFont val="Geneva"/>
          </rPr>
          <t xml:space="preserve">
</t>
        </r>
      </text>
    </comment>
    <comment ref="F48" authorId="0" shapeId="0">
      <text>
        <r>
          <rPr>
            <b/>
            <sz val="10"/>
            <color indexed="81"/>
            <rFont val="Geneva"/>
          </rPr>
          <t>If you do not have a Bond &amp; Interest #2</t>
        </r>
        <r>
          <rPr>
            <sz val="10"/>
            <color indexed="81"/>
            <rFont val="Geneva"/>
          </rPr>
          <t xml:space="preserve"> then what you enter in this cell should be equal to the total of </t>
        </r>
        <r>
          <rPr>
            <b/>
            <sz val="10"/>
            <color indexed="81"/>
            <rFont val="Geneva"/>
          </rPr>
          <t>col. 9</t>
        </r>
        <r>
          <rPr>
            <sz val="10"/>
            <color indexed="81"/>
            <rFont val="Geneva"/>
          </rPr>
          <t xml:space="preserve"> on C05.  </t>
        </r>
        <r>
          <rPr>
            <u/>
            <sz val="10"/>
            <color indexed="81"/>
            <rFont val="Geneva"/>
          </rPr>
          <t>NOTE:</t>
        </r>
        <r>
          <rPr>
            <sz val="10"/>
            <color indexed="81"/>
            <rFont val="Geneva"/>
          </rPr>
          <t xml:space="preserve">  this cell is highlighted in periwinkle blue.</t>
        </r>
        <r>
          <rPr>
            <sz val="9"/>
            <color indexed="81"/>
            <rFont val="Geneva"/>
          </rPr>
          <t xml:space="preserve">
</t>
        </r>
      </text>
    </comment>
    <comment ref="F50" authorId="0" shapeId="0">
      <text>
        <r>
          <rPr>
            <b/>
            <sz val="10"/>
            <color indexed="81"/>
            <rFont val="Geneva"/>
          </rPr>
          <t>If you do not have a Bond &amp; Interest #2</t>
        </r>
        <r>
          <rPr>
            <sz val="10"/>
            <color indexed="81"/>
            <rFont val="Geneva"/>
          </rPr>
          <t xml:space="preserve"> then what you enter in this cell should be equal to the total of </t>
        </r>
        <r>
          <rPr>
            <b/>
            <sz val="10"/>
            <color indexed="81"/>
            <rFont val="Geneva"/>
          </rPr>
          <t>col. 10</t>
        </r>
        <r>
          <rPr>
            <sz val="10"/>
            <color indexed="81"/>
            <rFont val="Geneva"/>
          </rPr>
          <t xml:space="preserve"> on C05.  </t>
        </r>
        <r>
          <rPr>
            <u/>
            <sz val="10"/>
            <color indexed="81"/>
            <rFont val="Geneva"/>
          </rPr>
          <t>NOTE:</t>
        </r>
        <r>
          <rPr>
            <sz val="10"/>
            <color indexed="81"/>
            <rFont val="Geneva"/>
          </rPr>
          <t xml:space="preserve">  this cell is highlighted in lt.blue.</t>
        </r>
        <r>
          <rPr>
            <sz val="9"/>
            <color indexed="81"/>
            <rFont val="Geneva"/>
          </rPr>
          <t xml:space="preserve">
</t>
        </r>
      </text>
    </comment>
  </commentList>
</comments>
</file>

<file path=xl/comments14.xml><?xml version="1.0" encoding="utf-8"?>
<comments xmlns="http://schemas.openxmlformats.org/spreadsheetml/2006/main">
  <authors>
    <author>CICS</author>
    <author>dreinert</author>
  </authors>
  <commentList>
    <comment ref="F33" authorId="0" shapeId="0">
      <text>
        <r>
          <rPr>
            <sz val="9"/>
            <color indexed="81"/>
            <rFont val="Arial"/>
            <family val="2"/>
          </rPr>
          <t>Remember to enter state aid for the last six months here.</t>
        </r>
        <r>
          <rPr>
            <sz val="9"/>
            <color indexed="81"/>
            <rFont val="Geneva"/>
          </rPr>
          <t xml:space="preserve">
</t>
        </r>
      </text>
    </comment>
    <comment ref="F35" authorId="1" shapeId="0">
      <text>
        <r>
          <rPr>
            <sz val="9"/>
            <color indexed="81"/>
            <rFont val="Tahoma"/>
            <family val="2"/>
          </rPr>
          <t xml:space="preserve">Remember to enter state aid for the last six months here.
</t>
        </r>
      </text>
    </comment>
    <comment ref="F40" authorId="1" shapeId="0">
      <text>
        <r>
          <rPr>
            <sz val="9"/>
            <color indexed="81"/>
            <rFont val="Arial"/>
            <family val="2"/>
          </rPr>
          <t>Remember to enter federal aid for the last six months here.</t>
        </r>
        <r>
          <rPr>
            <b/>
            <sz val="9"/>
            <color indexed="81"/>
            <rFont val="Arial"/>
            <family val="2"/>
          </rPr>
          <t xml:space="preserve">
</t>
        </r>
      </text>
    </comment>
  </commentList>
</comments>
</file>

<file path=xl/comments15.xml><?xml version="1.0" encoding="utf-8"?>
<comments xmlns="http://schemas.openxmlformats.org/spreadsheetml/2006/main">
  <authors>
    <author>dreinert</author>
    <author>Sara Barnes</author>
    <author>Donna Reinert</author>
  </authors>
  <commentList>
    <comment ref="A1" authorId="0" shapeId="0">
      <text>
        <r>
          <rPr>
            <sz val="9"/>
            <color rgb="FF000000"/>
            <rFont val="Tahoma"/>
            <family val="2"/>
          </rPr>
          <t xml:space="preserve">Data sheet with columns moved - populate this one from now on.   6-17-2015
</t>
        </r>
      </text>
    </comment>
    <comment ref="B1" authorId="1" shapeId="0">
      <text>
        <r>
          <rPr>
            <b/>
            <sz val="9"/>
            <color rgb="FF000000"/>
            <rFont val="Tahoma"/>
            <family val="2"/>
          </rPr>
          <t>Sara Barnes:</t>
        </r>
        <r>
          <rPr>
            <sz val="9"/>
            <color rgb="FF000000"/>
            <rFont val="Tahoma"/>
            <family val="2"/>
          </rPr>
          <t xml:space="preserve">
7-9-14:  Updated USD 330 district name.  Be sure to pull USD names from Directory just in case changes have occurred.</t>
        </r>
      </text>
    </comment>
    <comment ref="H1" authorId="1" shapeId="0">
      <text>
        <r>
          <rPr>
            <b/>
            <sz val="9"/>
            <color rgb="FF000000"/>
            <rFont val="Tahoma"/>
            <family val="2"/>
          </rPr>
          <t>Sara Barnes:</t>
        </r>
        <r>
          <rPr>
            <sz val="9"/>
            <color rgb="FF000000"/>
            <rFont val="Tahoma"/>
            <family val="2"/>
          </rPr>
          <t xml:space="preserve">
5-17-16:  Yellow shaded are USDs with 2/20 FTE.
Legal Max Column 3 + 4a.</t>
        </r>
      </text>
    </comment>
    <comment ref="I1" authorId="1" shapeId="0">
      <text>
        <r>
          <rPr>
            <b/>
            <sz val="9"/>
            <color rgb="FF000000"/>
            <rFont val="Tahoma"/>
            <family val="2"/>
          </rPr>
          <t>Sara Barnes:</t>
        </r>
        <r>
          <rPr>
            <sz val="9"/>
            <color rgb="FF000000"/>
            <rFont val="Tahoma"/>
            <family val="2"/>
          </rPr>
          <t xml:space="preserve">
5-17-16:  Effective 2015-16 school year, the 2/20 count was no longer applicable.
Pull only 9/20 in Column 3</t>
        </r>
      </text>
    </comment>
    <comment ref="K1" authorId="1" shapeId="0">
      <text>
        <r>
          <rPr>
            <b/>
            <sz val="9"/>
            <color rgb="FF000000"/>
            <rFont val="Tahoma"/>
            <family val="2"/>
          </rPr>
          <t>Sara Barnes:</t>
        </r>
        <r>
          <rPr>
            <sz val="9"/>
            <color rgb="FF000000"/>
            <rFont val="Tahoma"/>
            <family val="2"/>
          </rPr>
          <t xml:space="preserve">
Beginning BDYR16, the General Fund is computed based upon revenues per Block Grant.</t>
        </r>
      </text>
    </comment>
    <comment ref="S1" authorId="1" shapeId="0">
      <text>
        <r>
          <rPr>
            <b/>
            <sz val="9"/>
            <color rgb="FF000000"/>
            <rFont val="Tahoma"/>
            <family val="2"/>
          </rPr>
          <t>Sara Barnes:</t>
        </r>
        <r>
          <rPr>
            <sz val="9"/>
            <color rgb="FF000000"/>
            <rFont val="Tahoma"/>
            <family val="2"/>
          </rPr>
          <t xml:space="preserve">
Added new lookup at end of file.  FY16 LOB deposited to GF.</t>
        </r>
      </text>
    </comment>
    <comment ref="V1" authorId="1" shapeId="0">
      <text>
        <r>
          <rPr>
            <b/>
            <sz val="9"/>
            <color rgb="FF000000"/>
            <rFont val="Tahoma"/>
            <family val="2"/>
          </rPr>
          <t>Sara Barnes:</t>
        </r>
        <r>
          <rPr>
            <sz val="9"/>
            <color rgb="FF000000"/>
            <rFont val="Tahoma"/>
            <family val="2"/>
          </rPr>
          <t xml:space="preserve">
6-21-16 Added Lookup.  Not applicable until 2017-18 budget year.</t>
        </r>
      </text>
    </comment>
    <comment ref="W1" authorId="1" shapeId="0">
      <text>
        <r>
          <rPr>
            <b/>
            <sz val="9"/>
            <color rgb="FF000000"/>
            <rFont val="Tahoma"/>
            <family val="2"/>
          </rPr>
          <t>Sara Barnes:</t>
        </r>
        <r>
          <rPr>
            <sz val="9"/>
            <color rgb="FF000000"/>
            <rFont val="Tahoma"/>
            <family val="2"/>
          </rPr>
          <t xml:space="preserve">
6-21-16 Added Lookup</t>
        </r>
      </text>
    </comment>
    <comment ref="AF1" authorId="1" shapeId="0">
      <text>
        <r>
          <rPr>
            <b/>
            <sz val="9"/>
            <color rgb="FF000000"/>
            <rFont val="Tahoma"/>
            <family val="2"/>
          </rPr>
          <t>Sara Barnes:</t>
        </r>
        <r>
          <rPr>
            <sz val="9"/>
            <color rgb="FF000000"/>
            <rFont val="Tahoma"/>
            <family val="2"/>
          </rPr>
          <t xml:space="preserve">
Be sure to always combine 9/20 and 2/20 when pulling.
Legal Max Col 3 plus Col 4a.</t>
        </r>
      </text>
    </comment>
    <comment ref="AG1" authorId="1" shapeId="0">
      <text>
        <r>
          <rPr>
            <b/>
            <sz val="9"/>
            <color rgb="FF000000"/>
            <rFont val="Tahoma"/>
            <family val="2"/>
          </rPr>
          <t>Sara Barnes:</t>
        </r>
        <r>
          <rPr>
            <sz val="9"/>
            <color rgb="FF000000"/>
            <rFont val="Tahoma"/>
            <family val="2"/>
          </rPr>
          <t xml:space="preserve">
Be sure to always combine 9/20 and 2/20 when pulling.
Legal Max Col 3 plus Col 4a.</t>
        </r>
      </text>
    </comment>
    <comment ref="AX1" authorId="1" shapeId="0">
      <text>
        <r>
          <rPr>
            <b/>
            <sz val="9"/>
            <color rgb="FF000000"/>
            <rFont val="Tahoma"/>
            <family val="2"/>
          </rPr>
          <t>Sara Barnes:</t>
        </r>
        <r>
          <rPr>
            <sz val="9"/>
            <color rgb="FF000000"/>
            <rFont val="Tahoma"/>
            <family val="2"/>
          </rPr>
          <t xml:space="preserve">
Added lookup 6-6-16.</t>
        </r>
      </text>
    </comment>
    <comment ref="AY1" authorId="1" shapeId="0">
      <text>
        <r>
          <rPr>
            <b/>
            <sz val="9"/>
            <color rgb="FF000000"/>
            <rFont val="Tahoma"/>
            <family val="2"/>
          </rPr>
          <t>Sara Barnes:</t>
        </r>
        <r>
          <rPr>
            <sz val="9"/>
            <color rgb="FF000000"/>
            <rFont val="Tahoma"/>
            <family val="2"/>
          </rPr>
          <t xml:space="preserve">
Added lookup 6-6-16.</t>
        </r>
      </text>
    </comment>
    <comment ref="AZ1" authorId="1" shapeId="0">
      <text>
        <r>
          <rPr>
            <b/>
            <sz val="9"/>
            <color rgb="FF000000"/>
            <rFont val="Tahoma"/>
            <family val="2"/>
          </rPr>
          <t>Sara Barnes:</t>
        </r>
        <r>
          <rPr>
            <sz val="9"/>
            <color rgb="FF000000"/>
            <rFont val="Tahoma"/>
            <family val="2"/>
          </rPr>
          <t xml:space="preserve">
Added lookup 6-6-16.</t>
        </r>
      </text>
    </comment>
    <comment ref="BA1" authorId="1" shapeId="0">
      <text>
        <r>
          <rPr>
            <b/>
            <sz val="9"/>
            <color rgb="FF000000"/>
            <rFont val="Tahoma"/>
            <family val="2"/>
          </rPr>
          <t>Sara Barnes:</t>
        </r>
        <r>
          <rPr>
            <sz val="9"/>
            <color rgb="FF000000"/>
            <rFont val="Tahoma"/>
            <family val="2"/>
          </rPr>
          <t xml:space="preserve">
Added lookup 6-6-16.</t>
        </r>
      </text>
    </comment>
    <comment ref="BB1" authorId="1" shapeId="0">
      <text>
        <r>
          <rPr>
            <b/>
            <sz val="9"/>
            <color rgb="FF000000"/>
            <rFont val="Tahoma"/>
            <family val="2"/>
          </rPr>
          <t>Sara Barnes:</t>
        </r>
        <r>
          <rPr>
            <sz val="9"/>
            <color rgb="FF000000"/>
            <rFont val="Tahoma"/>
            <family val="2"/>
          </rPr>
          <t xml:space="preserve">
Added lookup 6-6-16.</t>
        </r>
      </text>
    </comment>
    <comment ref="BC1" authorId="1" shapeId="0">
      <text>
        <r>
          <rPr>
            <b/>
            <sz val="9"/>
            <color rgb="FF000000"/>
            <rFont val="Tahoma"/>
            <family val="2"/>
          </rPr>
          <t>Sara Barnes:</t>
        </r>
        <r>
          <rPr>
            <sz val="9"/>
            <color rgb="FF000000"/>
            <rFont val="Tahoma"/>
            <family val="2"/>
          </rPr>
          <t xml:space="preserve">
Added lookup 6-21-16.</t>
        </r>
      </text>
    </comment>
    <comment ref="BD1" authorId="1" shapeId="0">
      <text>
        <r>
          <rPr>
            <b/>
            <sz val="9"/>
            <color rgb="FF000000"/>
            <rFont val="Tahoma"/>
            <family val="2"/>
          </rPr>
          <t>Sara Barnes:</t>
        </r>
        <r>
          <rPr>
            <sz val="9"/>
            <color rgb="FF000000"/>
            <rFont val="Tahoma"/>
            <family val="2"/>
          </rPr>
          <t xml:space="preserve">
Added lookup 6-21-16.</t>
        </r>
      </text>
    </comment>
    <comment ref="BE1" authorId="2" shapeId="0">
      <text>
        <r>
          <rPr>
            <sz val="9"/>
            <color rgb="FF000000"/>
            <rFont val="Tahoma"/>
            <family val="2"/>
          </rPr>
          <t>Donna Reinert:
6-22-16:  Added lookup.</t>
        </r>
      </text>
    </comment>
    <comment ref="D2" authorId="1" shapeId="0">
      <text>
        <r>
          <rPr>
            <b/>
            <sz val="9"/>
            <color rgb="FF000000"/>
            <rFont val="Tahoma"/>
            <family val="2"/>
          </rPr>
          <t xml:space="preserve">Sara Barnes:
</t>
        </r>
        <r>
          <rPr>
            <sz val="9"/>
            <color rgb="FF000000"/>
            <rFont val="Tahoma"/>
            <family val="2"/>
          </rPr>
          <t>5-23-16:  Craig confirmed to use Total Valuation opposed to LOB/BI as decided for loading to prior budget.</t>
        </r>
      </text>
    </comment>
    <comment ref="F2" authorId="1" shapeId="0">
      <text>
        <r>
          <rPr>
            <b/>
            <sz val="9"/>
            <color rgb="FF000000"/>
            <rFont val="Tahoma"/>
            <family val="2"/>
          </rPr>
          <t>Sara Barnes:</t>
        </r>
        <r>
          <rPr>
            <sz val="9"/>
            <color rgb="FF000000"/>
            <rFont val="Tahoma"/>
            <family val="2"/>
          </rPr>
          <t xml:space="preserve">
5-23-16:  Craig confirmed to use Total Valuation opposed to LOB/BI as decided for loading to prior budget.</t>
        </r>
      </text>
    </comment>
    <comment ref="T2" authorId="1" shapeId="0">
      <text>
        <r>
          <rPr>
            <b/>
            <sz val="9"/>
            <color rgb="FF000000"/>
            <rFont val="Tahoma"/>
            <family val="2"/>
          </rPr>
          <t>Sara Barnes:</t>
        </r>
        <r>
          <rPr>
            <sz val="9"/>
            <color rgb="FF000000"/>
            <rFont val="Tahoma"/>
            <family val="2"/>
          </rPr>
          <t xml:space="preserve">
7-22-15:  USD 251 called regarding CTE entitlement vs actual aid payment was loaded.  Eleven USDs were affected - Rose called to give instructions to correct.</t>
        </r>
      </text>
    </comment>
    <comment ref="U2" authorId="1" shapeId="0">
      <text>
        <r>
          <rPr>
            <b/>
            <sz val="9"/>
            <color rgb="FF000000"/>
            <rFont val="Tahoma"/>
            <family val="2"/>
          </rPr>
          <t>Sara Barnes:</t>
        </r>
        <r>
          <rPr>
            <sz val="9"/>
            <color rgb="FF000000"/>
            <rFont val="Tahoma"/>
            <family val="2"/>
          </rPr>
          <t xml:space="preserve">
7-22-15:  USD 251 called regarding CTE entitlement vs actual aid payment was loaded.  Eleven USDs were affected - Rose called to give instructions to correct.</t>
        </r>
      </text>
    </comment>
    <comment ref="X2" authorId="1" shapeId="0">
      <text>
        <r>
          <rPr>
            <b/>
            <sz val="9"/>
            <color rgb="FF000000"/>
            <rFont val="Tahoma"/>
            <family val="2"/>
          </rPr>
          <t>Sara Barnes:</t>
        </r>
        <r>
          <rPr>
            <sz val="9"/>
            <color rgb="FF000000"/>
            <rFont val="Tahoma"/>
            <family val="2"/>
          </rPr>
          <t xml:space="preserve">
Pulled from audited legal max, however, free meals were not audited during 2015-16 due to Block Grant.</t>
        </r>
      </text>
    </comment>
    <comment ref="Y2" authorId="1" shapeId="0">
      <text>
        <r>
          <rPr>
            <b/>
            <sz val="9"/>
            <color rgb="FF000000"/>
            <rFont val="Tahoma"/>
            <family val="2"/>
          </rPr>
          <t>Sara Barnes:</t>
        </r>
        <r>
          <rPr>
            <sz val="9"/>
            <color rgb="FF000000"/>
            <rFont val="Tahoma"/>
            <family val="2"/>
          </rPr>
          <t xml:space="preserve">
2015-16 pulled from Free &amp; Reduced S066 report after all audits were completed, however, free and reduced not audited due to Block Grant.</t>
        </r>
      </text>
    </comment>
    <comment ref="Z2" authorId="1" shapeId="0">
      <text>
        <r>
          <rPr>
            <b/>
            <sz val="9"/>
            <color rgb="FF000000"/>
            <rFont val="Tahoma"/>
            <family val="2"/>
          </rPr>
          <t>Sara Barnes:</t>
        </r>
        <r>
          <rPr>
            <sz val="9"/>
            <color rgb="FF000000"/>
            <rFont val="Tahoma"/>
            <family val="2"/>
          </rPr>
          <t xml:space="preserve">
USD 113 has old bonds prior to consolidation.
6-21-16:  Capital Outlay aid rate (F239 E30) uses same rate as bonds prior to July 1, 2015.</t>
        </r>
      </text>
    </comment>
    <comment ref="AA2" authorId="1" shapeId="0">
      <text>
        <r>
          <rPr>
            <b/>
            <sz val="9"/>
            <color rgb="FF000000"/>
            <rFont val="Calibri"/>
            <family val="2"/>
          </rPr>
          <t>Sara Barnes:</t>
        </r>
        <r>
          <rPr>
            <sz val="9"/>
            <color rgb="FF000000"/>
            <rFont val="Calibri"/>
            <family val="2"/>
          </rPr>
          <t xml:space="preserve">
6-21-16:  Same rate will be used for bond elections after July 1, 2015 and prior July 1, 2016, and for bond elections held after July 1, 2016 - however, aid will be pro-rated as determined by State Board for bond elections after July 1, 2016.</t>
        </r>
      </text>
    </comment>
    <comment ref="AB2" authorId="1" shapeId="0">
      <text>
        <r>
          <rPr>
            <b/>
            <sz val="9"/>
            <color rgb="FF000000"/>
            <rFont val="Tahoma"/>
            <family val="2"/>
          </rPr>
          <t>Sara Barnes:</t>
        </r>
        <r>
          <rPr>
            <sz val="9"/>
            <color rgb="FF000000"/>
            <rFont val="Tahoma"/>
            <family val="2"/>
          </rPr>
          <t xml:space="preserve">
6-21-16:  Currently loaded rate computed using old formula at 81.2% AVPP.  Pending special legislative session.</t>
        </r>
      </text>
    </comment>
    <comment ref="AE2" authorId="1" shapeId="0">
      <text>
        <r>
          <rPr>
            <b/>
            <sz val="9"/>
            <color rgb="FF000000"/>
            <rFont val="Tahoma"/>
            <family val="2"/>
          </rPr>
          <t>Sara Barnes:</t>
        </r>
        <r>
          <rPr>
            <sz val="9"/>
            <color rgb="FF000000"/>
            <rFont val="Tahoma"/>
            <family val="2"/>
          </rPr>
          <t xml:space="preserve">
6-13-16:  Per CN, it was decided we will load FY16 KPERS Entitlement opposed to actual pyament for purposes of calculating FY17 KPERS.  The Fourth Quarter was not paid during 2016-17.</t>
        </r>
      </text>
    </comment>
    <comment ref="AN2" authorId="1" shapeId="0">
      <text>
        <r>
          <rPr>
            <b/>
            <sz val="9"/>
            <color rgb="FF000000"/>
            <rFont val="Tahoma"/>
            <family val="2"/>
          </rPr>
          <t>Sara Barnes:</t>
        </r>
        <r>
          <rPr>
            <sz val="9"/>
            <color rgb="FF000000"/>
            <rFont val="Tahoma"/>
            <family val="2"/>
          </rPr>
          <t xml:space="preserve">
Pulled from final Local Effort.</t>
        </r>
      </text>
    </comment>
    <comment ref="AV2" authorId="1" shapeId="0">
      <text>
        <r>
          <rPr>
            <b/>
            <sz val="9"/>
            <color rgb="FF000000"/>
            <rFont val="Tahoma"/>
            <family val="2"/>
          </rPr>
          <t>Sara Barnes:</t>
        </r>
        <r>
          <rPr>
            <sz val="9"/>
            <color rgb="FF000000"/>
            <rFont val="Tahoma"/>
            <family val="2"/>
          </rPr>
          <t xml:space="preserve">
Added lookup beginning BDY16.</t>
        </r>
      </text>
    </comment>
    <comment ref="AQ13" authorId="1" shapeId="0">
      <text>
        <r>
          <rPr>
            <b/>
            <sz val="9"/>
            <color rgb="FF000000"/>
            <rFont val="Tahoma"/>
            <family val="2"/>
          </rPr>
          <t>Sara Barnes:</t>
        </r>
        <r>
          <rPr>
            <sz val="9"/>
            <color rgb="FF000000"/>
            <rFont val="Tahoma"/>
            <family val="2"/>
          </rPr>
          <t xml:space="preserve">
Consolidated budget drops 6/30/15.</t>
        </r>
      </text>
    </comment>
    <comment ref="Z14" authorId="1" shapeId="0">
      <text>
        <r>
          <rPr>
            <b/>
            <sz val="9"/>
            <color rgb="FF000000"/>
            <rFont val="Tahoma"/>
            <family val="2"/>
          </rPr>
          <t>Sara Barnes:</t>
        </r>
        <r>
          <rPr>
            <sz val="9"/>
            <color rgb="FF000000"/>
            <rFont val="Tahoma"/>
            <family val="2"/>
          </rPr>
          <t xml:space="preserve">
Old USD 441</t>
        </r>
      </text>
    </comment>
    <comment ref="AQ14" authorId="1" shapeId="0">
      <text>
        <r>
          <rPr>
            <b/>
            <sz val="9"/>
            <color rgb="FF000000"/>
            <rFont val="Tahoma"/>
            <family val="2"/>
          </rPr>
          <t>Sara Barnes:</t>
        </r>
        <r>
          <rPr>
            <sz val="9"/>
            <color rgb="FF000000"/>
            <rFont val="Tahoma"/>
            <family val="2"/>
          </rPr>
          <t xml:space="preserve">
Consolidated budget drops 6/30/15.</t>
        </r>
      </text>
    </comment>
    <comment ref="AQ15" authorId="1" shapeId="0">
      <text>
        <r>
          <rPr>
            <b/>
            <sz val="9"/>
            <color rgb="FF000000"/>
            <rFont val="Tahoma"/>
            <family val="2"/>
          </rPr>
          <t>Sara Barnes:</t>
        </r>
        <r>
          <rPr>
            <sz val="9"/>
            <color rgb="FF000000"/>
            <rFont val="Tahoma"/>
            <family val="2"/>
          </rPr>
          <t xml:space="preserve">
Consolidated budget drops 6/30/15.</t>
        </r>
      </text>
    </comment>
    <comment ref="AQ16" authorId="1" shapeId="0">
      <text>
        <r>
          <rPr>
            <b/>
            <sz val="9"/>
            <color rgb="FF000000"/>
            <rFont val="Tahoma"/>
            <family val="2"/>
          </rPr>
          <t>Sara Barnes:</t>
        </r>
        <r>
          <rPr>
            <sz val="9"/>
            <color rgb="FF000000"/>
            <rFont val="Tahoma"/>
            <family val="2"/>
          </rPr>
          <t xml:space="preserve">
Consolidated budget drops 6/30/15.</t>
        </r>
      </text>
    </comment>
    <comment ref="H23" authorId="1" shapeId="0">
      <text>
        <r>
          <rPr>
            <b/>
            <sz val="9"/>
            <color rgb="FF000000"/>
            <rFont val="Tahoma"/>
            <family val="2"/>
          </rPr>
          <t>Sara Barnes:</t>
        </r>
        <r>
          <rPr>
            <sz val="9"/>
            <color rgb="FF000000"/>
            <rFont val="Tahoma"/>
            <family val="2"/>
          </rPr>
          <t xml:space="preserve">
MILT district.</t>
        </r>
      </text>
    </comment>
    <comment ref="J30" authorId="1" shapeId="0">
      <text>
        <r>
          <rPr>
            <b/>
            <sz val="9"/>
            <color rgb="FF000000"/>
            <rFont val="Tahoma"/>
            <family val="2"/>
          </rPr>
          <t>Sara Barnes:</t>
        </r>
        <r>
          <rPr>
            <sz val="9"/>
            <color rgb="FF000000"/>
            <rFont val="Tahoma"/>
            <family val="2"/>
          </rPr>
          <t xml:space="preserve">
Updated 6-24-14.</t>
        </r>
      </text>
    </comment>
    <comment ref="K53" authorId="1" shapeId="0">
      <text>
        <r>
          <rPr>
            <b/>
            <sz val="9"/>
            <color indexed="81"/>
            <rFont val="Tahoma"/>
            <family val="2"/>
          </rPr>
          <t>Sara Barnes:</t>
        </r>
        <r>
          <rPr>
            <sz val="9"/>
            <color indexed="81"/>
            <rFont val="Tahoma"/>
            <family val="2"/>
          </rPr>
          <t xml:space="preserve">
6-30-16:  Corrected due to reduction of sped aid for reimbursement.</t>
        </r>
      </text>
    </comment>
    <comment ref="Q53" authorId="1" shapeId="0">
      <text>
        <r>
          <rPr>
            <b/>
            <sz val="9"/>
            <color indexed="81"/>
            <rFont val="Tahoma"/>
            <family val="2"/>
          </rPr>
          <t>Sara Barnes:</t>
        </r>
        <r>
          <rPr>
            <sz val="9"/>
            <color indexed="81"/>
            <rFont val="Tahoma"/>
            <family val="2"/>
          </rPr>
          <t xml:space="preserve">
</t>
        </r>
        <r>
          <rPr>
            <sz val="9"/>
            <color indexed="81"/>
            <rFont val="Calibri"/>
            <family val="2"/>
            <scheme val="minor"/>
          </rPr>
          <t>6-17-16:  Per Craig, he recommended to show the actual amount they received FY16 opposed to lesser amount due to refund.  He thinks they will likely have this as an expenditure for pmt to state, therefore, would need the full amount of sped aid.
6-30-16:  Per call with Ted Vannocker, they netted sped aid to be reduced by refund amount of $117,244.  They prefer legal max and budget to reflect reduced amount.</t>
        </r>
      </text>
    </comment>
    <comment ref="K55" authorId="1" shapeId="0">
      <text>
        <r>
          <rPr>
            <b/>
            <sz val="9"/>
            <color indexed="81"/>
            <rFont val="Tahoma"/>
            <family val="2"/>
          </rPr>
          <t>Sara Barnes:</t>
        </r>
        <r>
          <rPr>
            <sz val="9"/>
            <color indexed="81"/>
            <rFont val="Tahoma"/>
            <family val="2"/>
          </rPr>
          <t xml:space="preserve">
6-30-16:  Corrected due to reduction of sped aid for reimbursement.</t>
        </r>
      </text>
    </comment>
    <comment ref="Q55" authorId="1" shapeId="0">
      <text>
        <r>
          <rPr>
            <b/>
            <sz val="9"/>
            <color indexed="81"/>
            <rFont val="Tahoma"/>
            <family val="2"/>
          </rPr>
          <t>Sara Barnes:</t>
        </r>
        <r>
          <rPr>
            <sz val="9"/>
            <color indexed="81"/>
            <rFont val="Tahoma"/>
            <family val="2"/>
          </rPr>
          <t xml:space="preserve">
</t>
        </r>
        <r>
          <rPr>
            <sz val="9"/>
            <color indexed="81"/>
            <rFont val="Calibri"/>
            <family val="2"/>
            <scheme val="minor"/>
          </rPr>
          <t>6-17-16:  Per Craig, he recommended to show the actual amount they received FY16 opposed to lesser amount due to refund.  He thinks they will likely have this as an expenditure for pmt to state, therefore, would need the full amount of sped aid.
6-30-16:  Per call from Roxie, the district netted the reimbursed amount $47,106.  They prefer to have legal max and sped aid reflect the lower amount.</t>
        </r>
      </text>
    </comment>
    <comment ref="H70" authorId="1" shapeId="0">
      <text>
        <r>
          <rPr>
            <b/>
            <sz val="9"/>
            <color rgb="FF000000"/>
            <rFont val="Tahoma"/>
            <family val="2"/>
          </rPr>
          <t>Sara Barnes:</t>
        </r>
        <r>
          <rPr>
            <sz val="9"/>
            <color rgb="FF000000"/>
            <rFont val="Tahoma"/>
            <family val="2"/>
          </rPr>
          <t xml:space="preserve">
MILT district.</t>
        </r>
      </text>
    </comment>
    <comment ref="P111" authorId="1" shapeId="0">
      <text>
        <r>
          <rPr>
            <b/>
            <sz val="9"/>
            <color rgb="FF000000"/>
            <rFont val="Tahoma"/>
            <family val="2"/>
          </rPr>
          <t>Sara Barnes:</t>
        </r>
        <r>
          <rPr>
            <sz val="9"/>
            <color rgb="FF000000"/>
            <rFont val="Tahoma"/>
            <family val="2"/>
          </rPr>
          <t xml:space="preserve">
6-6-14:  Updated to include $5,326 supplemental payment due to audit appeal.</t>
        </r>
      </text>
    </comment>
    <comment ref="Q111" authorId="1" shapeId="0">
      <text>
        <r>
          <rPr>
            <b/>
            <sz val="9"/>
            <color rgb="FF000000"/>
            <rFont val="Tahoma"/>
            <family val="2"/>
          </rPr>
          <t>Sara Barnes:</t>
        </r>
        <r>
          <rPr>
            <sz val="9"/>
            <color rgb="FF000000"/>
            <rFont val="Tahoma"/>
            <family val="2"/>
          </rPr>
          <t xml:space="preserve">
6-6-14:  Updated to include $5,326 supplemental payment due to audit appeal.</t>
        </r>
      </text>
    </comment>
    <comment ref="AY161" authorId="1" shapeId="0">
      <text>
        <r>
          <rPr>
            <b/>
            <sz val="9"/>
            <color rgb="FF000000"/>
            <rFont val="Tahoma"/>
            <family val="2"/>
          </rPr>
          <t>Sara Barnes:</t>
        </r>
        <r>
          <rPr>
            <sz val="9"/>
            <color rgb="FF000000"/>
            <rFont val="Tahoma"/>
            <family val="2"/>
          </rPr>
          <t xml:space="preserve">
6-24-16:  Reduced LOB aid due to setoff amount of $322.85.</t>
        </r>
      </text>
    </comment>
    <comment ref="BE161" authorId="1" shapeId="0">
      <text>
        <r>
          <rPr>
            <b/>
            <sz val="9"/>
            <color rgb="FF000000"/>
            <rFont val="Tahoma"/>
            <family val="2"/>
          </rPr>
          <t>Sara Barnes:</t>
        </r>
        <r>
          <rPr>
            <sz val="9"/>
            <color rgb="FF000000"/>
            <rFont val="Tahoma"/>
            <family val="2"/>
          </rPr>
          <t xml:space="preserve">
6-15-16:  Reduced due to setoff in amount of $39,456.84.</t>
        </r>
      </text>
    </comment>
    <comment ref="H176" authorId="1" shapeId="0">
      <text>
        <r>
          <rPr>
            <b/>
            <sz val="9"/>
            <color rgb="FF000000"/>
            <rFont val="Tahoma"/>
            <family val="2"/>
          </rPr>
          <t>Sara Barnes:</t>
        </r>
        <r>
          <rPr>
            <sz val="9"/>
            <color rgb="FF000000"/>
            <rFont val="Tahoma"/>
            <family val="2"/>
          </rPr>
          <t xml:space="preserve">
MILT district.</t>
        </r>
      </text>
    </comment>
    <comment ref="H185" authorId="1" shapeId="0">
      <text>
        <r>
          <rPr>
            <b/>
            <sz val="9"/>
            <color rgb="FF000000"/>
            <rFont val="Tahoma"/>
            <family val="2"/>
          </rPr>
          <t>Sara Barnes:</t>
        </r>
        <r>
          <rPr>
            <sz val="9"/>
            <color rgb="FF000000"/>
            <rFont val="Tahoma"/>
            <family val="2"/>
          </rPr>
          <t xml:space="preserve">
MILT district.</t>
        </r>
      </text>
    </comment>
    <comment ref="E204" authorId="1" shapeId="0">
      <text>
        <r>
          <rPr>
            <b/>
            <sz val="9"/>
            <color rgb="FF000000"/>
            <rFont val="Tahoma"/>
            <family val="2"/>
          </rPr>
          <t>Sara Barnes:</t>
        </r>
        <r>
          <rPr>
            <sz val="9"/>
            <color rgb="FF000000"/>
            <rFont val="Tahoma"/>
            <family val="2"/>
          </rPr>
          <t xml:space="preserve">
</t>
        </r>
        <r>
          <rPr>
            <sz val="9"/>
            <color rgb="FF000000"/>
            <rFont val="Calibri"/>
            <family val="2"/>
          </rPr>
          <t>6-16-16:  Updated to reflect reduced valuation per certification provided on May 27, 2015 due to refinery.</t>
        </r>
      </text>
    </comment>
    <comment ref="K204" authorId="1" shapeId="0">
      <text>
        <r>
          <rPr>
            <b/>
            <sz val="9"/>
            <color indexed="81"/>
            <rFont val="Tahoma"/>
            <family val="2"/>
          </rPr>
          <t>Sara Barnes:</t>
        </r>
        <r>
          <rPr>
            <sz val="9"/>
            <color indexed="81"/>
            <rFont val="Tahoma"/>
            <family val="2"/>
          </rPr>
          <t xml:space="preserve">
6-30-16:  Updated to include additional LOB aid payment of $120,112 deposited in May due to special exception.</t>
        </r>
      </text>
    </comment>
    <comment ref="AY204" authorId="1" shapeId="0">
      <text>
        <r>
          <rPr>
            <b/>
            <sz val="9"/>
            <color rgb="FF000000"/>
            <rFont val="Tahoma"/>
            <family val="2"/>
          </rPr>
          <t>Sara Barnes:</t>
        </r>
        <r>
          <rPr>
            <sz val="9"/>
            <color rgb="FF000000"/>
            <rFont val="Tahoma"/>
            <family val="2"/>
          </rPr>
          <t xml:space="preserve">
6-21-16:  Per Richard Proffitt, he was OK to load LOB aid reduced due to refund.  If they need to have otherwise, they willl call and I can provide password.</t>
        </r>
      </text>
    </comment>
    <comment ref="AQ212" authorId="1" shapeId="0">
      <text>
        <r>
          <rPr>
            <b/>
            <sz val="9"/>
            <color rgb="FF000000"/>
            <rFont val="Tahoma"/>
            <family val="2"/>
          </rPr>
          <t>Sara Barnes:</t>
        </r>
        <r>
          <rPr>
            <sz val="9"/>
            <color rgb="FF000000"/>
            <rFont val="Tahoma"/>
            <family val="2"/>
          </rPr>
          <t xml:space="preserve">
6-6-16:  Consolidation drops June 30, 2016.  Original amount loaded for FY16 was $3,104,974.  Due to FY15 entitlement as regular compute, should be $2,167,641.</t>
        </r>
      </text>
    </comment>
    <comment ref="X235" authorId="1" shapeId="0">
      <text>
        <r>
          <rPr>
            <b/>
            <sz val="9"/>
            <color rgb="FF000000"/>
            <rFont val="Tahoma"/>
            <family val="2"/>
          </rPr>
          <t>Sara Barnes:</t>
        </r>
        <r>
          <rPr>
            <sz val="9"/>
            <color rgb="FF000000"/>
            <rFont val="Tahoma"/>
            <family val="2"/>
          </rPr>
          <t xml:space="preserve">
6-2-14:  Corrected from 201 to 200 as confirmed by Mike.</t>
        </r>
      </text>
    </comment>
    <comment ref="J249" authorId="1" shapeId="0">
      <text>
        <r>
          <rPr>
            <b/>
            <sz val="9"/>
            <color rgb="FF000000"/>
            <rFont val="Tahoma"/>
            <family val="2"/>
          </rPr>
          <t>Sara Barnes:</t>
        </r>
        <r>
          <rPr>
            <sz val="9"/>
            <color rgb="FF000000"/>
            <rFont val="Tahoma"/>
            <family val="2"/>
          </rPr>
          <t xml:space="preserve">
Updated 6-24-2014</t>
        </r>
      </text>
    </comment>
    <comment ref="H254" authorId="1" shapeId="0">
      <text>
        <r>
          <rPr>
            <b/>
            <sz val="9"/>
            <color rgb="FF000000"/>
            <rFont val="Tahoma"/>
            <family val="2"/>
          </rPr>
          <t>Sara Barnes:</t>
        </r>
        <r>
          <rPr>
            <sz val="9"/>
            <color rgb="FF000000"/>
            <rFont val="Tahoma"/>
            <family val="2"/>
          </rPr>
          <t xml:space="preserve">
MILT district.</t>
        </r>
      </text>
    </comment>
    <comment ref="H256" authorId="1" shapeId="0">
      <text>
        <r>
          <rPr>
            <b/>
            <sz val="9"/>
            <color rgb="FF000000"/>
            <rFont val="Tahoma"/>
            <family val="2"/>
          </rPr>
          <t>Sara Barnes:</t>
        </r>
        <r>
          <rPr>
            <sz val="9"/>
            <color rgb="FF000000"/>
            <rFont val="Tahoma"/>
            <family val="2"/>
          </rPr>
          <t xml:space="preserve">
MILT district.</t>
        </r>
      </text>
    </comment>
    <comment ref="H261" authorId="1" shapeId="0">
      <text>
        <r>
          <rPr>
            <b/>
            <sz val="9"/>
            <color rgb="FF000000"/>
            <rFont val="Tahoma"/>
            <family val="2"/>
          </rPr>
          <t>Sara Barnes:</t>
        </r>
        <r>
          <rPr>
            <sz val="9"/>
            <color rgb="FF000000"/>
            <rFont val="Tahoma"/>
            <family val="2"/>
          </rPr>
          <t xml:space="preserve">
MILT district.</t>
        </r>
      </text>
    </comment>
    <comment ref="H265" authorId="1" shapeId="0">
      <text>
        <r>
          <rPr>
            <b/>
            <sz val="9"/>
            <color rgb="FF000000"/>
            <rFont val="Tahoma"/>
            <family val="2"/>
          </rPr>
          <t>Sara Barnes:</t>
        </r>
        <r>
          <rPr>
            <sz val="9"/>
            <color rgb="FF000000"/>
            <rFont val="Tahoma"/>
            <family val="2"/>
          </rPr>
          <t xml:space="preserve">
MILT district.</t>
        </r>
      </text>
    </comment>
  </commentList>
</comments>
</file>

<file path=xl/comments16.xml><?xml version="1.0" encoding="utf-8"?>
<comments xmlns="http://schemas.openxmlformats.org/spreadsheetml/2006/main">
  <authors>
    <author>Author</author>
    <author>Sara Barnes</author>
  </authors>
  <commentList>
    <comment ref="P13" authorId="0" shapeId="0">
      <text>
        <r>
          <rPr>
            <b/>
            <sz val="9"/>
            <color indexed="81"/>
            <rFont val="Tahoma"/>
            <family val="2"/>
          </rPr>
          <t>Author:</t>
        </r>
        <r>
          <rPr>
            <sz val="9"/>
            <color indexed="81"/>
            <rFont val="Tahoma"/>
            <family val="2"/>
          </rPr>
          <t xml:space="preserve">
Original USD 354</t>
        </r>
      </text>
    </comment>
    <comment ref="AI13" authorId="0" shapeId="0">
      <text>
        <r>
          <rPr>
            <b/>
            <sz val="9"/>
            <color indexed="81"/>
            <rFont val="Tahoma"/>
            <family val="2"/>
          </rPr>
          <t>Author:</t>
        </r>
        <r>
          <rPr>
            <sz val="9"/>
            <color indexed="81"/>
            <rFont val="Tahoma"/>
            <family val="2"/>
          </rPr>
          <t xml:space="preserve">
Original USD 354</t>
        </r>
      </text>
    </comment>
    <comment ref="H14" authorId="1" shapeId="0">
      <text>
        <r>
          <rPr>
            <b/>
            <sz val="9"/>
            <color indexed="81"/>
            <rFont val="Tahoma"/>
            <family val="2"/>
          </rPr>
          <t>Sara Barnes:</t>
        </r>
        <r>
          <rPr>
            <sz val="9"/>
            <color indexed="81"/>
            <rFont val="Tahoma"/>
            <family val="2"/>
          </rPr>
          <t xml:space="preserve">
Original USD 441</t>
        </r>
      </text>
    </comment>
    <comment ref="I14" authorId="1" shapeId="0">
      <text>
        <r>
          <rPr>
            <b/>
            <sz val="9"/>
            <color indexed="81"/>
            <rFont val="Tahoma"/>
            <family val="2"/>
          </rPr>
          <t>Sara Barnes:</t>
        </r>
        <r>
          <rPr>
            <sz val="9"/>
            <color indexed="81"/>
            <rFont val="Tahoma"/>
            <family val="2"/>
          </rPr>
          <t xml:space="preserve">
Original USD 488</t>
        </r>
      </text>
    </comment>
    <comment ref="AA14" authorId="1" shapeId="0">
      <text>
        <r>
          <rPr>
            <b/>
            <sz val="9"/>
            <color indexed="81"/>
            <rFont val="Tahoma"/>
            <family val="2"/>
          </rPr>
          <t>Sara Barnes:</t>
        </r>
        <r>
          <rPr>
            <sz val="9"/>
            <color indexed="81"/>
            <rFont val="Tahoma"/>
            <family val="2"/>
          </rPr>
          <t xml:space="preserve">
Original USD 441</t>
        </r>
      </text>
    </comment>
    <comment ref="AB14" authorId="1" shapeId="0">
      <text>
        <r>
          <rPr>
            <b/>
            <sz val="9"/>
            <color indexed="81"/>
            <rFont val="Tahoma"/>
            <family val="2"/>
          </rPr>
          <t>Sara Barnes:</t>
        </r>
        <r>
          <rPr>
            <sz val="9"/>
            <color indexed="81"/>
            <rFont val="Tahoma"/>
            <family val="2"/>
          </rPr>
          <t xml:space="preserve">
Original USD 488</t>
        </r>
      </text>
    </comment>
    <comment ref="AB16" authorId="1" shapeId="0">
      <text>
        <r>
          <rPr>
            <b/>
            <sz val="9"/>
            <color indexed="81"/>
            <rFont val="Tahoma"/>
            <family val="2"/>
          </rPr>
          <t>Sara Barnes:</t>
        </r>
        <r>
          <rPr>
            <sz val="9"/>
            <color indexed="81"/>
            <rFont val="Tahoma"/>
            <family val="2"/>
          </rPr>
          <t xml:space="preserve">
Original USD 442</t>
        </r>
      </text>
    </comment>
    <comment ref="C35" authorId="1" shapeId="0">
      <text>
        <r>
          <rPr>
            <b/>
            <sz val="9"/>
            <color indexed="81"/>
            <rFont val="Tahoma"/>
            <family val="2"/>
          </rPr>
          <t>Sara Barnes:</t>
        </r>
        <r>
          <rPr>
            <sz val="9"/>
            <color indexed="81"/>
            <rFont val="Tahoma"/>
            <family val="2"/>
          </rPr>
          <t xml:space="preserve">
7-28-15 Corrected data file.</t>
        </r>
      </text>
    </comment>
    <comment ref="C57" authorId="1" shapeId="0">
      <text>
        <r>
          <rPr>
            <b/>
            <sz val="9"/>
            <color indexed="81"/>
            <rFont val="Tahoma"/>
            <family val="2"/>
          </rPr>
          <t>Sara Barnes:</t>
        </r>
        <r>
          <rPr>
            <sz val="9"/>
            <color indexed="81"/>
            <rFont val="Tahoma"/>
            <family val="2"/>
          </rPr>
          <t xml:space="preserve">
7-28-15 Corrected data file.</t>
        </r>
      </text>
    </comment>
    <comment ref="C180" authorId="1" shapeId="0">
      <text>
        <r>
          <rPr>
            <b/>
            <sz val="9"/>
            <color indexed="81"/>
            <rFont val="Tahoma"/>
            <family val="2"/>
          </rPr>
          <t>Sara Barnes:</t>
        </r>
        <r>
          <rPr>
            <sz val="9"/>
            <color indexed="81"/>
            <rFont val="Tahoma"/>
            <family val="2"/>
          </rPr>
          <t xml:space="preserve">
Corrected 7-28-15.</t>
        </r>
      </text>
    </comment>
    <comment ref="C184" authorId="1" shapeId="0">
      <text>
        <r>
          <rPr>
            <b/>
            <sz val="9"/>
            <color indexed="81"/>
            <rFont val="Tahoma"/>
            <family val="2"/>
          </rPr>
          <t>Sara Barnes:</t>
        </r>
        <r>
          <rPr>
            <sz val="9"/>
            <color indexed="81"/>
            <rFont val="Tahoma"/>
            <family val="2"/>
          </rPr>
          <t xml:space="preserve">
7-28-15 Corrected data file.</t>
        </r>
      </text>
    </comment>
    <comment ref="P212" authorId="0" shapeId="0">
      <text>
        <r>
          <rPr>
            <b/>
            <sz val="9"/>
            <color indexed="81"/>
            <rFont val="Tahoma"/>
            <family val="2"/>
          </rPr>
          <t>Author:</t>
        </r>
        <r>
          <rPr>
            <sz val="9"/>
            <color indexed="81"/>
            <rFont val="Tahoma"/>
            <family val="2"/>
          </rPr>
          <t xml:space="preserve">
Original USD 422.</t>
        </r>
      </text>
    </comment>
    <comment ref="Q212" authorId="0" shapeId="0">
      <text>
        <r>
          <rPr>
            <b/>
            <sz val="9"/>
            <color indexed="81"/>
            <rFont val="Tahoma"/>
            <family val="2"/>
          </rPr>
          <t>Author:</t>
        </r>
        <r>
          <rPr>
            <sz val="9"/>
            <color indexed="81"/>
            <rFont val="Tahoma"/>
            <family val="2"/>
          </rPr>
          <t xml:space="preserve">
Original USD 424.</t>
        </r>
      </text>
    </comment>
    <comment ref="AI212" authorId="0" shapeId="0">
      <text>
        <r>
          <rPr>
            <b/>
            <sz val="9"/>
            <color indexed="81"/>
            <rFont val="Tahoma"/>
            <family val="2"/>
          </rPr>
          <t>Author:</t>
        </r>
        <r>
          <rPr>
            <sz val="9"/>
            <color indexed="81"/>
            <rFont val="Tahoma"/>
            <family val="2"/>
          </rPr>
          <t xml:space="preserve">
Original USD 422.</t>
        </r>
      </text>
    </comment>
    <comment ref="AJ212" authorId="0" shapeId="0">
      <text>
        <r>
          <rPr>
            <b/>
            <sz val="9"/>
            <color indexed="81"/>
            <rFont val="Tahoma"/>
            <family val="2"/>
          </rPr>
          <t>Author:</t>
        </r>
        <r>
          <rPr>
            <sz val="9"/>
            <color indexed="81"/>
            <rFont val="Tahoma"/>
            <family val="2"/>
          </rPr>
          <t xml:space="preserve">
Original USD 424.</t>
        </r>
      </text>
    </comment>
    <comment ref="C235" authorId="1" shapeId="0">
      <text>
        <r>
          <rPr>
            <b/>
            <sz val="9"/>
            <color indexed="81"/>
            <rFont val="Tahoma"/>
            <family val="2"/>
          </rPr>
          <t>Sara Barnes:</t>
        </r>
        <r>
          <rPr>
            <sz val="9"/>
            <color indexed="81"/>
            <rFont val="Tahoma"/>
            <family val="2"/>
          </rPr>
          <t xml:space="preserve">
7-28-15 Corrected data file.</t>
        </r>
      </text>
    </comment>
    <comment ref="C253" authorId="1" shapeId="0">
      <text>
        <r>
          <rPr>
            <b/>
            <sz val="9"/>
            <color indexed="81"/>
            <rFont val="Tahoma"/>
            <family val="2"/>
          </rPr>
          <t>Sara Barnes:</t>
        </r>
        <r>
          <rPr>
            <sz val="9"/>
            <color indexed="81"/>
            <rFont val="Tahoma"/>
            <family val="2"/>
          </rPr>
          <t xml:space="preserve">
7-28-15 Corrected data file.</t>
        </r>
      </text>
    </comment>
    <comment ref="P258" authorId="1" shapeId="0">
      <text>
        <r>
          <rPr>
            <b/>
            <sz val="9"/>
            <color indexed="81"/>
            <rFont val="Tahoma"/>
            <family val="2"/>
          </rPr>
          <t>Sara Barnes:</t>
        </r>
        <r>
          <rPr>
            <sz val="9"/>
            <color indexed="81"/>
            <rFont val="Tahoma"/>
            <family val="2"/>
          </rPr>
          <t xml:space="preserve">
Revised on 7-23-15.  For some reason it pulled as 2.050.</t>
        </r>
      </text>
    </comment>
    <comment ref="P264" authorId="1" shapeId="0">
      <text>
        <r>
          <rPr>
            <b/>
            <sz val="9"/>
            <color indexed="81"/>
            <rFont val="Tahoma"/>
            <family val="2"/>
          </rPr>
          <t>Sara Barnes:</t>
        </r>
        <r>
          <rPr>
            <sz val="9"/>
            <color indexed="81"/>
            <rFont val="Tahoma"/>
            <family val="2"/>
          </rPr>
          <t xml:space="preserve">
7-24-15:  Rodney Burns, CPA is working on budget and indicated 1.00 for Rec and .5 for Empl Benefits is not correct.  Should be 1.5 for Rec and 0.0 for Benefits.</t>
        </r>
      </text>
    </comment>
    <comment ref="Q264" authorId="1" shapeId="0">
      <text>
        <r>
          <rPr>
            <b/>
            <sz val="9"/>
            <color indexed="81"/>
            <rFont val="Tahoma"/>
            <family val="2"/>
          </rPr>
          <t>Sara Barnes:</t>
        </r>
        <r>
          <rPr>
            <sz val="9"/>
            <color indexed="81"/>
            <rFont val="Tahoma"/>
            <family val="2"/>
          </rPr>
          <t xml:space="preserve">
7-24-15:  Rodney Burns, CPA is working on budget and indicated 1.00 for Rec and .5 for Empl Benefits is not correct.  Should be 1.5 for Rec and 0.0 for Benefits.</t>
        </r>
      </text>
    </comment>
  </commentList>
</comments>
</file>

<file path=xl/comments2.xml><?xml version="1.0" encoding="utf-8"?>
<comments xmlns="http://schemas.openxmlformats.org/spreadsheetml/2006/main">
  <authors>
    <author>CICS</author>
    <author>cics</author>
    <author>dreinert</author>
  </authors>
  <commentList>
    <comment ref="C18" authorId="0" shapeId="0">
      <text>
        <r>
          <rPr>
            <sz val="9"/>
            <color indexed="81"/>
            <rFont val="Geneva"/>
          </rPr>
          <t xml:space="preserve">Remember to enter the percent of delinquent taxes to use for the COMBINED data.
</t>
        </r>
      </text>
    </comment>
    <comment ref="M41" authorId="1" shapeId="0">
      <text>
        <r>
          <rPr>
            <sz val="10"/>
            <color indexed="81"/>
            <rFont val="Arial"/>
            <family val="2"/>
          </rPr>
          <t>If this number is over 5%, please verify that it is indeed correct.</t>
        </r>
        <r>
          <rPr>
            <sz val="8"/>
            <color indexed="81"/>
            <rFont val="Tahoma"/>
            <family val="2"/>
          </rPr>
          <t xml:space="preserve">
</t>
        </r>
      </text>
    </comment>
    <comment ref="M42" authorId="1" shapeId="0">
      <text>
        <r>
          <rPr>
            <sz val="10"/>
            <color indexed="81"/>
            <rFont val="Arial"/>
            <family val="2"/>
          </rPr>
          <t>If this number is over 5%, please verify that it is indeed correct.</t>
        </r>
        <r>
          <rPr>
            <sz val="8"/>
            <color indexed="81"/>
            <rFont val="Tahoma"/>
            <family val="2"/>
          </rPr>
          <t xml:space="preserve">
</t>
        </r>
      </text>
    </comment>
    <comment ref="E96" authorId="2" shapeId="0">
      <text>
        <r>
          <rPr>
            <sz val="9"/>
            <color indexed="81"/>
            <rFont val="Tahoma"/>
            <family val="2"/>
          </rPr>
          <t xml:space="preserve">Transfers to the bottom of the Code 01 worksheet.
</t>
        </r>
      </text>
    </comment>
  </commentList>
</comments>
</file>

<file path=xl/comments3.xml><?xml version="1.0" encoding="utf-8"?>
<comments xmlns="http://schemas.openxmlformats.org/spreadsheetml/2006/main">
  <authors>
    <author>Donna Reinert</author>
  </authors>
  <commentList>
    <comment ref="L55" authorId="0" shapeId="0">
      <text>
        <r>
          <rPr>
            <sz val="9"/>
            <color indexed="81"/>
            <rFont val="Tahoma"/>
            <family val="2"/>
          </rPr>
          <t xml:space="preserve">Does not include authorized transfers
</t>
        </r>
      </text>
    </comment>
  </commentList>
</comments>
</file>

<file path=xl/comments4.xml><?xml version="1.0" encoding="utf-8"?>
<comments xmlns="http://schemas.openxmlformats.org/spreadsheetml/2006/main">
  <authors>
    <author>dreinert</author>
  </authors>
  <commentList>
    <comment ref="J23" authorId="0" shapeId="0">
      <text>
        <r>
          <rPr>
            <sz val="10"/>
            <color indexed="81"/>
            <rFont val="Tahoma"/>
            <family val="2"/>
          </rPr>
          <t>If you leave this blank you will be adopting the maximum LOB on line 5.</t>
        </r>
        <r>
          <rPr>
            <b/>
            <sz val="8"/>
            <color indexed="81"/>
            <rFont val="Tahoma"/>
            <family val="2"/>
          </rPr>
          <t xml:space="preserve">
</t>
        </r>
        <r>
          <rPr>
            <sz val="8"/>
            <color indexed="81"/>
            <rFont val="Tahoma"/>
            <family val="2"/>
          </rPr>
          <t xml:space="preserve">
</t>
        </r>
      </text>
    </comment>
  </commentList>
</comments>
</file>

<file path=xl/comments5.xml><?xml version="1.0" encoding="utf-8"?>
<comments xmlns="http://schemas.openxmlformats.org/spreadsheetml/2006/main">
  <authors>
    <author>dreinert</author>
  </authors>
  <commentList>
    <comment ref="B119" authorId="0" shapeId="0">
      <text>
        <r>
          <rPr>
            <sz val="9"/>
            <color indexed="81"/>
            <rFont val="Tahoma"/>
            <family val="2"/>
          </rPr>
          <t xml:space="preserve">Comes from the Form 110, page 2.
</t>
        </r>
      </text>
    </comment>
    <comment ref="F119" authorId="0" shapeId="0">
      <text>
        <r>
          <rPr>
            <sz val="9"/>
            <color indexed="81"/>
            <rFont val="Tahoma"/>
            <family val="2"/>
          </rPr>
          <t>Comes from the Open page.</t>
        </r>
      </text>
    </comment>
  </commentList>
</comments>
</file>

<file path=xl/comments6.xml><?xml version="1.0" encoding="utf-8"?>
<comments xmlns="http://schemas.openxmlformats.org/spreadsheetml/2006/main">
  <authors>
    <author>dreinert</author>
  </authors>
  <commentList>
    <comment ref="K12" authorId="0" shapeId="0">
      <text>
        <r>
          <rPr>
            <sz val="10"/>
            <color indexed="81"/>
            <rFont val="Arial"/>
            <family val="2"/>
          </rPr>
          <t>If this cell is equal to zero  then switch to the C08 and verify it does not say ERROR on taxes to be levied or 'expend &lt;&gt; LOB'.</t>
        </r>
      </text>
    </comment>
  </commentList>
</comments>
</file>

<file path=xl/comments7.xml><?xml version="1.0" encoding="utf-8"?>
<comments xmlns="http://schemas.openxmlformats.org/spreadsheetml/2006/main">
  <authors>
    <author>CICS</author>
    <author>Donna Reinert</author>
    <author>dreinert</author>
  </authors>
  <commentList>
    <comment ref="E35" authorId="0" shapeId="0">
      <text>
        <r>
          <rPr>
            <sz val="10"/>
            <color indexed="81"/>
            <rFont val="Geneva"/>
          </rPr>
          <t>If you have a zero or no value for General State Aid here then check cell i43 to see how much your expenditures are off.</t>
        </r>
        <r>
          <rPr>
            <sz val="9"/>
            <color indexed="81"/>
            <rFont val="Geneva"/>
          </rPr>
          <t xml:space="preserve">
</t>
        </r>
      </text>
    </comment>
    <comment ref="E37" authorId="1" shapeId="0">
      <text>
        <r>
          <rPr>
            <sz val="9"/>
            <color indexed="81"/>
            <rFont val="Tahoma"/>
            <family val="2"/>
          </rPr>
          <t xml:space="preserve">LOB State Aid is no longer part of the Block Grant.  Aid will be reflected on Code 08-Supplemental General Fund.
</t>
        </r>
      </text>
    </comment>
    <comment ref="E40" authorId="1" shapeId="0">
      <text>
        <r>
          <rPr>
            <sz val="9"/>
            <color indexed="81"/>
            <rFont val="Tahoma"/>
            <family val="2"/>
          </rPr>
          <t xml:space="preserve">Capital Outlay State Aid is no longer part of the Block Grant.  Aid will be reflected on Code 16-Capital Outlay Fund.
</t>
        </r>
      </text>
    </comment>
    <comment ref="E47" authorId="2" shapeId="0">
      <text>
        <r>
          <rPr>
            <sz val="9"/>
            <color indexed="81"/>
            <rFont val="Tahoma"/>
            <family val="2"/>
          </rPr>
          <t xml:space="preserve">Data comes from cell i29.  If there are errors on any transfer to general, you will need to correct in that fund.  
</t>
        </r>
      </text>
    </comment>
    <comment ref="E49" authorId="0" shapeId="0">
      <text>
        <r>
          <rPr>
            <sz val="10"/>
            <color indexed="81"/>
            <rFont val="Geneva"/>
          </rPr>
          <t>Cell i43 must be</t>
        </r>
        <r>
          <rPr>
            <b/>
            <sz val="10"/>
            <color indexed="81"/>
            <rFont val="Geneva"/>
          </rPr>
          <t xml:space="preserve"> zero or greater</t>
        </r>
        <r>
          <rPr>
            <sz val="10"/>
            <color indexed="81"/>
            <rFont val="Geneva"/>
          </rPr>
          <t xml:space="preserve"> </t>
        </r>
        <r>
          <rPr>
            <b/>
            <sz val="10"/>
            <color indexed="81"/>
            <rFont val="Geneva"/>
          </rPr>
          <t>and</t>
        </r>
        <r>
          <rPr>
            <sz val="10"/>
            <color indexed="81"/>
            <rFont val="Geneva"/>
          </rPr>
          <t xml:space="preserve"> the transfer to Special Ed (line 840) must be greater than or equal to your Special Education Aid (line 120).  </t>
        </r>
        <r>
          <rPr>
            <u/>
            <sz val="10"/>
            <color indexed="81"/>
            <rFont val="Geneva"/>
          </rPr>
          <t xml:space="preserve">Hint: </t>
        </r>
        <r>
          <rPr>
            <sz val="10"/>
            <color indexed="81"/>
            <rFont val="Geneva"/>
          </rPr>
          <t xml:space="preserve"> Scroll to the right to see these comparisons.</t>
        </r>
        <r>
          <rPr>
            <sz val="9"/>
            <color indexed="81"/>
            <rFont val="Geneva"/>
          </rPr>
          <t xml:space="preserve">
</t>
        </r>
      </text>
    </comment>
    <comment ref="D336" authorId="1" shapeId="0">
      <text>
        <r>
          <rPr>
            <sz val="10"/>
            <color indexed="81"/>
            <rFont val="Tahoma"/>
            <family val="2"/>
          </rPr>
          <t>Figure can be overwritten if district transferred more than what is listed on Line 116 of the revenue.</t>
        </r>
        <r>
          <rPr>
            <b/>
            <sz val="9"/>
            <color indexed="81"/>
            <rFont val="Tahoma"/>
            <family val="2"/>
          </rPr>
          <t xml:space="preserve">
</t>
        </r>
      </text>
    </comment>
    <comment ref="E348" authorId="0" shapeId="0">
      <text>
        <r>
          <rPr>
            <sz val="10"/>
            <color indexed="81"/>
            <rFont val="Geneva"/>
          </rPr>
          <t>This transfer amount must be greater than or equal to the amount of Special Education Aid on line 120.</t>
        </r>
        <r>
          <rPr>
            <sz val="9"/>
            <color indexed="81"/>
            <rFont val="Geneva"/>
          </rPr>
          <t xml:space="preserve">
</t>
        </r>
      </text>
    </comment>
  </commentList>
</comments>
</file>

<file path=xl/comments8.xml><?xml version="1.0" encoding="utf-8"?>
<comments xmlns="http://schemas.openxmlformats.org/spreadsheetml/2006/main">
  <authors>
    <author>Donna Reinert</author>
    <author>CICS</author>
  </authors>
  <commentList>
    <comment ref="C30" authorId="0" shapeId="0">
      <text>
        <r>
          <rPr>
            <sz val="9"/>
            <color indexed="81"/>
            <rFont val="Tahoma"/>
            <family val="2"/>
          </rPr>
          <t>Should be zero, not applicable to this year</t>
        </r>
        <r>
          <rPr>
            <sz val="9"/>
            <color indexed="81"/>
            <rFont val="Tahoma"/>
            <family val="2"/>
          </rPr>
          <t xml:space="preserve">
</t>
        </r>
      </text>
    </comment>
    <comment ref="E33" authorId="1" shapeId="0">
      <text>
        <r>
          <rPr>
            <sz val="8"/>
            <color indexed="81"/>
            <rFont val="Tahoma"/>
            <family val="2"/>
          </rPr>
          <t xml:space="preserve">Expenditures must equal LOB amount from F155 for this figure to compute.  Check Revenue vs. Expenditures calculation. (highlighted in blue, to the right)--&gt;
</t>
        </r>
      </text>
    </comment>
  </commentList>
</comments>
</file>

<file path=xl/comments9.xml><?xml version="1.0" encoding="utf-8"?>
<comments xmlns="http://schemas.openxmlformats.org/spreadsheetml/2006/main">
  <authors>
    <author>dreinert</author>
  </authors>
  <commentList>
    <comment ref="A25" authorId="0" shapeId="0">
      <text>
        <r>
          <rPr>
            <sz val="9"/>
            <color indexed="81"/>
            <rFont val="Tahoma"/>
            <family val="2"/>
          </rPr>
          <t>Leave in due to statute.</t>
        </r>
      </text>
    </comment>
    <comment ref="E30" authorId="0" shapeId="0">
      <text>
        <r>
          <rPr>
            <sz val="9"/>
            <color indexed="81"/>
            <rFont val="Tahoma"/>
            <family val="2"/>
          </rPr>
          <t>This comes from the Form 151 line 4B but can be overwritten to ensure taxes received will be adequate for State Payment.</t>
        </r>
      </text>
    </comment>
  </commentList>
</comments>
</file>

<file path=xl/sharedStrings.xml><?xml version="1.0" encoding="utf-8"?>
<sst xmlns="http://schemas.openxmlformats.org/spreadsheetml/2006/main" count="9239" uniqueCount="2667">
  <si>
    <t xml:space="preserve">    530 Communications (Telephone, postage, etc.)    </t>
  </si>
  <si>
    <t xml:space="preserve">  300 Purchased Professional and Technical Services </t>
  </si>
  <si>
    <t xml:space="preserve">    530 Communications  (Telephone, postage, etc.)    </t>
  </si>
  <si>
    <t xml:space="preserve">      680 Miscellaneous Supplies </t>
  </si>
  <si>
    <t xml:space="preserve">  930 General (Not Ending Balance)</t>
  </si>
  <si>
    <t>50% or more free meals</t>
  </si>
  <si>
    <t>Density of 212.1 students and free lunch rate &gt;=35.1</t>
  </si>
  <si>
    <t>COST OF LIVING</t>
  </si>
  <si>
    <t xml:space="preserve">  Cost of Living</t>
  </si>
  <si>
    <t>12-1927</t>
  </si>
  <si>
    <t>18 mo.</t>
  </si>
  <si>
    <t>Financing</t>
  </si>
  <si>
    <t xml:space="preserve">  974 Textbook &amp; Student Material Revolving</t>
  </si>
  <si>
    <t>&lt;--Should be zero</t>
  </si>
  <si>
    <t xml:space="preserve">  946 Professional Development  </t>
  </si>
  <si>
    <t>ADULT EDUCATION</t>
  </si>
  <si>
    <t>Required</t>
  </si>
  <si>
    <t xml:space="preserve">UNENCUMBERED CASH BALANCE, JULY 1  </t>
  </si>
  <si>
    <t>Cancel of Prior Years Encumbrance</t>
  </si>
  <si>
    <t xml:space="preserve">REVENUE:                       </t>
  </si>
  <si>
    <t xml:space="preserve">1000 LOCAL SOURCES              </t>
  </si>
  <si>
    <t xml:space="preserve">  1110 Ad Valorem Tax Levied    </t>
  </si>
  <si>
    <t xml:space="preserve">   1310 Tuition Individuals-Class Fees  </t>
  </si>
  <si>
    <t xml:space="preserve">      July - December Estimate   </t>
  </si>
  <si>
    <t xml:space="preserve">   1510 Interest on Idle Funds </t>
  </si>
  <si>
    <t xml:space="preserve">  1900 Other Revenue From Local Source</t>
  </si>
  <si>
    <t xml:space="preserve">    1940 Sale &amp; Rent of Textbook</t>
  </si>
  <si>
    <t xml:space="preserve">    1990 Miscellaneous          </t>
  </si>
  <si>
    <t xml:space="preserve">2000 COUNTY SOURCES             </t>
  </si>
  <si>
    <t xml:space="preserve">  KPERS Special Retirement Contribution</t>
  </si>
  <si>
    <t xml:space="preserve">    July - December Estimate     </t>
  </si>
  <si>
    <t xml:space="preserve">  2450 Recreational Vehicle Tax</t>
  </si>
  <si>
    <t xml:space="preserve">    July - December Estimate</t>
  </si>
  <si>
    <t xml:space="preserve">3000 STATE SOURCES              </t>
  </si>
  <si>
    <t xml:space="preserve">  832 Interest                   </t>
  </si>
  <si>
    <t xml:space="preserve">  831 Principal                  </t>
  </si>
  <si>
    <t xml:space="preserve">  832 Interest Due July-December  </t>
  </si>
  <si>
    <t xml:space="preserve">  831 Principal Due July-December      </t>
  </si>
  <si>
    <t xml:space="preserve">  832 Interest                  </t>
  </si>
  <si>
    <t xml:space="preserve">  831 Principal                 </t>
  </si>
  <si>
    <t xml:space="preserve">  832 Interest Due July - December </t>
  </si>
  <si>
    <t xml:space="preserve">  831 Principal Due July - December     </t>
  </si>
  <si>
    <t xml:space="preserve">  832 Interest Due July - December  </t>
  </si>
  <si>
    <t xml:space="preserve">  831 Principal Due July - December      </t>
  </si>
  <si>
    <t xml:space="preserve">  1320 Payment from Other Districts/Govt Sources   </t>
  </si>
  <si>
    <t xml:space="preserve">  3201 Adult Basic Aid          </t>
  </si>
  <si>
    <t xml:space="preserve">4000 FEDERAL SOURCES            </t>
  </si>
  <si>
    <t xml:space="preserve">  4540 Adult Education Aid      </t>
  </si>
  <si>
    <t xml:space="preserve">5000 OTHER                      </t>
  </si>
  <si>
    <t xml:space="preserve">  5206 Transfer From General    </t>
  </si>
  <si>
    <t xml:space="preserve">  5253 Transfer From Contingency Reserve</t>
  </si>
  <si>
    <t>xxxxxxxxxxxxxx</t>
  </si>
  <si>
    <t xml:space="preserve">RESOURCES AVAILABLE          </t>
  </si>
  <si>
    <t xml:space="preserve">TOTAL EXPENDITURES &amp; TRANSFERS  </t>
  </si>
  <si>
    <t>xxxxxxxxxxxxxxx</t>
  </si>
  <si>
    <t>TOTAL OPERATING EXPENDITURE (18 MO)</t>
  </si>
  <si>
    <t>(a)  Enter in Column (4) the Amount of Tax to be Levied reported on the Certificate, Line 10.</t>
  </si>
  <si>
    <t>ADULT EDUCATION EXPENDITURES</t>
  </si>
  <si>
    <t xml:space="preserve">    120 NonCertified            </t>
  </si>
  <si>
    <t xml:space="preserve">  300 Purchased Professional and Tech Services</t>
  </si>
  <si>
    <t xml:space="preserve">  300 Purchased Professional and Tech Services </t>
  </si>
  <si>
    <t xml:space="preserve">2200 Instructional Support Staff        </t>
  </si>
  <si>
    <t xml:space="preserve">  300 Purchased Professional and Tech Services.   </t>
  </si>
  <si>
    <t>281 - Graham County</t>
  </si>
  <si>
    <t xml:space="preserve">    640 Books(not textbooks) Periodicals  </t>
  </si>
  <si>
    <t>2330 Special Area Administration Services</t>
  </si>
  <si>
    <t xml:space="preserve">  300 Purchased Professional and Tech Services.  </t>
  </si>
  <si>
    <t>* For any new resolutions 7-1-05 and after, the mill rate may not exceed 8 mills in total.</t>
  </si>
  <si>
    <t>&lt;-- Should not transfer back to General Fund</t>
  </si>
  <si>
    <t xml:space="preserve">      626 Motor Fuel (not school bus)</t>
  </si>
  <si>
    <t>TOTAL EXPENDITURES &amp; TRANSFERS*</t>
  </si>
  <si>
    <t xml:space="preserve"> xxxx </t>
  </si>
  <si>
    <t>ADULT SUPPLEMENTARY EDUCATION</t>
  </si>
  <si>
    <t>Cancel of Prior Year Encumbrance</t>
  </si>
  <si>
    <t xml:space="preserve">  1300 Tuition</t>
  </si>
  <si>
    <t xml:space="preserve">    1310 Individuals-Class Fees    </t>
  </si>
  <si>
    <t xml:space="preserve">    1510 Interest on Idle Funds</t>
  </si>
  <si>
    <t xml:space="preserve">     1940 Sale &amp; Rent of Textbook</t>
  </si>
  <si>
    <t xml:space="preserve">     1990 Miscellaneous</t>
  </si>
  <si>
    <t>5000 OTHER</t>
  </si>
  <si>
    <t xml:space="preserve">  5206 Transfer From General</t>
  </si>
  <si>
    <t>EXPENDITURES</t>
  </si>
  <si>
    <t xml:space="preserve">1000 Instruction               </t>
  </si>
  <si>
    <t xml:space="preserve">    560 Tuition                </t>
  </si>
  <si>
    <t xml:space="preserve">    610 General Supplemental(Teaching)</t>
  </si>
  <si>
    <t xml:space="preserve">    640 Books (not textbooks)  </t>
  </si>
  <si>
    <t xml:space="preserve">      and Periodicals          </t>
  </si>
  <si>
    <t xml:space="preserve">    644 Textbooks              </t>
  </si>
  <si>
    <t xml:space="preserve">2000 Support Services          </t>
  </si>
  <si>
    <t xml:space="preserve">2100 Student Support Services     </t>
  </si>
  <si>
    <t xml:space="preserve">2200 Instructional Support Staff       </t>
  </si>
  <si>
    <t xml:space="preserve">2300 General Administration    </t>
  </si>
  <si>
    <t xml:space="preserve"> xxxx</t>
  </si>
  <si>
    <t xml:space="preserve">  1979 Revenue From Special Liability Expense</t>
  </si>
  <si>
    <t>BILINGUAL EDUCATION</t>
  </si>
  <si>
    <t xml:space="preserve">  1510 Interest on Idle Funds   </t>
  </si>
  <si>
    <t xml:space="preserve">  4520 Bilingual Aid            </t>
  </si>
  <si>
    <t xml:space="preserve">  5208 Transfer From Supplemental General </t>
  </si>
  <si>
    <t xml:space="preserve">  300 Purchased Professional and Technical Services   </t>
  </si>
  <si>
    <t xml:space="preserve">      561 Tuition/other State LEA's </t>
  </si>
  <si>
    <t xml:space="preserve">      563 Tuition/Private Sources </t>
  </si>
  <si>
    <t xml:space="preserve">      564 Payment to Bilingual Education Coop</t>
  </si>
  <si>
    <t xml:space="preserve">2400 School Administration     </t>
  </si>
  <si>
    <t xml:space="preserve">      626 Motor Fuel-not school bus</t>
  </si>
  <si>
    <t>CAPITAL OUTLAY</t>
  </si>
  <si>
    <t xml:space="preserve">    July  - December Estimate     </t>
  </si>
  <si>
    <t xml:space="preserve">  2600 Other County Revenue     </t>
  </si>
  <si>
    <t xml:space="preserve">  4390 Impact Aid Construction   </t>
  </si>
  <si>
    <t>TOTAL OPERATION EXPENDITURE (18 MO)</t>
  </si>
  <si>
    <t>(a)  Enter in Column (4) the Amount of Tax to be Levied reported on the Certificate, Line 16.</t>
  </si>
  <si>
    <t>CAPITAL OUTLAY EXPENDITURES</t>
  </si>
  <si>
    <t xml:space="preserve">EXPENDITURES:                   </t>
  </si>
  <si>
    <t xml:space="preserve">    1410 Transportation Fees</t>
  </si>
  <si>
    <t xml:space="preserve">     220 Social Security</t>
  </si>
  <si>
    <t xml:space="preserve">     290 Other</t>
  </si>
  <si>
    <t xml:space="preserve">     210 Insurance</t>
  </si>
  <si>
    <t xml:space="preserve">  963 Special Liability Expense Fund</t>
  </si>
  <si>
    <t xml:space="preserve">  974 Textbook &amp; Student Materials Revolving Fund</t>
  </si>
  <si>
    <t>VIRTUAL EDUCATION</t>
  </si>
  <si>
    <t xml:space="preserve">  974 Textbook &amp; Student Materials Revolving</t>
  </si>
  <si>
    <t>PROFESSIONAL DEVELOPMENT</t>
  </si>
  <si>
    <t xml:space="preserve">     120 NonCertified</t>
  </si>
  <si>
    <t>co6</t>
  </si>
  <si>
    <t>co7</t>
  </si>
  <si>
    <t>co8</t>
  </si>
  <si>
    <t>co10</t>
  </si>
  <si>
    <t>co11</t>
  </si>
  <si>
    <t>co12</t>
  </si>
  <si>
    <t>co13</t>
  </si>
  <si>
    <t>co14</t>
  </si>
  <si>
    <t>co18</t>
  </si>
  <si>
    <t>co22</t>
  </si>
  <si>
    <t>co24</t>
  </si>
  <si>
    <t>co26</t>
  </si>
  <si>
    <t>co28</t>
  </si>
  <si>
    <t>co29</t>
  </si>
  <si>
    <t>co30</t>
  </si>
  <si>
    <t>co34</t>
  </si>
  <si>
    <t>co35</t>
  </si>
  <si>
    <t>co57</t>
  </si>
  <si>
    <t>co78</t>
  </si>
  <si>
    <t xml:space="preserve">    700 Property (Equipment &amp; Furnishings) </t>
  </si>
  <si>
    <t xml:space="preserve">  2100 Student Support Services      </t>
  </si>
  <si>
    <t xml:space="preserve">  2200 Instructional Support Staff        </t>
  </si>
  <si>
    <t xml:space="preserve">  2300 General Administration     </t>
  </si>
  <si>
    <t xml:space="preserve">  2400 School Administration      </t>
  </si>
  <si>
    <t>4000 Facility Acquisition &amp; Construction Services</t>
  </si>
  <si>
    <t xml:space="preserve">  4200 Site Improvement Services</t>
  </si>
  <si>
    <t xml:space="preserve">  4300 Architectural &amp; Engineering Services</t>
  </si>
  <si>
    <t xml:space="preserve">  4900 Other                    </t>
  </si>
  <si>
    <t xml:space="preserve">5100 Debt Service               </t>
  </si>
  <si>
    <t xml:space="preserve">  Capital Outlay Bond           </t>
  </si>
  <si>
    <t xml:space="preserve">    890 Commission &amp; Postage          </t>
  </si>
  <si>
    <t xml:space="preserve">  960 Special Reserve Fund  </t>
  </si>
  <si>
    <t>TEXTBOOK &amp;</t>
  </si>
  <si>
    <t xml:space="preserve">  1942 Rental Fees &amp; Books</t>
  </si>
  <si>
    <t xml:space="preserve">  210 Health Care Services</t>
  </si>
  <si>
    <t xml:space="preserve">  520 Risk Management Insurance</t>
  </si>
  <si>
    <t xml:space="preserve"> %                   Rate Used in this Budget</t>
  </si>
  <si>
    <t xml:space="preserve">  Special Liability Expense Fund</t>
  </si>
  <si>
    <t xml:space="preserve">  Special Reserve Fund</t>
  </si>
  <si>
    <t xml:space="preserve">  Gifts and Grants</t>
  </si>
  <si>
    <t xml:space="preserve">  Textbook &amp; Student Material Revolving</t>
  </si>
  <si>
    <t>4602  Title IV (21st Century)</t>
  </si>
  <si>
    <t>DRIVER TRAINING</t>
  </si>
  <si>
    <t xml:space="preserve">  3208 State Safety Aid         </t>
  </si>
  <si>
    <t xml:space="preserve">  3209 Motorcycle Safety Aid    </t>
  </si>
  <si>
    <t>Neosho</t>
  </si>
  <si>
    <t>Gray</t>
  </si>
  <si>
    <t>Cheyenne</t>
  </si>
  <si>
    <t>Rawlins</t>
  </si>
  <si>
    <t>Ness</t>
  </si>
  <si>
    <t>Jewell</t>
  </si>
  <si>
    <t>Washington</t>
  </si>
  <si>
    <t>Republic</t>
  </si>
  <si>
    <t>Greeley</t>
  </si>
  <si>
    <t>Wyandotte</t>
  </si>
  <si>
    <t>Butler</t>
  </si>
  <si>
    <t>Leavenworth</t>
  </si>
  <si>
    <t>Trego</t>
  </si>
  <si>
    <t>Stevens</t>
  </si>
  <si>
    <t>Norton</t>
  </si>
  <si>
    <t>Grant</t>
  </si>
  <si>
    <t>Kearny</t>
  </si>
  <si>
    <t>Morton</t>
  </si>
  <si>
    <t>Clark</t>
  </si>
  <si>
    <t>Meade</t>
  </si>
  <si>
    <t>Hodgeman</t>
  </si>
  <si>
    <t>Johnson</t>
  </si>
  <si>
    <t>Bourbon</t>
  </si>
  <si>
    <t>Smith</t>
  </si>
  <si>
    <t>Ottawa</t>
  </si>
  <si>
    <t>Wallace</t>
  </si>
  <si>
    <t>Coffey</t>
  </si>
  <si>
    <t>Crawford</t>
  </si>
  <si>
    <t>Lyon</t>
  </si>
  <si>
    <t>Barber</t>
  </si>
  <si>
    <t>Allen</t>
  </si>
  <si>
    <t>Sedgwick</t>
  </si>
  <si>
    <t>Rooks</t>
  </si>
  <si>
    <t>Mitchell</t>
  </si>
  <si>
    <t>Logan</t>
  </si>
  <si>
    <t>Graham</t>
  </si>
  <si>
    <t>Elk</t>
  </si>
  <si>
    <t>Chase</t>
  </si>
  <si>
    <t>Chautauqua</t>
  </si>
  <si>
    <t>Franklin</t>
  </si>
  <si>
    <t>Gove</t>
  </si>
  <si>
    <t>Decatur</t>
  </si>
  <si>
    <t>Lincoln</t>
  </si>
  <si>
    <t>Comanche</t>
  </si>
  <si>
    <t>Saline</t>
  </si>
  <si>
    <t>Reno</t>
  </si>
  <si>
    <t>Thomas</t>
  </si>
  <si>
    <t>Pottawatomie</t>
  </si>
  <si>
    <t>Phillips</t>
  </si>
  <si>
    <t>Ellsworth</t>
  </si>
  <si>
    <t>Wabaunsee</t>
  </si>
  <si>
    <t>Kingman</t>
  </si>
  <si>
    <t>Cloud</t>
  </si>
  <si>
    <t>Jackson</t>
  </si>
  <si>
    <t>Jefferson</t>
  </si>
  <si>
    <t>Linn</t>
  </si>
  <si>
    <t>Shawnee</t>
  </si>
  <si>
    <t>Edwards</t>
  </si>
  <si>
    <t>Douglas</t>
  </si>
  <si>
    <t>Stafford</t>
  </si>
  <si>
    <t>Sherman</t>
  </si>
  <si>
    <t>Sumner</t>
  </si>
  <si>
    <t>Barton</t>
  </si>
  <si>
    <t>Harper</t>
  </si>
  <si>
    <t>Finney</t>
  </si>
  <si>
    <t>Marshall</t>
  </si>
  <si>
    <t>Anderson</t>
  </si>
  <si>
    <t>Woodson</t>
  </si>
  <si>
    <t>Miami</t>
  </si>
  <si>
    <t>Harvey</t>
  </si>
  <si>
    <t>Haskell</t>
  </si>
  <si>
    <t>Rice</t>
  </si>
  <si>
    <t>Atchison</t>
  </si>
  <si>
    <t>Riley</t>
  </si>
  <si>
    <t>Clay</t>
  </si>
  <si>
    <t>Ford</t>
  </si>
  <si>
    <t>Pratt</t>
  </si>
  <si>
    <t>Greenwood</t>
  </si>
  <si>
    <t>Wilson</t>
  </si>
  <si>
    <t>Ellis</t>
  </si>
  <si>
    <t>Osborne</t>
  </si>
  <si>
    <t>Dickinson</t>
  </si>
  <si>
    <t>Rush</t>
  </si>
  <si>
    <t>Marion</t>
  </si>
  <si>
    <t>Russell</t>
  </si>
  <si>
    <t>McPherson</t>
  </si>
  <si>
    <t>Cherokee</t>
  </si>
  <si>
    <t>Doniphan</t>
  </si>
  <si>
    <t>Sheridan</t>
  </si>
  <si>
    <t>Brown</t>
  </si>
  <si>
    <t>Morris</t>
  </si>
  <si>
    <t>Osage</t>
  </si>
  <si>
    <t>Kiowa</t>
  </si>
  <si>
    <t>Montgomery</t>
  </si>
  <si>
    <t>Nemaha</t>
  </si>
  <si>
    <t>Stanton</t>
  </si>
  <si>
    <t>Cowley</t>
  </si>
  <si>
    <t>Scott</t>
  </si>
  <si>
    <t>Wichita</t>
  </si>
  <si>
    <t>Lane</t>
  </si>
  <si>
    <t>Geary</t>
  </si>
  <si>
    <t>Seward</t>
  </si>
  <si>
    <t>Hamilton</t>
  </si>
  <si>
    <t>Pawnee</t>
  </si>
  <si>
    <t>Labette</t>
  </si>
  <si>
    <t xml:space="preserve">  5253 Transfer from Contingency Reserve</t>
  </si>
  <si>
    <t xml:space="preserve">  300 Purchased Professional  and Tech Services     </t>
  </si>
  <si>
    <t xml:space="preserve">  4100 Land Acquisition</t>
  </si>
  <si>
    <t xml:space="preserve">  4200 Land Improvement </t>
  </si>
  <si>
    <t xml:space="preserve">  4600 Site Improvement </t>
  </si>
  <si>
    <t xml:space="preserve">  4700 Building Improvements </t>
  </si>
  <si>
    <t xml:space="preserve">  400 Supplies (Technology Related)</t>
  </si>
  <si>
    <t xml:space="preserve">  300 Purchased Professional and Tech Services      </t>
  </si>
  <si>
    <t xml:space="preserve">    650 Supplies (Technology Related) </t>
  </si>
  <si>
    <t xml:space="preserve">  1980 Revenue From At Risk (4yr Old)</t>
  </si>
  <si>
    <t xml:space="preserve">  1981 Revenue From At Risk (K-12)</t>
  </si>
  <si>
    <t xml:space="preserve">  2400 Motor Vehicle Tax (includes 16/20M Tax) </t>
  </si>
  <si>
    <t xml:space="preserve">  2400 Motor Vehicle Tax  (Includes 16/20M Tax)  </t>
  </si>
  <si>
    <t xml:space="preserve">  2400 Motor Vehicle Tax (Includes 16/20M Tax)</t>
  </si>
  <si>
    <t xml:space="preserve">  2400 Motor Vehicle Tax (Includes 16/20M Tax) </t>
  </si>
  <si>
    <t xml:space="preserve">  2400 Motor Vehicle Tax (Includes 16/20M Tax)     </t>
  </si>
  <si>
    <t xml:space="preserve">  2400 Motor Vehicle Tax (Includes 16/20M Tax)       </t>
  </si>
  <si>
    <t xml:space="preserve">  2400 Motor Vehicle Tax (Includes 16/20M Tax)    </t>
  </si>
  <si>
    <t xml:space="preserve">UNENCUMBERED CASH BALANCE JUNE 30   </t>
  </si>
  <si>
    <t xml:space="preserve">      626 Motor Fuel-not schoolbus</t>
  </si>
  <si>
    <t xml:space="preserve">2650 Vehicle Operations, Maintenance Services </t>
  </si>
  <si>
    <t xml:space="preserve">  (Not Student Transportation) </t>
  </si>
  <si>
    <t xml:space="preserve">  442 Rental of Vehicles       </t>
  </si>
  <si>
    <t xml:space="preserve">  520 Insurance                </t>
  </si>
  <si>
    <t>Budgeted by fund :</t>
  </si>
  <si>
    <t>Budgeted on the F195</t>
  </si>
  <si>
    <t>(details to the right)</t>
  </si>
  <si>
    <t>F110 dates</t>
  </si>
  <si>
    <t xml:space="preserve">  626 Motor Fuel-not schoolbus    </t>
  </si>
  <si>
    <t>EXTRAORDINARY SCHOOL</t>
  </si>
  <si>
    <t>PROGRAM</t>
  </si>
  <si>
    <t>Cancel of Prior Yr Encumbrance</t>
  </si>
  <si>
    <t>PROGRAM EXPENDITURES</t>
  </si>
  <si>
    <t xml:space="preserve">      562 Tuition/LEA's Out of State</t>
  </si>
  <si>
    <t xml:space="preserve">      563 Tuition/Priv Sources </t>
  </si>
  <si>
    <t xml:space="preserve">2200 Instr Support Staff       </t>
  </si>
  <si>
    <t xml:space="preserve">    110 Certified</t>
  </si>
  <si>
    <t xml:space="preserve">    800 Other</t>
  </si>
  <si>
    <t xml:space="preserve">  400 Purchased Property Serv</t>
  </si>
  <si>
    <t xml:space="preserve">    411 Water/Sewer</t>
  </si>
  <si>
    <t xml:space="preserve">    420 Cleaning</t>
  </si>
  <si>
    <t xml:space="preserve">    430 Repairs &amp; Maintenance</t>
  </si>
  <si>
    <t xml:space="preserve">    440 Rentals</t>
  </si>
  <si>
    <t xml:space="preserve">    490 Other</t>
  </si>
  <si>
    <t xml:space="preserve">    610 General Supplies</t>
  </si>
  <si>
    <t xml:space="preserve">    620 Energy</t>
  </si>
  <si>
    <t xml:space="preserve">      621 Heating</t>
  </si>
  <si>
    <t xml:space="preserve">      622 Electricity</t>
  </si>
  <si>
    <t xml:space="preserve">      629 Other</t>
  </si>
  <si>
    <t>FOOD SERVICE</t>
  </si>
  <si>
    <t xml:space="preserve">  1600 Food Service             </t>
  </si>
  <si>
    <t xml:space="preserve">    1611 Student Sales (Lunch)  </t>
  </si>
  <si>
    <t>3000 STATE SOURCES</t>
  </si>
  <si>
    <t>4000 FEDERAL SOURCES</t>
  </si>
  <si>
    <t xml:space="preserve">  1310 Tuition Individual-Class Fees</t>
  </si>
  <si>
    <t xml:space="preserve">    1612 Student School Lunches (Breakfast)</t>
  </si>
  <si>
    <t xml:space="preserve">    1613 Student School Lunches (Spec Milk)</t>
  </si>
  <si>
    <t xml:space="preserve">    1614 Student School Lunches (Snacks)</t>
  </si>
  <si>
    <t xml:space="preserve">    1620 Adult &amp; Student Sales  </t>
  </si>
  <si>
    <t xml:space="preserve">      (NonReimbursable Prog)    </t>
  </si>
  <si>
    <t xml:space="preserve">  3203 School Food Assistance   </t>
  </si>
  <si>
    <t xml:space="preserve">  4550 Child Nutrition Programs </t>
  </si>
  <si>
    <t xml:space="preserve">5000 Other                      </t>
  </si>
  <si>
    <t xml:space="preserve">  5208 Transfer From Supplemental General  </t>
  </si>
  <si>
    <t>1920  Contributions &amp; Donations</t>
  </si>
  <si>
    <t>TAX REQUIRED (Line 185 minus Line 100)</t>
  </si>
  <si>
    <t xml:space="preserve">  211 Disability Income Benefits   </t>
  </si>
  <si>
    <t xml:space="preserve">  212 Group Life Insurance</t>
  </si>
  <si>
    <t xml:space="preserve">  3211 Deaf/Blind        </t>
  </si>
  <si>
    <t>FOOD SERVICE EXPENDITURES</t>
  </si>
  <si>
    <t xml:space="preserve">2600 Operations &amp; Maintenance   </t>
  </si>
  <si>
    <t xml:space="preserve">    120 NonCertified </t>
  </si>
  <si>
    <t xml:space="preserve">    411 Water/Sewer             </t>
  </si>
  <si>
    <t xml:space="preserve">    490 Other                   </t>
  </si>
  <si>
    <t xml:space="preserve">    610 General Supplies        </t>
  </si>
  <si>
    <t xml:space="preserve">    620 Energy                  </t>
  </si>
  <si>
    <t xml:space="preserve">      621 Heating               </t>
  </si>
  <si>
    <t xml:space="preserve">      622 Electricity           </t>
  </si>
  <si>
    <t xml:space="preserve">      629 Other                 </t>
  </si>
  <si>
    <t xml:space="preserve">3000 Operation of NonInstructional Services     </t>
  </si>
  <si>
    <t xml:space="preserve">3100 Food Service Operation     </t>
  </si>
  <si>
    <t xml:space="preserve">    210 Insurance               </t>
  </si>
  <si>
    <t xml:space="preserve">    570 Food Service Management </t>
  </si>
  <si>
    <t xml:space="preserve">    630 Food &amp; Milk             </t>
  </si>
  <si>
    <t xml:space="preserve">  4500 Aid                      </t>
  </si>
  <si>
    <t xml:space="preserve">RESOURCES AVAILABLE       </t>
  </si>
  <si>
    <t xml:space="preserve">    120 NonCertified     </t>
  </si>
  <si>
    <t xml:space="preserve">    640 Books (not textbooks) and Periodicals  </t>
  </si>
  <si>
    <t xml:space="preserve">    120 NonCertified      </t>
  </si>
  <si>
    <t>PARENT EDUCATION PROGRAM</t>
  </si>
  <si>
    <t xml:space="preserve">  Declining Enrollment</t>
  </si>
  <si>
    <t>DECLINING ENROLLMENT FUND</t>
  </si>
  <si>
    <t>*</t>
  </si>
  <si>
    <t>Declining Enrollment</t>
  </si>
  <si>
    <t xml:space="preserve">  1320 Payment from Other school district</t>
  </si>
  <si>
    <t xml:space="preserve">  3216 Parent Education Aid     </t>
  </si>
  <si>
    <t xml:space="preserve">  5208 Transfer From Supplemental General   </t>
  </si>
  <si>
    <t xml:space="preserve">2100 Support Services  Student  </t>
  </si>
  <si>
    <t xml:space="preserve">  300 Purchased Professional and Technical Services  </t>
  </si>
  <si>
    <t xml:space="preserve">    561 Payment to Other School District</t>
  </si>
  <si>
    <t xml:space="preserve">    564 Payment to Coops/Interlocal </t>
  </si>
  <si>
    <t xml:space="preserve">    640 Books(not textbooks) and Periodicals</t>
  </si>
  <si>
    <t xml:space="preserve">    120 NonCertified  </t>
  </si>
  <si>
    <t xml:space="preserve">    120 Non-Certified     </t>
  </si>
  <si>
    <t>SUMMER SCHOOL</t>
  </si>
  <si>
    <t xml:space="preserve">   1315 Individual (Summer School) </t>
  </si>
  <si>
    <t xml:space="preserve">   1316 Individuals (Out-of-District)</t>
  </si>
  <si>
    <t xml:space="preserve">   1320 Other School District in State</t>
  </si>
  <si>
    <t>Est. Tax Rate for Co8:</t>
  </si>
  <si>
    <t>Messages</t>
  </si>
  <si>
    <t>Est. Tax Rate for Co10:</t>
  </si>
  <si>
    <t>Est. Tax Rate for C016:</t>
  </si>
  <si>
    <t>Est. Tax Rate for C042:</t>
  </si>
  <si>
    <t>Est. tax rate for C044:</t>
  </si>
  <si>
    <t>Est tax rate for C045:</t>
  </si>
  <si>
    <t>Est. tax rate for C033:</t>
  </si>
  <si>
    <t>Est. tax rate for C019:</t>
  </si>
  <si>
    <t>Est. tax rate for C062:</t>
  </si>
  <si>
    <t>Est. tax rate for C063:</t>
  </si>
  <si>
    <t>Est. tax rate for C066:</t>
  </si>
  <si>
    <t>Est. tax rate for C067:</t>
  </si>
  <si>
    <t>Est. tax rate for C068:</t>
  </si>
  <si>
    <t>Est. tax rate for C080:</t>
  </si>
  <si>
    <t>Est. tax rate for C082:</t>
  </si>
  <si>
    <t>Est. tax rate for C083:</t>
  </si>
  <si>
    <t>Est. tax rate for C084:</t>
  </si>
  <si>
    <t>Est. tax rate for C086:</t>
  </si>
  <si>
    <t xml:space="preserve">  1510 Interest on Idle Funds</t>
  </si>
  <si>
    <t xml:space="preserve">  5206 Transfer from General</t>
  </si>
  <si>
    <t>SUMMER SCHOOL EXPENDITURES</t>
  </si>
  <si>
    <t xml:space="preserve">      562 Tuition/other LEA's outside State</t>
  </si>
  <si>
    <t>101 - Erie</t>
  </si>
  <si>
    <t>102 - Cimarron-Ensign</t>
  </si>
  <si>
    <t>103 - Cheylin</t>
  </si>
  <si>
    <t>105 - Rawlins County</t>
  </si>
  <si>
    <t>106 - Western Plains</t>
  </si>
  <si>
    <t>107 - Rock Hills</t>
  </si>
  <si>
    <t>108 - Washington Co. Schools</t>
  </si>
  <si>
    <t>109 - Republic County</t>
  </si>
  <si>
    <t>200 - Greeley County</t>
  </si>
  <si>
    <t>202 - Turner</t>
  </si>
  <si>
    <t>203 - Piper</t>
  </si>
  <si>
    <t>204 - Bonner Springs</t>
  </si>
  <si>
    <t>205 - Bluestem</t>
  </si>
  <si>
    <t>206 - Remington-Whitewater</t>
  </si>
  <si>
    <t>207 - Ft. Leavenworth</t>
  </si>
  <si>
    <t>208 - WaKeeney</t>
  </si>
  <si>
    <t>209 - Moscow</t>
  </si>
  <si>
    <t>210 - Hugoton</t>
  </si>
  <si>
    <t>211 - Norton</t>
  </si>
  <si>
    <t>212 - Northern Valley</t>
  </si>
  <si>
    <t>214 - Ulysses</t>
  </si>
  <si>
    <t>215 - Lakin</t>
  </si>
  <si>
    <t>216 - Deerfield</t>
  </si>
  <si>
    <t>217 - Rolla</t>
  </si>
  <si>
    <t>218 - Elkhart</t>
  </si>
  <si>
    <t>219 - Minneola</t>
  </si>
  <si>
    <t>220 - Ashland</t>
  </si>
  <si>
    <t>223 - Barnes</t>
  </si>
  <si>
    <t>224 - Clifton-Clyde</t>
  </si>
  <si>
    <t>225 - Fowler</t>
  </si>
  <si>
    <t>226 - Meade</t>
  </si>
  <si>
    <t>227 - Jetmore</t>
  </si>
  <si>
    <t>229 - Blue Valley</t>
  </si>
  <si>
    <t>230 - Spring Hill</t>
  </si>
  <si>
    <t>231 - Gardner-Edgerton</t>
  </si>
  <si>
    <t>232 - DeSoto</t>
  </si>
  <si>
    <t>233 - Olathe</t>
  </si>
  <si>
    <t>234 - Ft. Scott</t>
  </si>
  <si>
    <t>235 - Uniontown</t>
  </si>
  <si>
    <t>237 - Smith Center</t>
  </si>
  <si>
    <t>239 - North Ottawa Co.</t>
  </si>
  <si>
    <t>240 - Twin Valley</t>
  </si>
  <si>
    <t>241 - Wallace</t>
  </si>
  <si>
    <t>242 - Weskan</t>
  </si>
  <si>
    <t>243 - Lebo-Waverly</t>
  </si>
  <si>
    <t>244 - Burlington</t>
  </si>
  <si>
    <t>245 - LeRoy-Gridley</t>
  </si>
  <si>
    <t>246 - Northeast</t>
  </si>
  <si>
    <t>247 - Cherokee</t>
  </si>
  <si>
    <t>248 - Girard</t>
  </si>
  <si>
    <t>249 - Frontenac</t>
  </si>
  <si>
    <t>250 - Pittsburg</t>
  </si>
  <si>
    <t>251 - North Lyon Co.</t>
  </si>
  <si>
    <t>252 - Southern Lyon Co.</t>
  </si>
  <si>
    <t>253 - Emporia</t>
  </si>
  <si>
    <t>254 - Barber Co.</t>
  </si>
  <si>
    <t>255 - South Barber Co.</t>
  </si>
  <si>
    <t>256 - Marmaton Valley</t>
  </si>
  <si>
    <t>257 - Iola</t>
  </si>
  <si>
    <t>258 - Humboldt</t>
  </si>
  <si>
    <t>259 - Wichita</t>
  </si>
  <si>
    <t>260 - Derby</t>
  </si>
  <si>
    <t>261 - Haysville</t>
  </si>
  <si>
    <t>262 - Valley Center</t>
  </si>
  <si>
    <t>263 - Mulvane</t>
  </si>
  <si>
    <t>264 - Clearwater</t>
  </si>
  <si>
    <t>265 - Goddard</t>
  </si>
  <si>
    <t>266 - Maize</t>
  </si>
  <si>
    <t>267 - Renwick</t>
  </si>
  <si>
    <t>268 - Cheney</t>
  </si>
  <si>
    <t>269 - Palco</t>
  </si>
  <si>
    <t>270 - Plainville</t>
  </si>
  <si>
    <t>271 - Stockton</t>
  </si>
  <si>
    <t>272 - Waconda</t>
  </si>
  <si>
    <t>273 - Beloit</t>
  </si>
  <si>
    <t>274 - Oakley</t>
  </si>
  <si>
    <t>275 - Triplains</t>
  </si>
  <si>
    <t>282 - West Elk</t>
  </si>
  <si>
    <t>283 - Elk Valley</t>
  </si>
  <si>
    <t>284 - Chase County</t>
  </si>
  <si>
    <t>285 - Cedar Vale</t>
  </si>
  <si>
    <t>286 - Chautauqua</t>
  </si>
  <si>
    <t>287 - West Franklin</t>
  </si>
  <si>
    <t>288 - Central Heights</t>
  </si>
  <si>
    <t>289 - Wellsville</t>
  </si>
  <si>
    <t>290 - Ottawa</t>
  </si>
  <si>
    <t>291 - Grinnell</t>
  </si>
  <si>
    <t>293 - Quinter</t>
  </si>
  <si>
    <t>294 - Oberlin</t>
  </si>
  <si>
    <t>297 - St. Francis</t>
  </si>
  <si>
    <t>298 - Lincoln</t>
  </si>
  <si>
    <t>299 - Sylvan Grove</t>
  </si>
  <si>
    <t>300 - Commanche County</t>
  </si>
  <si>
    <t>303 - Ness City</t>
  </si>
  <si>
    <t>305 - Salina</t>
  </si>
  <si>
    <t>306 - Southeast of Saline</t>
  </si>
  <si>
    <t>307 - Ell-Saline</t>
  </si>
  <si>
    <t>308 - Hutchinson</t>
  </si>
  <si>
    <t>309 - Nickerson</t>
  </si>
  <si>
    <t>310 - Fairfield</t>
  </si>
  <si>
    <t>311 - Pretty Prairie</t>
  </si>
  <si>
    <t>312 - Haven</t>
  </si>
  <si>
    <t>313 - Buhler</t>
  </si>
  <si>
    <t>314 - Brewster</t>
  </si>
  <si>
    <t>315 - Colby</t>
  </si>
  <si>
    <t>316 - Golden Plains</t>
  </si>
  <si>
    <t>320 - Wamego</t>
  </si>
  <si>
    <t>321 - Kaw Valley</t>
  </si>
  <si>
    <t>322 - Onaga</t>
  </si>
  <si>
    <t>323 - Westmoreland</t>
  </si>
  <si>
    <t>325 - Phillipsburg</t>
  </si>
  <si>
    <t>326 - Logan</t>
  </si>
  <si>
    <t>327 - Ellsworth</t>
  </si>
  <si>
    <t>331 - Kingman</t>
  </si>
  <si>
    <t>332 - Cunningham</t>
  </si>
  <si>
    <t>333 - Concordia</t>
  </si>
  <si>
    <t>334 - Southern Cloud</t>
  </si>
  <si>
    <t>335 - North Jackson</t>
  </si>
  <si>
    <t>336 - Holton</t>
  </si>
  <si>
    <t>337 - Mayetta</t>
  </si>
  <si>
    <t>339 - Jefferson County</t>
  </si>
  <si>
    <t>340 - Jefferson West</t>
  </si>
  <si>
    <t>341 - Oskaloosa</t>
  </si>
  <si>
    <t>342 - McLouth</t>
  </si>
  <si>
    <t>343 - Perry</t>
  </si>
  <si>
    <t>344 - Pleasanton</t>
  </si>
  <si>
    <t>345 - Seaman</t>
  </si>
  <si>
    <t>346 - Jayhawk</t>
  </si>
  <si>
    <t>347 - Kinsely-Offerle</t>
  </si>
  <si>
    <t>348 - Baldwin City</t>
  </si>
  <si>
    <t>349 - Stafford</t>
  </si>
  <si>
    <t>350 - St. John-Hudson</t>
  </si>
  <si>
    <t>351 - Macksville</t>
  </si>
  <si>
    <t>352 - Goodland</t>
  </si>
  <si>
    <t>353 - Wellington</t>
  </si>
  <si>
    <t>355 - Ellinwood</t>
  </si>
  <si>
    <t>co15</t>
  </si>
  <si>
    <t>356 - Conway Springs</t>
  </si>
  <si>
    <t>357 - Belle Plaine</t>
  </si>
  <si>
    <t>358 - Oxford</t>
  </si>
  <si>
    <t>359 - Argonia</t>
  </si>
  <si>
    <t>360 - Caldwell</t>
  </si>
  <si>
    <t>362 - Prairie View</t>
  </si>
  <si>
    <t>363 - Holcomb</t>
  </si>
  <si>
    <t>364 - Marysville</t>
  </si>
  <si>
    <t>365 - Garnett</t>
  </si>
  <si>
    <t>366 - Woodson</t>
  </si>
  <si>
    <t>367 - Osawatomie</t>
  </si>
  <si>
    <t>368 - Paola</t>
  </si>
  <si>
    <t>369 - Burrton</t>
  </si>
  <si>
    <t>371 - Montezuma</t>
  </si>
  <si>
    <t>372 - Silver Lake</t>
  </si>
  <si>
    <t>373 - Newton</t>
  </si>
  <si>
    <t>374 - Sublette</t>
  </si>
  <si>
    <t>375 - Circle</t>
  </si>
  <si>
    <t>376 - Sterling</t>
  </si>
  <si>
    <t>377 - Atchison County</t>
  </si>
  <si>
    <t>378 - Riley County</t>
  </si>
  <si>
    <t>379 - Clay Center</t>
  </si>
  <si>
    <t>380 - Vermillon</t>
  </si>
  <si>
    <t>381 - Spearville</t>
  </si>
  <si>
    <t>382 - Pratt</t>
  </si>
  <si>
    <t>383 - Manhattan</t>
  </si>
  <si>
    <t>384 - Blue Valley</t>
  </si>
  <si>
    <t>385 - Andover</t>
  </si>
  <si>
    <t>386 - Madison-Virgil</t>
  </si>
  <si>
    <t>387 - Altoona-Midway</t>
  </si>
  <si>
    <t>388 - Ellis</t>
  </si>
  <si>
    <t>389 - Eureka</t>
  </si>
  <si>
    <t>390 - Hamilton</t>
  </si>
  <si>
    <t>392 - Osborne</t>
  </si>
  <si>
    <t>393 - Solomon</t>
  </si>
  <si>
    <t>394 - Rose Hill</t>
  </si>
  <si>
    <t>&lt;-- Includes Sponsoring district payment to coop fund (Code 78)</t>
  </si>
  <si>
    <t>395 - LaCrosse</t>
  </si>
  <si>
    <t>396 - Douglass</t>
  </si>
  <si>
    <t>397 - Centre</t>
  </si>
  <si>
    <t>398 - Peabody-Burns</t>
  </si>
  <si>
    <t>399 - Paradise</t>
  </si>
  <si>
    <t>400 - Smoky Valley</t>
  </si>
  <si>
    <t>401 - Chase</t>
  </si>
  <si>
    <t>402 - Augusta</t>
  </si>
  <si>
    <t>403 - Otis-Bison</t>
  </si>
  <si>
    <t>404 - Riverton</t>
  </si>
  <si>
    <t>405 - Lyons</t>
  </si>
  <si>
    <t xml:space="preserve">407 - Russell </t>
  </si>
  <si>
    <t>408 - Marion</t>
  </si>
  <si>
    <t>409 - Atchison</t>
  </si>
  <si>
    <t>411 - Goessel</t>
  </si>
  <si>
    <t>412 - Hoxie</t>
  </si>
  <si>
    <t>413 - Chanute</t>
  </si>
  <si>
    <t>415 - Hiawatha</t>
  </si>
  <si>
    <t>416 - Louisburg</t>
  </si>
  <si>
    <t>417 - Morris County</t>
  </si>
  <si>
    <t>418 - McPherson</t>
  </si>
  <si>
    <t>419 - Canton-Galva</t>
  </si>
  <si>
    <t>420 - Osage City</t>
  </si>
  <si>
    <t>421 - Lyndon</t>
  </si>
  <si>
    <t>B&amp;I #2 msg</t>
  </si>
  <si>
    <t>423 - Moundridge</t>
  </si>
  <si>
    <t>426 - Pike Valley</t>
  </si>
  <si>
    <t>428 - Great Bend</t>
  </si>
  <si>
    <t>429 - Troy</t>
  </si>
  <si>
    <t>430 - Brown County</t>
  </si>
  <si>
    <t>431 - Hoisington</t>
  </si>
  <si>
    <t>432 - Victoria</t>
  </si>
  <si>
    <t>434 - Santa Fe</t>
  </si>
  <si>
    <t>435 - Abilene</t>
  </si>
  <si>
    <t>436 - Caney</t>
  </si>
  <si>
    <t>437 - Auburn Washburn</t>
  </si>
  <si>
    <t>438 - Skyline</t>
  </si>
  <si>
    <t>439 - Sedgwick</t>
  </si>
  <si>
    <t>440 - Halstead</t>
  </si>
  <si>
    <t>443 - Dodge City</t>
  </si>
  <si>
    <t>444 - Little River</t>
  </si>
  <si>
    <t>445 - Coffeyville</t>
  </si>
  <si>
    <t>446 - Independence</t>
  </si>
  <si>
    <t>447 - Cherryvale</t>
  </si>
  <si>
    <t>448 - Inman</t>
  </si>
  <si>
    <t>449 - Easton</t>
  </si>
  <si>
    <t>450 - Shawnee Heights</t>
  </si>
  <si>
    <t xml:space="preserve">    684 Other </t>
  </si>
  <si>
    <t>452 - Stanton County</t>
  </si>
  <si>
    <t>453 - Leavenworth</t>
  </si>
  <si>
    <t>454 - Burlingame</t>
  </si>
  <si>
    <t>456 - Marais Des Cygnes</t>
  </si>
  <si>
    <t>457 - Garden City</t>
  </si>
  <si>
    <t>458 - Basehor-Linwood</t>
  </si>
  <si>
    <t>459 - Bucklin</t>
  </si>
  <si>
    <t>460 - Hesston</t>
  </si>
  <si>
    <t>461 - Neodesha</t>
  </si>
  <si>
    <t>462 - Central</t>
  </si>
  <si>
    <t>463 - Udall</t>
  </si>
  <si>
    <t>464 - Tonganoxie</t>
  </si>
  <si>
    <t>465 - Winfield</t>
  </si>
  <si>
    <t>466 - Scott County</t>
  </si>
  <si>
    <t>467 - Leoti</t>
  </si>
  <si>
    <t>468 - Healy</t>
  </si>
  <si>
    <t>469 - Lansing</t>
  </si>
  <si>
    <t>470 - Arkansas City</t>
  </si>
  <si>
    <t>471 - Dexter</t>
  </si>
  <si>
    <t>473 - Chapman</t>
  </si>
  <si>
    <t>474 - Haviland</t>
  </si>
  <si>
    <t>475 - Junction City</t>
  </si>
  <si>
    <t>476 - Copeland</t>
  </si>
  <si>
    <t>477 - Ingalls</t>
  </si>
  <si>
    <t>479 - Crest</t>
  </si>
  <si>
    <t>480 - Liberal</t>
  </si>
  <si>
    <t>481 - Rural Vista</t>
  </si>
  <si>
    <t>482 - Dighton</t>
  </si>
  <si>
    <t>483 - Kismet-Plains</t>
  </si>
  <si>
    <t>484 - Fredonia</t>
  </si>
  <si>
    <t>487 - Herington</t>
  </si>
  <si>
    <t>489 - Hays</t>
  </si>
  <si>
    <t>490 - El Dorado</t>
  </si>
  <si>
    <t>491 - Eudora</t>
  </si>
  <si>
    <t>492 - Flinthills</t>
  </si>
  <si>
    <t>493 - Columbus</t>
  </si>
  <si>
    <t>494 - Syracuse</t>
  </si>
  <si>
    <t>495 - Ft. Larned</t>
  </si>
  <si>
    <t>496 - Pawnee Heights</t>
  </si>
  <si>
    <t>497 - Lawrence</t>
  </si>
  <si>
    <t>498 - Valley Heights</t>
  </si>
  <si>
    <t>499 - Galena</t>
  </si>
  <si>
    <t>500 - Kansas City</t>
  </si>
  <si>
    <t>501 - Topeka</t>
  </si>
  <si>
    <t>502 - Lewis</t>
  </si>
  <si>
    <t>503 - Parsons</t>
  </si>
  <si>
    <t xml:space="preserve">    640 Books (not textbooks) and Periodicals   </t>
  </si>
  <si>
    <t xml:space="preserve">    120 NonCertified        </t>
  </si>
  <si>
    <t xml:space="preserve">  300 Purchased Professional and Tech Services  </t>
  </si>
  <si>
    <t xml:space="preserve">    120 NonCertified   </t>
  </si>
  <si>
    <t xml:space="preserve">    530 Communications (Telephone, postage, etc.)</t>
  </si>
  <si>
    <t xml:space="preserve">    590 Other</t>
  </si>
  <si>
    <t xml:space="preserve">    120 NonCertified    </t>
  </si>
  <si>
    <t xml:space="preserve">    420 Cleaning                </t>
  </si>
  <si>
    <t xml:space="preserve">    430 Repairs &amp; Maintenance   </t>
  </si>
  <si>
    <t xml:space="preserve">    440 Rentals                 </t>
  </si>
  <si>
    <t xml:space="preserve">    460 Repair of Building</t>
  </si>
  <si>
    <t xml:space="preserve">      626 Motor Fuel  (not schoolbus)</t>
  </si>
  <si>
    <t xml:space="preserve">  500 Other Purchased Services</t>
  </si>
  <si>
    <t>3300 Community Services Operations</t>
  </si>
  <si>
    <t>SPECIAL EDUCATION</t>
  </si>
  <si>
    <t xml:space="preserve">  3211 Deaf/Blind               </t>
  </si>
  <si>
    <t xml:space="preserve">  4310 PL 382 Special Ed (formerly PL:874)  </t>
  </si>
  <si>
    <t xml:space="preserve">  4570 Medicaid</t>
  </si>
  <si>
    <t xml:space="preserve">  4590 Other Reserve Grants in Aid  </t>
  </si>
  <si>
    <t xml:space="preserve">UNENCUMBERED CASH BALANCEJUNE 30   </t>
  </si>
  <si>
    <t xml:space="preserve">      564 Payment to Spec Education       </t>
  </si>
  <si>
    <t xml:space="preserve">    640 Books(not textbooks)and Periodicals   </t>
  </si>
  <si>
    <t>2330 Special Area Admin Services</t>
  </si>
  <si>
    <t>2700 Student Transportation Serv</t>
  </si>
  <si>
    <t xml:space="preserve">    442 Rent of Vehicles (lease)</t>
  </si>
  <si>
    <t xml:space="preserve">    626 Motor Fuel              </t>
  </si>
  <si>
    <t xml:space="preserve">  730 Equip (Including Buses)   </t>
  </si>
  <si>
    <t xml:space="preserve">2790 Other Student Transportation Services    </t>
  </si>
  <si>
    <t>Bilingual</t>
  </si>
  <si>
    <t>Vocational</t>
  </si>
  <si>
    <t>Free Lunch</t>
  </si>
  <si>
    <t>New Facility</t>
  </si>
  <si>
    <t>F195-Automobile</t>
  </si>
  <si>
    <t>F195-Motorcycle</t>
  </si>
  <si>
    <t xml:space="preserve">            CERTIFICATE</t>
  </si>
  <si>
    <t xml:space="preserve">  976 At Risk (4yr Old)</t>
  </si>
  <si>
    <t xml:space="preserve">  978 At Risk (K-12)</t>
  </si>
  <si>
    <t xml:space="preserve">    4590 Other Federal Aid            </t>
  </si>
  <si>
    <t>AT RISK FUND (4 Year Old)</t>
  </si>
  <si>
    <t>AT RISK FUND (K-12)</t>
  </si>
  <si>
    <t xml:space="preserve">  400 Purchased Property Services</t>
  </si>
  <si>
    <t>1710  Admissions</t>
  </si>
  <si>
    <t>1730  Student Organization Membership Dues</t>
  </si>
  <si>
    <t>1790  Other Student Activity Income</t>
  </si>
  <si>
    <t>1990  Miscellaneous</t>
  </si>
  <si>
    <t>The only monies reported on this form are funds administered at the district level.</t>
  </si>
  <si>
    <t>Examples of funds to be included are:</t>
  </si>
  <si>
    <t xml:space="preserve">  1. Drug prevention grants from cities or counties</t>
  </si>
  <si>
    <t xml:space="preserve">  2. Gifts from booster clubs</t>
  </si>
  <si>
    <t xml:space="preserve">  3. Gifts from individuals</t>
  </si>
  <si>
    <t xml:space="preserve">  4. Gifts from foundations</t>
  </si>
  <si>
    <t xml:space="preserve">  5. Gifts from businesses (including money from pop sales)</t>
  </si>
  <si>
    <t xml:space="preserve">  6. Gifts/grants from other governmental units not included in the budget.</t>
  </si>
  <si>
    <r>
      <t>1700 Student Activities</t>
    </r>
    <r>
      <rPr>
        <b/>
        <sz val="10"/>
        <rFont val="Arial"/>
        <family val="2"/>
      </rPr>
      <t>*</t>
    </r>
  </si>
  <si>
    <t>4603  Charter Schools</t>
  </si>
  <si>
    <r>
      <t>1900  Other Revenue From Local Sources</t>
    </r>
    <r>
      <rPr>
        <b/>
        <sz val="10"/>
        <rFont val="Arial"/>
        <family val="2"/>
      </rPr>
      <t>*</t>
    </r>
  </si>
  <si>
    <t xml:space="preserve">  3221 KPERS       </t>
  </si>
  <si>
    <t xml:space="preserve">  730 Equipment                 </t>
  </si>
  <si>
    <t xml:space="preserve">  442 Rent of Vehicles (lease)  </t>
  </si>
  <si>
    <t xml:space="preserve">  626 Motor Fuel                </t>
  </si>
  <si>
    <t xml:space="preserve">  730 Equipment (Including Buses)   </t>
  </si>
  <si>
    <t xml:space="preserve">2790 Other Student Transportation Services  </t>
  </si>
  <si>
    <t>VOCATIONAL EDUCATION</t>
  </si>
  <si>
    <t>Amend</t>
  </si>
  <si>
    <t xml:space="preserve">  1300 Tuition                  </t>
  </si>
  <si>
    <t xml:space="preserve">    1312 Individuals </t>
  </si>
  <si>
    <t xml:space="preserve">    1315 Individual (Summer School)     </t>
  </si>
  <si>
    <t xml:space="preserve">  1700 Student Activities(Reimbursement)</t>
  </si>
  <si>
    <t xml:space="preserve">    1910 User Charges           </t>
  </si>
  <si>
    <t xml:space="preserve">  4530 Vocational Aid           </t>
  </si>
  <si>
    <t xml:space="preserve">    4531 Regular Aid            </t>
  </si>
  <si>
    <t xml:space="preserve">    4532 Special Project Aid    </t>
  </si>
  <si>
    <t xml:space="preserve">RESOURCES AVAILABLE        </t>
  </si>
  <si>
    <t xml:space="preserve">      564 Payment to Vocational Education Coop</t>
  </si>
  <si>
    <t xml:space="preserve">    640 Books(not textbooks)and Periodicals </t>
  </si>
  <si>
    <t xml:space="preserve">    1311 Individuals            </t>
  </si>
  <si>
    <t>Total 100 by category</t>
  </si>
  <si>
    <t xml:space="preserve">  946 Professional Development       </t>
  </si>
  <si>
    <t xml:space="preserve">  Professional Development                  </t>
  </si>
  <si>
    <t>Budget year</t>
  </si>
  <si>
    <t>Revision date</t>
  </si>
  <si>
    <t>Column headings</t>
  </si>
  <si>
    <t>Years</t>
  </si>
  <si>
    <t>Levied funds</t>
  </si>
  <si>
    <t>Ad valorem yrs</t>
  </si>
  <si>
    <t xml:space="preserve">  Professional Development</t>
  </si>
  <si>
    <t xml:space="preserve">  1969 Revenue From Professional Development</t>
  </si>
  <si>
    <t xml:space="preserve">Financing </t>
  </si>
  <si>
    <t xml:space="preserve">  2300 General Administration   </t>
  </si>
  <si>
    <t xml:space="preserve">      820 Judgments             </t>
  </si>
  <si>
    <t xml:space="preserve">TOTAL EXPENDITURES              </t>
  </si>
  <si>
    <t xml:space="preserve">TOTAL OPERATING EXPENDITURE (18 MO)  </t>
  </si>
  <si>
    <t>Delinquent Tax</t>
  </si>
  <si>
    <t>SPECIAL LIABILITY EXPENSE</t>
  </si>
  <si>
    <t xml:space="preserve">      520 Insurance             </t>
  </si>
  <si>
    <t xml:space="preserve">      890 Other                 </t>
  </si>
  <si>
    <t xml:space="preserve">    July  December Estimate     </t>
  </si>
  <si>
    <t>TAX REQUIRED (Line 185 minus Line 70)</t>
  </si>
  <si>
    <t>SCHOOL RETIREMENT</t>
  </si>
  <si>
    <t xml:space="preserve">  1000 Instruction</t>
  </si>
  <si>
    <t xml:space="preserve">    200 Employee Benefits</t>
  </si>
  <si>
    <t xml:space="preserve">      230 Retirement Appropriation</t>
  </si>
  <si>
    <t>UNENCUMBERED CASH BALANCEJUNE 30</t>
  </si>
  <si>
    <t xml:space="preserve">EXTRAORDINARY GROWTH </t>
  </si>
  <si>
    <t>FACILITIES*</t>
  </si>
  <si>
    <t xml:space="preserve">      890 State Payment</t>
  </si>
  <si>
    <t>72-6761</t>
  </si>
  <si>
    <t xml:space="preserve">     approved for ancillary new facilities weighting.</t>
  </si>
  <si>
    <t xml:space="preserve">RESOURCES AVAILABLE             </t>
  </si>
  <si>
    <t>CONTINGENCY RESERVE</t>
  </si>
  <si>
    <t xml:space="preserve">  300 Purchased Professional and Tech Services    </t>
  </si>
  <si>
    <t xml:space="preserve">      563 Tuition/Private Sources  </t>
  </si>
  <si>
    <t>CONTINGENCY RESERVE EXPENDITURES</t>
  </si>
  <si>
    <t>4591  Title I*</t>
  </si>
  <si>
    <t>4593  Title II**</t>
  </si>
  <si>
    <t>4601  Title III (English Language Acquisition)</t>
  </si>
  <si>
    <t>XXXXXXXXXX</t>
  </si>
  <si>
    <t xml:space="preserve">    530 Communications (Telephone, postage, etc.)         </t>
  </si>
  <si>
    <t xml:space="preserve">  300 Purchased and Professional Technical Services</t>
  </si>
  <si>
    <t xml:space="preserve">    650 Technology Supplies    </t>
  </si>
  <si>
    <t xml:space="preserve">2720 Supervision                </t>
  </si>
  <si>
    <t xml:space="preserve">2710 Vehicle Operating Services    </t>
  </si>
  <si>
    <t xml:space="preserve">2730 Vehicle Services&amp; Maintenance Services </t>
  </si>
  <si>
    <t>2710 Vehicle Operating Services</t>
  </si>
  <si>
    <t xml:space="preserve">    650 Technology Supplies</t>
  </si>
  <si>
    <t xml:space="preserve">    650 Technology Supplies   </t>
  </si>
  <si>
    <t xml:space="preserve">    650 Technology Supplies        </t>
  </si>
  <si>
    <t xml:space="preserve">    650 Technology Supplies       </t>
  </si>
  <si>
    <t xml:space="preserve">    832 Interest                </t>
  </si>
  <si>
    <t xml:space="preserve">    831 Principal               </t>
  </si>
  <si>
    <t xml:space="preserve">    400 Outside Contractors</t>
  </si>
  <si>
    <t>*     Enter on Code 53, Line 175.</t>
  </si>
  <si>
    <t>STUDENT MATERIAL REVOLVING</t>
  </si>
  <si>
    <t xml:space="preserve">  1740 Fees (Rental)            </t>
  </si>
  <si>
    <t xml:space="preserve">  1911 Fines                    </t>
  </si>
  <si>
    <t xml:space="preserve">  1990 Miscellaneous            </t>
  </si>
  <si>
    <t xml:space="preserve">2200 Support Services           </t>
  </si>
  <si>
    <t xml:space="preserve">  680 Miscellaneous Supplies    </t>
  </si>
  <si>
    <t xml:space="preserve">    681 Special Clothing &amp; Towels  </t>
  </si>
  <si>
    <t xml:space="preserve">    682 Musical Instruments     </t>
  </si>
  <si>
    <t xml:space="preserve">    683 Other Material &amp; Supplies </t>
  </si>
  <si>
    <t xml:space="preserve">    645 Workbooks               </t>
  </si>
  <si>
    <t xml:space="preserve">    646 Repairing Textbooks     </t>
  </si>
  <si>
    <t xml:space="preserve">    649 Other Materials &amp; Supplies</t>
  </si>
  <si>
    <t>BOND AND INTEREST (USD)  #1</t>
  </si>
  <si>
    <t xml:space="preserve">1000 LOCAL SOURCES               </t>
  </si>
  <si>
    <t xml:space="preserve">  1110 Ad Valorem Tax Levied     </t>
  </si>
  <si>
    <t xml:space="preserve">  1140 Delinquent Tax            </t>
  </si>
  <si>
    <t xml:space="preserve">  1510 Interest on Idle Funds(a) </t>
  </si>
  <si>
    <t xml:space="preserve">    July - December Estimate      </t>
  </si>
  <si>
    <t xml:space="preserve">  1900 Other Revenue From Local Source </t>
  </si>
  <si>
    <t xml:space="preserve">2000 COUNTY SOURCES              </t>
  </si>
  <si>
    <t>C02-Levy Limits for Tax Funds</t>
  </si>
  <si>
    <t>C04-Worksheet 1</t>
  </si>
  <si>
    <t>C05-Statement of Indebtedness</t>
  </si>
  <si>
    <t>C05a-Statement of Conditional Lease</t>
  </si>
  <si>
    <t>C06-General Fund</t>
  </si>
  <si>
    <t>C07-Federal Funds</t>
  </si>
  <si>
    <t>C08-Supplemental General</t>
  </si>
  <si>
    <t>C010-Adult Education</t>
  </si>
  <si>
    <t>C011-At Risk (4yr Old)</t>
  </si>
  <si>
    <t>C012-Adult Supplemental Education</t>
  </si>
  <si>
    <t>C013-At Risk (K-12)</t>
  </si>
  <si>
    <t>C014-Bilingual Education</t>
  </si>
  <si>
    <t>C016-Capital Outlay</t>
  </si>
  <si>
    <t>C018-Driver Training</t>
  </si>
  <si>
    <t>C019-Declining Enrollment</t>
  </si>
  <si>
    <t>C022-Extraordinary School Program</t>
  </si>
  <si>
    <t>C024-Food Service</t>
  </si>
  <si>
    <t>C026-Professional Development</t>
  </si>
  <si>
    <t>C028-Parent Education Program</t>
  </si>
  <si>
    <t>C029-Summer School</t>
  </si>
  <si>
    <t>C030-Special Education</t>
  </si>
  <si>
    <t>C034-Vocational Education</t>
  </si>
  <si>
    <t>C035-Gifts/Grants</t>
  </si>
  <si>
    <t>C042-Special Liability Expense (includes Judgments)</t>
  </si>
  <si>
    <t>C044-School Retirement</t>
  </si>
  <si>
    <t>C045-Extraordinary Growth Facilities</t>
  </si>
  <si>
    <t>C051-KPERS Special Retirement Contribution</t>
  </si>
  <si>
    <t>C053-Contingency Reserve</t>
  </si>
  <si>
    <t>C055-Textbook &amp; Student Materials Revolving</t>
  </si>
  <si>
    <t>C057-Tuition Reimbursement</t>
  </si>
  <si>
    <t>C062-Bond and Interest #1</t>
  </si>
  <si>
    <t>C063-Bond and Interest #2</t>
  </si>
  <si>
    <t>C067-Special Assessment</t>
  </si>
  <si>
    <t>C068-Temporary Note</t>
  </si>
  <si>
    <t>C078-COOP Special Education</t>
  </si>
  <si>
    <t>Current Yr</t>
  </si>
  <si>
    <t>C080-Historical Museum</t>
  </si>
  <si>
    <t>C082-Public Library Board (USD 446 &amp; 500 only)</t>
  </si>
  <si>
    <t>C083-Public Library Board Employee Benefits (USD 446 &amp; 500 only)</t>
  </si>
  <si>
    <t>C084-Recreation Commission</t>
  </si>
  <si>
    <t>C086-Recreation Commission Employee Benefits &amp; Special Liability</t>
  </si>
  <si>
    <t>C099-Publication</t>
  </si>
  <si>
    <t>C033-Cost of Living</t>
  </si>
  <si>
    <t>Return to Contents page</t>
  </si>
  <si>
    <t xml:space="preserve">  School Retirement                    </t>
  </si>
  <si>
    <t xml:space="preserve">  Extraordinary Growth Facility</t>
  </si>
  <si>
    <t xml:space="preserve">  Historical Museum             </t>
  </si>
  <si>
    <t xml:space="preserve">  Public Library Board          </t>
  </si>
  <si>
    <t xml:space="preserve">  Public Library Board Employees Benefits</t>
  </si>
  <si>
    <t xml:space="preserve">3000 STATE SOURCES               </t>
  </si>
  <si>
    <t xml:space="preserve">    July - December Estimate*</t>
  </si>
  <si>
    <t xml:space="preserve">EXPENDITURES:                    </t>
  </si>
  <si>
    <t xml:space="preserve">5100 DEBT SERVICE                </t>
  </si>
  <si>
    <t xml:space="preserve">TOTAL EXPENDITURES               </t>
  </si>
  <si>
    <t xml:space="preserve">  990 Cash Basis Reserve         </t>
  </si>
  <si>
    <t xml:space="preserve">TOTAL OPERATING EXPENDITURE (18 MO)   </t>
  </si>
  <si>
    <t xml:space="preserve">UNENCUMBERED CASH BALANCE JUNE 30    </t>
  </si>
  <si>
    <t>TAX REQUIRED (Line 185 minus Line 80)</t>
  </si>
  <si>
    <t>*  July - December estimate must be entered manually.</t>
  </si>
  <si>
    <t>BOND AND INTEREST (USD)  #2</t>
  </si>
  <si>
    <t xml:space="preserve">  1140 Delinquent Tax           </t>
  </si>
  <si>
    <t xml:space="preserve">  1510 Interest on Idle Funds(a)</t>
  </si>
  <si>
    <t xml:space="preserve">5100 DEBT SERVICE               </t>
  </si>
  <si>
    <t xml:space="preserve">  990 Cash Basis Reserve        </t>
  </si>
  <si>
    <t>* July - December estimate must be entered manually.</t>
  </si>
  <si>
    <t>Use this form only if bond issues have levies based on different assessed valuations.</t>
  </si>
  <si>
    <t>NO FUND WARRANT</t>
  </si>
  <si>
    <t>SPECIAL ASSESSMENT</t>
  </si>
  <si>
    <t xml:space="preserve">4000 FACILITIES ACQUISITION     </t>
  </si>
  <si>
    <t>TEMPORARY NOTE (a)</t>
  </si>
  <si>
    <t xml:space="preserve">REVENUE:                        </t>
  </si>
  <si>
    <t xml:space="preserve">  1510 Interest on Idle Funds            (b) </t>
  </si>
  <si>
    <t>(a)  Refer to K.S.A. 72-6761.</t>
  </si>
  <si>
    <t>(b)  Interest on temporary notes only.</t>
  </si>
  <si>
    <t>COOP SPECIAL EDUCATION</t>
  </si>
  <si>
    <t>(Sponsoring District Only)</t>
  </si>
  <si>
    <t>COOP SPECIAL EDUCATION EXPEND</t>
  </si>
  <si>
    <t xml:space="preserve">    610 General Supplemental (Teaching)</t>
  </si>
  <si>
    <t xml:space="preserve">    640 Books (not textbooks) and Periodicals </t>
  </si>
  <si>
    <t xml:space="preserve">    120 NonCertified       </t>
  </si>
  <si>
    <t xml:space="preserve">2790 Other Student Transportation Services </t>
  </si>
  <si>
    <t>*  Enter on Code 78, Line 175.</t>
  </si>
  <si>
    <t>Sumexpen</t>
  </si>
  <si>
    <t>HISTORICAL MUSEUM</t>
  </si>
  <si>
    <t xml:space="preserve">  3300 Community Service Operations   </t>
  </si>
  <si>
    <t xml:space="preserve">                                </t>
  </si>
  <si>
    <t>PUBLIC LIBRARY BOARD</t>
  </si>
  <si>
    <t xml:space="preserve">    July - December Estimate </t>
  </si>
  <si>
    <t xml:space="preserve">  300 Purchased Professional and Tech Services     </t>
  </si>
  <si>
    <t>EMPLOYEES BENEFITS</t>
  </si>
  <si>
    <t xml:space="preserve">  3300 Community Service Operations    </t>
  </si>
  <si>
    <t xml:space="preserve">TOTAL EXPENDITURES         </t>
  </si>
  <si>
    <t>TOTAL OPERATING EXPEND (18 MO)</t>
  </si>
  <si>
    <t xml:space="preserve">UNENCUMBERED CASH BALANCE JUNE 30 </t>
  </si>
  <si>
    <t xml:space="preserve">TOTAL EXPENDITURES      </t>
  </si>
  <si>
    <t xml:space="preserve">* If the USD levies for a Recreation Commission you must have a copy of the adopted Recreation Commission budget. </t>
  </si>
  <si>
    <t>*  If the USD levies for a Recreation Commission you must have a copy of the adopted Recreation Commission budget.</t>
  </si>
  <si>
    <t>Budget Form USD-A</t>
  </si>
  <si>
    <t>The "Est. Tax Rate" in the far right column, shown for comparative purposes, is subject to slight change depending on final assessed valuation.</t>
  </si>
  <si>
    <t>Est.</t>
  </si>
  <si>
    <t xml:space="preserve">Actual </t>
  </si>
  <si>
    <t>Tax to</t>
  </si>
  <si>
    <t>Rate*</t>
  </si>
  <si>
    <t>OPERATING</t>
  </si>
  <si>
    <t xml:space="preserve">  General</t>
  </si>
  <si>
    <t xml:space="preserve">  Supplemental General (LOB)</t>
  </si>
  <si>
    <t>SPECIAL REVENUE</t>
  </si>
  <si>
    <t xml:space="preserve">  Adult Education</t>
  </si>
  <si>
    <t xml:space="preserve">  Adult Supplemental Education</t>
  </si>
  <si>
    <t xml:space="preserve">  Bilingual Education</t>
  </si>
  <si>
    <t xml:space="preserve">  Capital Outlay</t>
  </si>
  <si>
    <t>Spec Liability Expense</t>
  </si>
  <si>
    <t>72-8210</t>
  </si>
  <si>
    <t>72-8248</t>
  </si>
  <si>
    <t>GIFTS AND GRANTS</t>
  </si>
  <si>
    <t>GIFTS AND GRANTS EXPENDITURES</t>
  </si>
  <si>
    <t xml:space="preserve">  946 Professional Development     </t>
  </si>
  <si>
    <t xml:space="preserve">  5200 Transfer</t>
  </si>
  <si>
    <t xml:space="preserve">  Driver Training</t>
  </si>
  <si>
    <t xml:space="preserve">  Food Service</t>
  </si>
  <si>
    <t xml:space="preserve">  800 Other</t>
  </si>
  <si>
    <t xml:space="preserve">  200 Employee Benefits</t>
  </si>
  <si>
    <t xml:space="preserve">  120 NonCertified Salaries</t>
  </si>
  <si>
    <t>1930  City/County Sales Tax</t>
  </si>
  <si>
    <t xml:space="preserve">  Parent Education Program</t>
  </si>
  <si>
    <t xml:space="preserve">  Special Education</t>
  </si>
  <si>
    <t xml:space="preserve">  Vocational Education</t>
  </si>
  <si>
    <t xml:space="preserve">  School Retirement</t>
  </si>
  <si>
    <t xml:space="preserve">  Extraordinary Growth Facilities</t>
  </si>
  <si>
    <t>Fund—Continued</t>
  </si>
  <si>
    <t xml:space="preserve">  Contingency Reserve</t>
  </si>
  <si>
    <t>DEBT SERVICE</t>
  </si>
  <si>
    <t xml:space="preserve">  No-Fund Warrant</t>
  </si>
  <si>
    <t xml:space="preserve">use of all funds and the amount of tax to be levied.  Detailed budget information (including budget profile) is available at </t>
  </si>
  <si>
    <t xml:space="preserve">  Special Assessment</t>
  </si>
  <si>
    <t xml:space="preserve">  Temporary Note</t>
  </si>
  <si>
    <t>COOPERATIVES**</t>
  </si>
  <si>
    <t xml:space="preserve">     TOTAL USD EXPENDITURES</t>
  </si>
  <si>
    <t xml:space="preserve">     Less:  Transfers</t>
  </si>
  <si>
    <t xml:space="preserve">     NET USD EXPENDITURES</t>
  </si>
  <si>
    <t xml:space="preserve">     TOTAL USD TAXES LEVIED</t>
  </si>
  <si>
    <t>OTHER</t>
  </si>
  <si>
    <t xml:space="preserve">  Historical Museum</t>
  </si>
  <si>
    <t xml:space="preserve">  Public Library Board</t>
  </si>
  <si>
    <t xml:space="preserve">  Public Library Board Employee Benefits</t>
  </si>
  <si>
    <t xml:space="preserve">          TOTAL OTHER</t>
  </si>
  <si>
    <t>TOTAL TAXES LEVIED</t>
  </si>
  <si>
    <t>C015-Virtual Education</t>
  </si>
  <si>
    <t>Assessed Valuation - General Fund</t>
  </si>
  <si>
    <t>Assessed Valuation - All Other Funds</t>
  </si>
  <si>
    <t>Outstanding Indebtedness, July 1</t>
  </si>
  <si>
    <t xml:space="preserve">  General Obligation Bonds</t>
  </si>
  <si>
    <t xml:space="preserve">  Capital Outlay Bonds</t>
  </si>
  <si>
    <t xml:space="preserve">  Lease Purchase Principal</t>
  </si>
  <si>
    <t xml:space="preserve">          TOTAL USD DEBT</t>
  </si>
  <si>
    <t>* Tax Rates are expressed in Mills</t>
  </si>
  <si>
    <t>**  Sponsoring District Only</t>
  </si>
  <si>
    <t xml:space="preserve">  At Risk (4yr Old)</t>
  </si>
  <si>
    <t>minus Expenditures</t>
  </si>
  <si>
    <t>Resources available</t>
  </si>
  <si>
    <t>&lt;--If negative then decrease expenditures by this amount</t>
  </si>
  <si>
    <t>If positive then increase expenditures by this amount</t>
  </si>
  <si>
    <t xml:space="preserve">  At Risk (K-12)</t>
  </si>
  <si>
    <t>DISTRICT NAME</t>
  </si>
  <si>
    <t>USD #</t>
  </si>
  <si>
    <t>(TYPE USD NUMBER ONLY)</t>
  </si>
  <si>
    <t>HOME COUNTY</t>
  </si>
  <si>
    <t>Cell E16 can be overwritten if needed</t>
  </si>
  <si>
    <t>(Official Levies from County Clerk)</t>
  </si>
  <si>
    <t>(In Dollars from F110 prior yr budget)</t>
  </si>
  <si>
    <t>General</t>
  </si>
  <si>
    <t>Supplemental General</t>
  </si>
  <si>
    <t>Adult Education</t>
  </si>
  <si>
    <t>Capital Outlay</t>
  </si>
  <si>
    <t>School Retirement</t>
  </si>
  <si>
    <t>No Fund Warrant</t>
  </si>
  <si>
    <t>Special Assessment</t>
  </si>
  <si>
    <t>Temporary Note</t>
  </si>
  <si>
    <t>Historical Museum</t>
  </si>
  <si>
    <t>&lt;--Transfer to Special Ed (line 840)</t>
  </si>
  <si>
    <t>&lt;--If negative then increase Transfer to Special Ed (line 840)</t>
  </si>
  <si>
    <t>Public Library Board</t>
  </si>
  <si>
    <t>Special Liability Expense</t>
  </si>
  <si>
    <t>Extraordinary Growth Facilities</t>
  </si>
  <si>
    <t>Date the Capital Outlay was authorized.</t>
  </si>
  <si>
    <t>(Goes to Code 02.)</t>
  </si>
  <si>
    <t xml:space="preserve">Date the Adult Education was authorized.  </t>
  </si>
  <si>
    <t>Bonded Indebtedness</t>
  </si>
  <si>
    <t>General Obligation Bonds</t>
  </si>
  <si>
    <t>Capital Outlay Bonds</t>
  </si>
  <si>
    <t>No-Fund Warrant</t>
  </si>
  <si>
    <t>Lease Purchase Principal</t>
  </si>
  <si>
    <t>(Goes to Code 04.)</t>
  </si>
  <si>
    <t xml:space="preserve">* Amounts are available from the County Treasurer and are for all levy funds. </t>
  </si>
  <si>
    <t>USD</t>
  </si>
  <si>
    <t>Amount</t>
  </si>
  <si>
    <t>USD#</t>
  </si>
  <si>
    <t>STATE OF KANSAS</t>
  </si>
  <si>
    <t>Budget Form USD-B</t>
  </si>
  <si>
    <t>CERTIFICATE</t>
  </si>
  <si>
    <t xml:space="preserve">We, the undersigned, duly elected, qualified and acting officers of </t>
  </si>
  <si>
    <t xml:space="preserve"> certify that:  (1) the hearing mentioned in the attached proof of publication was held;  (2) after the Budget</t>
  </si>
  <si>
    <t>SPECIAL RESERVE FUND</t>
  </si>
  <si>
    <t xml:space="preserve">  1900 Other Revenue From Local Sources</t>
  </si>
  <si>
    <t xml:space="preserve">  1961 Revenue From General    </t>
  </si>
  <si>
    <t xml:space="preserve">  1962 Revenue From Supplemental General</t>
  </si>
  <si>
    <t xml:space="preserve">  1963 Revenue From Adult Education</t>
  </si>
  <si>
    <t xml:space="preserve">  1964 Revenue From Adult Supplemental Education </t>
  </si>
  <si>
    <t xml:space="preserve">  1965 Revenue From Bilingual Education </t>
  </si>
  <si>
    <t xml:space="preserve">  1966 Revenue From Driver Training</t>
  </si>
  <si>
    <t xml:space="preserve">  1967 Revenue From Extraordinary School</t>
  </si>
  <si>
    <t xml:space="preserve">  1968 Revenue From Food Service</t>
  </si>
  <si>
    <t xml:space="preserve">  1970 Revenue From Parent Education </t>
  </si>
  <si>
    <t xml:space="preserve">  1971 Revenue From Summer School</t>
  </si>
  <si>
    <t xml:space="preserve">  1972 Revenue From Special Education </t>
  </si>
  <si>
    <t xml:space="preserve">  1975 Revenue From Vocational Education </t>
  </si>
  <si>
    <t xml:space="preserve">  1977 Revenue From Federal Funds</t>
  </si>
  <si>
    <t xml:space="preserve">  1978 Revenue From Contingency Reserve</t>
  </si>
  <si>
    <t xml:space="preserve">  260 School Workers' Compensation    </t>
  </si>
  <si>
    <t xml:space="preserve"> Hearing this budget was duly approved and adopted as the maximum expenditure for the various funds for the</t>
  </si>
  <si>
    <t>TABLE OF CONTENTS:</t>
  </si>
  <si>
    <t>Amount of</t>
  </si>
  <si>
    <t>Code</t>
  </si>
  <si>
    <t>County Clerk's</t>
  </si>
  <si>
    <t>Adopted Budget</t>
  </si>
  <si>
    <t>Expenditures</t>
  </si>
  <si>
    <t>be Levied</t>
  </si>
  <si>
    <t>Use Only</t>
  </si>
  <si>
    <t>Line</t>
  </si>
  <si>
    <t xml:space="preserve">WORKSHEET I                            </t>
  </si>
  <si>
    <t xml:space="preserve">STATEMENT OF INDEBTEDNESS              </t>
  </si>
  <si>
    <t xml:space="preserve">  FUND</t>
  </si>
  <si>
    <t>K.S.A.</t>
  </si>
  <si>
    <t xml:space="preserve">  General   (a)                    </t>
  </si>
  <si>
    <t>20.000(c)</t>
  </si>
  <si>
    <t xml:space="preserve">  Supplemental General (LOB)     (d)              </t>
  </si>
  <si>
    <t xml:space="preserve">  Adult Education                      </t>
  </si>
  <si>
    <t>72-4523</t>
  </si>
  <si>
    <t xml:space="preserve">  Adult Supplemental Education         </t>
  </si>
  <si>
    <t>72-4525</t>
  </si>
  <si>
    <t xml:space="preserve">  Bilingual Education                  </t>
  </si>
  <si>
    <t xml:space="preserve">  Capital Outlay                       </t>
  </si>
  <si>
    <t>72-8801</t>
  </si>
  <si>
    <t xml:space="preserve">  Driver Training                      </t>
  </si>
  <si>
    <t xml:space="preserve">  Extraordinary School Program</t>
  </si>
  <si>
    <t>72-8238</t>
  </si>
  <si>
    <t xml:space="preserve">  Food Service                         </t>
  </si>
  <si>
    <t>72-5119</t>
  </si>
  <si>
    <t xml:space="preserve">  Parent Education Program             </t>
  </si>
  <si>
    <t xml:space="preserve">  Summer School</t>
  </si>
  <si>
    <t xml:space="preserve">  Special Education                    </t>
  </si>
  <si>
    <t xml:space="preserve">  Vocational Education                 </t>
  </si>
  <si>
    <t>72-1726</t>
  </si>
  <si>
    <t xml:space="preserve">  Federal Funds</t>
  </si>
  <si>
    <t>12-1663</t>
  </si>
  <si>
    <t xml:space="preserve">DEBT SERVICE                           </t>
  </si>
  <si>
    <t>10-113</t>
  </si>
  <si>
    <t>79-2939</t>
  </si>
  <si>
    <t>12-6a10</t>
  </si>
  <si>
    <t>Dates in the budget:</t>
  </si>
  <si>
    <t>(b)  See K.S.A. 79-2939, order #___________ dated __/__/____.</t>
  </si>
  <si>
    <t>(c)  The General Fund levy must be 20 mills.  County clerks can't change this levy.</t>
  </si>
  <si>
    <t>authorizing</t>
  </si>
  <si>
    <t xml:space="preserve">COOPERATIVES                   </t>
  </si>
  <si>
    <t xml:space="preserve">  Special Education             </t>
  </si>
  <si>
    <t xml:space="preserve">    Total USD                   </t>
  </si>
  <si>
    <t xml:space="preserve">OTHER                           </t>
  </si>
  <si>
    <t>12-1684</t>
  </si>
  <si>
    <t>72-1623a</t>
  </si>
  <si>
    <t>12-16,102</t>
  </si>
  <si>
    <t>12-1928/75-6110</t>
  </si>
  <si>
    <t xml:space="preserve">    Total Other                 </t>
  </si>
  <si>
    <t xml:space="preserve">Publication (Notice of Hearing)           </t>
  </si>
  <si>
    <t xml:space="preserve">    1320 Other School District/Govt Sources In-State</t>
  </si>
  <si>
    <t xml:space="preserve">    1330 Other School District/Govt Sources Out-State</t>
  </si>
  <si>
    <t xml:space="preserve">  4599 Summer School Aid</t>
  </si>
  <si>
    <t xml:space="preserve">    1320 Other School District/Govt Sources In-State  </t>
  </si>
  <si>
    <t xml:space="preserve">  Final Assessed Valuation      </t>
  </si>
  <si>
    <t>Municipal Accounting Use Only</t>
  </si>
  <si>
    <t>Assisted by:</t>
  </si>
  <si>
    <t>Received _____________________</t>
  </si>
  <si>
    <t>Reviewed by __________________</t>
  </si>
  <si>
    <t>Follow-up:  Yes ____  No ____</t>
  </si>
  <si>
    <t>President</t>
  </si>
  <si>
    <t>County Clerk</t>
  </si>
  <si>
    <t>Clerk of the Board</t>
  </si>
  <si>
    <t>FINAL VALUATION</t>
  </si>
  <si>
    <t>County Clerk's Use Only</t>
  </si>
  <si>
    <t>Final Assessed</t>
  </si>
  <si>
    <t>County</t>
  </si>
  <si>
    <t>Valuation</t>
  </si>
  <si>
    <t>Bond and Interest</t>
  </si>
  <si>
    <t>Home</t>
  </si>
  <si>
    <t>General Fund*</t>
  </si>
  <si>
    <t>Other Funds*</t>
  </si>
  <si>
    <t>#1</t>
  </si>
  <si>
    <t>#2</t>
  </si>
  <si>
    <t>$</t>
  </si>
  <si>
    <t>TOTAL</t>
  </si>
  <si>
    <t>(General Fund Assessed Valuation excludes $20,000 of appraised value on residential property.)</t>
  </si>
  <si>
    <t>Computation of Delinquency</t>
  </si>
  <si>
    <t>%</t>
  </si>
  <si>
    <t>Resolutions for LEVY LIMITS FOR TAX FUNDS</t>
  </si>
  <si>
    <t>Resolution dated</t>
  </si>
  <si>
    <t>mills for</t>
  </si>
  <si>
    <t>years. Limit</t>
  </si>
  <si>
    <t xml:space="preserve">      5 years.</t>
  </si>
  <si>
    <t>.</t>
  </si>
  <si>
    <t xml:space="preserve">mills. </t>
  </si>
  <si>
    <t>mills.</t>
  </si>
  <si>
    <t xml:space="preserve">     (Attach a copy of each resolution.)</t>
  </si>
  <si>
    <t xml:space="preserve">    The USD must have a copy of the separate recreation commission budget before making this levy.</t>
  </si>
  <si>
    <t>Budget Form USD-C</t>
  </si>
  <si>
    <t>WORKSHEET I</t>
  </si>
  <si>
    <t>(Columns (1) through (5) must match Form 110)</t>
  </si>
  <si>
    <t>Less</t>
  </si>
  <si>
    <t>Actual</t>
  </si>
  <si>
    <t>Tax</t>
  </si>
  <si>
    <t>Recreational</t>
  </si>
  <si>
    <t>Allowance</t>
  </si>
  <si>
    <t>Received</t>
  </si>
  <si>
    <t>Refunded</t>
  </si>
  <si>
    <t>In</t>
  </si>
  <si>
    <t>Vehicle</t>
  </si>
  <si>
    <t xml:space="preserve">  Virtual Education</t>
  </si>
  <si>
    <t xml:space="preserve">  937 Virtual Education</t>
  </si>
  <si>
    <t>Tax Levy</t>
  </si>
  <si>
    <t>for Delinquency</t>
  </si>
  <si>
    <t>Process</t>
  </si>
  <si>
    <t>Fund</t>
  </si>
  <si>
    <t>No-fund Warrant</t>
  </si>
  <si>
    <t>Extraord Gowth Fac</t>
  </si>
  <si>
    <t>504 - Oswego</t>
  </si>
  <si>
    <t>505 - Chetopa - St. Paul</t>
  </si>
  <si>
    <t>506 - Labette County</t>
  </si>
  <si>
    <t>507 - Satanta</t>
  </si>
  <si>
    <t>508 - Baxter Springs</t>
  </si>
  <si>
    <t>509 - South Haven</t>
  </si>
  <si>
    <t>511 - Attica</t>
  </si>
  <si>
    <t>512 - Shawnee Mission</t>
  </si>
  <si>
    <t>Adult Education Computation – Taxes to be Levied</t>
  </si>
  <si>
    <t>Assessed Valuation</t>
  </si>
  <si>
    <t xml:space="preserve">  x  Adult Ed. Mill levy</t>
  </si>
  <si>
    <t>=</t>
  </si>
  <si>
    <t>Capital Outlay Computation – Taxes to be Levied</t>
  </si>
  <si>
    <t xml:space="preserve">    100 Salaries</t>
  </si>
  <si>
    <t xml:space="preserve">    200 Fringe Benefits</t>
  </si>
  <si>
    <t xml:space="preserve">  x Capital Outlay Mill levy</t>
  </si>
  <si>
    <t>Budget Form USD-D</t>
  </si>
  <si>
    <t>STATEMENT OF INDEBTEDNESS</t>
  </si>
  <si>
    <t>Amount Due</t>
  </si>
  <si>
    <t>Date</t>
  </si>
  <si>
    <t>Int.</t>
  </si>
  <si>
    <t>Date Due</t>
  </si>
  <si>
    <t>of</t>
  </si>
  <si>
    <t>Rate</t>
  </si>
  <si>
    <t>Bonds</t>
  </si>
  <si>
    <t>Outstanding</t>
  </si>
  <si>
    <t>Issue</t>
  </si>
  <si>
    <t>Issued</t>
  </si>
  <si>
    <t>Prin.</t>
  </si>
  <si>
    <t>Purpose of Debt</t>
  </si>
  <si>
    <t xml:space="preserve">  4500 New Building Acquisition &amp; Construction</t>
  </si>
  <si>
    <t>Total</t>
  </si>
  <si>
    <t>xxxxxxx</t>
  </si>
  <si>
    <t>xxxxxx</t>
  </si>
  <si>
    <t>xxxxxxxxxxxxx</t>
  </si>
  <si>
    <t>xxxxxxxx</t>
  </si>
  <si>
    <t>USD No.</t>
  </si>
  <si>
    <t>Budget Form USD-D1</t>
  </si>
  <si>
    <t>STATEMENT OF CONDITIONAL LEASE, LEASE–</t>
  </si>
  <si>
    <t>PURCHASE AND CERTIFICATE OF PARTICIPATION</t>
  </si>
  <si>
    <t>Term</t>
  </si>
  <si>
    <t>Int.*</t>
  </si>
  <si>
    <t>Outright</t>
  </si>
  <si>
    <t>Other</t>
  </si>
  <si>
    <t>Principal</t>
  </si>
  <si>
    <t>Contract</t>
  </si>
  <si>
    <t>Purchase</t>
  </si>
  <si>
    <t>Charges</t>
  </si>
  <si>
    <t>Financed</t>
  </si>
  <si>
    <t>Balance Due</t>
  </si>
  <si>
    <t>Payments Due</t>
  </si>
  <si>
    <t>(Months)</t>
  </si>
  <si>
    <t>Price</t>
  </si>
  <si>
    <t>In Contract</t>
  </si>
  <si>
    <t>(Beg Principal)</t>
  </si>
  <si>
    <t>Item/Service Purchased</t>
  </si>
  <si>
    <t>*If you are merely leasing/renting with no intent to purchase, do not list--such transactions are not lease-purchases.</t>
  </si>
  <si>
    <t>Budget Form USD-E</t>
  </si>
  <si>
    <t>12 mo.</t>
  </si>
  <si>
    <t>GENERAL</t>
  </si>
  <si>
    <t>Budget</t>
  </si>
  <si>
    <t xml:space="preserve">  At Risk (4Yr Old)</t>
  </si>
  <si>
    <t xml:space="preserve">  Tuition Reimbursement Fund</t>
  </si>
  <si>
    <t xml:space="preserve">UNENCUMBERED CASH BALANCE JULY 1 </t>
  </si>
  <si>
    <t>Cancel of Prior Yr Enc</t>
  </si>
  <si>
    <t>Salaries</t>
  </si>
  <si>
    <t xml:space="preserve">REVENUE:                            </t>
  </si>
  <si>
    <t xml:space="preserve">1000 LOCAL SOURCES                  </t>
  </si>
  <si>
    <t xml:space="preserve">  1110 Ad Valorem Tax Levied        </t>
  </si>
  <si>
    <t xml:space="preserve">   1140 Delinquent Tax</t>
  </si>
  <si>
    <t xml:space="preserve">  1300 Tuition                      </t>
  </si>
  <si>
    <t xml:space="preserve">    1312 Individuals (Out District)</t>
  </si>
  <si>
    <t xml:space="preserve">  1700 Student Activities (Reimbursement)</t>
  </si>
  <si>
    <t xml:space="preserve">  1900 Other Revenue From Local Source    </t>
  </si>
  <si>
    <t xml:space="preserve">    1910 User Charges</t>
  </si>
  <si>
    <t xml:space="preserve">    1980 Reimbursements</t>
  </si>
  <si>
    <t xml:space="preserve">2000 COUNTY SOURCES                 </t>
  </si>
  <si>
    <t>Cost of Living</t>
  </si>
  <si>
    <t xml:space="preserve">3000 STATE SOURCES                  </t>
  </si>
  <si>
    <t xml:space="preserve">  3110 General State Aid</t>
  </si>
  <si>
    <t xml:space="preserve">  3130 Mineral Production Tax</t>
  </si>
  <si>
    <t xml:space="preserve">  3205 Special Education Aid</t>
  </si>
  <si>
    <t xml:space="preserve">4000 FEDERAL SOURCES                </t>
  </si>
  <si>
    <t xml:space="preserve">    4599 Other</t>
  </si>
  <si>
    <t xml:space="preserve">  4820 PL 382 (Exclude Extra Aid</t>
  </si>
  <si>
    <t xml:space="preserve">    for Children on Indian          </t>
  </si>
  <si>
    <t>Revenue vs. Expenditures &amp; Transfer check</t>
  </si>
  <si>
    <t xml:space="preserve">5000 OTHER                          </t>
  </si>
  <si>
    <t xml:space="preserve">  5208 Transfer From Supplemental General</t>
  </si>
  <si>
    <t>&lt;-- Expenditures &amp; transfers you have entered on this fund so far</t>
  </si>
  <si>
    <t>RESOURCES AVAILABLE</t>
  </si>
  <si>
    <t xml:space="preserve">      563 Tuition/Priv Sources</t>
  </si>
  <si>
    <t>&lt;-- If negative then you will need to decrease expenditures by this amount</t>
  </si>
  <si>
    <t>TOTAL EXPENDITURES &amp; TRANSFERS</t>
  </si>
  <si>
    <t>**</t>
  </si>
  <si>
    <t>UNENCUMBERED CASH BALANCE JUNE 30</t>
  </si>
  <si>
    <t>xxxxxxxxxxx</t>
  </si>
  <si>
    <t>Should be filled out by Atchison, Larned &amp; Beloit.</t>
  </si>
  <si>
    <t>TUITION REIMBURSEMENT FUND</t>
  </si>
  <si>
    <t>TUITION REIMBURSEMENT EXPENDITURES</t>
  </si>
  <si>
    <t>*     Enter on Line 175.</t>
  </si>
  <si>
    <t xml:space="preserve">    650 Supplies (Technology Related)</t>
  </si>
  <si>
    <t xml:space="preserve">    650 Supplies (Techology Related)</t>
  </si>
  <si>
    <t>Motor Vehicle</t>
  </si>
  <si>
    <t>Tax (includes</t>
  </si>
  <si>
    <t>16/20M Tax)</t>
  </si>
  <si>
    <t>2601 Operations &amp; Maintenance  (Transportation)</t>
  </si>
  <si>
    <t xml:space="preserve">  1410 Transportation Fees</t>
  </si>
  <si>
    <t xml:space="preserve">  1980 Reimbursements</t>
  </si>
  <si>
    <t xml:space="preserve">Special Ed Aid vs. Special Ed Transfer check </t>
  </si>
  <si>
    <t xml:space="preserve">    The difference should be zero or positive</t>
  </si>
  <si>
    <t>GENERAL EXPENDITURES</t>
  </si>
  <si>
    <t xml:space="preserve">1000 Instruction                </t>
  </si>
  <si>
    <t xml:space="preserve">  100 Salaries                  </t>
  </si>
  <si>
    <t xml:space="preserve">    110 Certified               </t>
  </si>
  <si>
    <t xml:space="preserve">    120 NonCertified           </t>
  </si>
  <si>
    <t xml:space="preserve">  200 Employee Benefits         </t>
  </si>
  <si>
    <t xml:space="preserve">    210 Insurance (Employee)    </t>
  </si>
  <si>
    <t xml:space="preserve">    220 Social Security         </t>
  </si>
  <si>
    <t xml:space="preserve">      565 Payment to Spec Education</t>
  </si>
  <si>
    <t xml:space="preserve">        Coop/Interlocal (Flowthrough)      </t>
  </si>
  <si>
    <t xml:space="preserve">    290 Other                   </t>
  </si>
  <si>
    <t xml:space="preserve">  300 Purchased Professional and Technical Services     </t>
  </si>
  <si>
    <t xml:space="preserve">    640 Books (not textbooks) and Periodicals          </t>
  </si>
  <si>
    <t xml:space="preserve">    640 Books (not textbooks) and Periodicals           </t>
  </si>
  <si>
    <t xml:space="preserve">  300 Purchased Professional and Technical Services      </t>
  </si>
  <si>
    <t xml:space="preserve">  300 Purchased Professional and Technical Services    </t>
  </si>
  <si>
    <t xml:space="preserve">  500 Other Purchased Services  </t>
  </si>
  <si>
    <t xml:space="preserve">    560 Tuition                 </t>
  </si>
  <si>
    <t xml:space="preserve">      561 Tuition/other State LEA's  </t>
  </si>
  <si>
    <t xml:space="preserve">      562 Tuition/other LEA's outside the State</t>
  </si>
  <si>
    <t xml:space="preserve">      563 Tuition/Priv Sources  </t>
  </si>
  <si>
    <t xml:space="preserve">    590 Other                   </t>
  </si>
  <si>
    <t xml:space="preserve">  600 Supplies                  </t>
  </si>
  <si>
    <t xml:space="preserve">    610 General Supplemental (Teaching) </t>
  </si>
  <si>
    <t xml:space="preserve">    644 Textbooks               </t>
  </si>
  <si>
    <t xml:space="preserve">    680 Miscellaneous Supplies  </t>
  </si>
  <si>
    <t xml:space="preserve">  700 Property (Equipment &amp; Furnishings)   </t>
  </si>
  <si>
    <t xml:space="preserve">  800 Other                     </t>
  </si>
  <si>
    <t xml:space="preserve">2000 Support Services           </t>
  </si>
  <si>
    <t xml:space="preserve">2100 Student Support Services      </t>
  </si>
  <si>
    <t xml:space="preserve">2200 Instr Support Staff        </t>
  </si>
  <si>
    <t xml:space="preserve">  300 Purchased Professional    </t>
  </si>
  <si>
    <t xml:space="preserve">  3224 Declining Enrollment State Aid</t>
  </si>
  <si>
    <t xml:space="preserve">    and Technical Services      </t>
  </si>
  <si>
    <t xml:space="preserve">    640 Books (not textbooks)   </t>
  </si>
  <si>
    <t xml:space="preserve">      and Periodicals           </t>
  </si>
  <si>
    <t xml:space="preserve">2300 General Administration     </t>
  </si>
  <si>
    <t xml:space="preserve">  400 Purchased Property Services  </t>
  </si>
  <si>
    <t xml:space="preserve">    520 Insurance               </t>
  </si>
  <si>
    <t xml:space="preserve">    530 Communications          </t>
  </si>
  <si>
    <t xml:space="preserve">      (Telephone, postage, etc.)</t>
  </si>
  <si>
    <t xml:space="preserve">2400 School Administration      </t>
  </si>
  <si>
    <t xml:space="preserve">2600 Operations &amp; Maintenance  </t>
  </si>
  <si>
    <t xml:space="preserve">  100 Salaries                 </t>
  </si>
  <si>
    <t xml:space="preserve">  200 Employee Benefits        </t>
  </si>
  <si>
    <t xml:space="preserve">    210 Insurance (Employee)   </t>
  </si>
  <si>
    <t>District's assessed valuation * Rec. Levy</t>
  </si>
  <si>
    <t>Tax to be levied cannot exceed this amount.</t>
  </si>
  <si>
    <t xml:space="preserve">    220 Social Security        </t>
  </si>
  <si>
    <t xml:space="preserve">    290 Other                  </t>
  </si>
  <si>
    <t xml:space="preserve">  300 Purchased Professional   </t>
  </si>
  <si>
    <t xml:space="preserve">    and Technical Services     </t>
  </si>
  <si>
    <t xml:space="preserve">  400 Purchased Property Services </t>
  </si>
  <si>
    <t xml:space="preserve">    411 Water/Sewer            </t>
  </si>
  <si>
    <t xml:space="preserve">    420 Cleaning               </t>
  </si>
  <si>
    <t xml:space="preserve">    430 Repairs &amp; Maintenance  </t>
  </si>
  <si>
    <t xml:space="preserve">    440 Rentals                </t>
  </si>
  <si>
    <t xml:space="preserve">    460 Repair of Buildings    </t>
  </si>
  <si>
    <t>16/20 M Tax</t>
  </si>
  <si>
    <t>MVPT</t>
  </si>
  <si>
    <t xml:space="preserve">    490 Other                  </t>
  </si>
  <si>
    <t xml:space="preserve">  500 Other Purchased Services </t>
  </si>
  <si>
    <r>
      <t xml:space="preserve">Date of Increase to a current Capital Outlay.  </t>
    </r>
    <r>
      <rPr>
        <b/>
        <i/>
        <sz val="10"/>
        <rFont val="Arial"/>
        <family val="2"/>
      </rPr>
      <t>(Goes to Code 02.)</t>
    </r>
  </si>
  <si>
    <t>years. Must expire</t>
  </si>
  <si>
    <t xml:space="preserve">           same time as original resolution.</t>
  </si>
  <si>
    <t>3.  Adult Education:</t>
  </si>
  <si>
    <t>4.  Historical Museum:  Tax Rate authorized by a petition dated</t>
  </si>
  <si>
    <t>5.  Public Library:   Resolution dated</t>
  </si>
  <si>
    <t>6.  Recreation Commission:  Resolution dated</t>
  </si>
  <si>
    <t xml:space="preserve">    520 Insurance              </t>
  </si>
  <si>
    <t xml:space="preserve">    590 Other                  </t>
  </si>
  <si>
    <t xml:space="preserve">  600 Supplies                 </t>
  </si>
  <si>
    <t xml:space="preserve">    610 General Supplies       </t>
  </si>
  <si>
    <t xml:space="preserve">    620 Energy                 </t>
  </si>
  <si>
    <t xml:space="preserve">      621 Heating              </t>
  </si>
  <si>
    <t xml:space="preserve">      622 Electricity          </t>
  </si>
  <si>
    <t xml:space="preserve">      626 Motor Fuel (not schoolbus)</t>
  </si>
  <si>
    <t xml:space="preserve">      629 Other                </t>
  </si>
  <si>
    <t xml:space="preserve">    680 Miscellaneous Supplies </t>
  </si>
  <si>
    <t xml:space="preserve">  700 Property (Equipment &amp; Furnishings)  </t>
  </si>
  <si>
    <t xml:space="preserve">  800 Other                    </t>
  </si>
  <si>
    <t xml:space="preserve">    110 Certified              </t>
  </si>
  <si>
    <t xml:space="preserve">    210 Insurance              </t>
  </si>
  <si>
    <t xml:space="preserve">3300 Community Services Operations </t>
  </si>
  <si>
    <t xml:space="preserve">4300 Architectural &amp; Engineering Services </t>
  </si>
  <si>
    <t xml:space="preserve">5200 TRANSFER TO:               </t>
  </si>
  <si>
    <t xml:space="preserve">  932 Adult Education           </t>
  </si>
  <si>
    <t xml:space="preserve">  934 Adult Suppl Education     </t>
  </si>
  <si>
    <t xml:space="preserve">  936 Bilingual Education       </t>
  </si>
  <si>
    <t xml:space="preserve">  938 Capital Outlay            </t>
  </si>
  <si>
    <t xml:space="preserve">  940 Driver Training           </t>
  </si>
  <si>
    <t xml:space="preserve">  943 Extraordinary School Prog</t>
  </si>
  <si>
    <t xml:space="preserve">  944 Food Service              </t>
  </si>
  <si>
    <t xml:space="preserve">  948 Parent Education Program  </t>
  </si>
  <si>
    <t xml:space="preserve">  949 Summer School</t>
  </si>
  <si>
    <t xml:space="preserve">  950 Special Education         </t>
  </si>
  <si>
    <t xml:space="preserve">  954 Vocational Education      </t>
  </si>
  <si>
    <t xml:space="preserve">TOTAL EXPENDITURES &amp; TRANSFERS* </t>
  </si>
  <si>
    <t>xxxx</t>
  </si>
  <si>
    <t>Federal Funds</t>
  </si>
  <si>
    <t>Form 118</t>
  </si>
  <si>
    <t>amount</t>
  </si>
  <si>
    <t>(Monies Not Included in Other Funds)</t>
  </si>
  <si>
    <t xml:space="preserve">4000 FEDERAL SOURCES-GRANTS             </t>
  </si>
  <si>
    <t xml:space="preserve">1.  Capital Outlay*: </t>
  </si>
  <si>
    <t xml:space="preserve">2.  Increase to Capital Outlay*: </t>
  </si>
  <si>
    <t>4599  Other</t>
  </si>
  <si>
    <t>Federal Funds Expenditures</t>
  </si>
  <si>
    <t xml:space="preserve">Budget </t>
  </si>
  <si>
    <t>KPERS SPECIAL RETIREMENT</t>
  </si>
  <si>
    <t>CONTRIBUTION FUND</t>
  </si>
  <si>
    <t xml:space="preserve">  2100 Student Support</t>
  </si>
  <si>
    <t xml:space="preserve">  2200 Instructional Support</t>
  </si>
  <si>
    <t xml:space="preserve">  2300 General Administration</t>
  </si>
  <si>
    <t xml:space="preserve">  2400 School Administration</t>
  </si>
  <si>
    <t xml:space="preserve">  2600 Operations &amp; Maintenance</t>
  </si>
  <si>
    <t xml:space="preserve">  2700 Student Transportation Services</t>
  </si>
  <si>
    <t xml:space="preserve">  3000 Food Service</t>
  </si>
  <si>
    <t>Total Expenditures must equal resources available.</t>
  </si>
  <si>
    <t>2700 Student Transportation Services</t>
  </si>
  <si>
    <t xml:space="preserve">    120 NonCertified</t>
  </si>
  <si>
    <t xml:space="preserve">    210 Insurance</t>
  </si>
  <si>
    <t xml:space="preserve">  442 Rent of Vehicles (lease)</t>
  </si>
  <si>
    <t xml:space="preserve">    513 Contracting of Bus Services</t>
  </si>
  <si>
    <t xml:space="preserve">    519 Mileage in Lieu of Trans</t>
  </si>
  <si>
    <t xml:space="preserve">  626 Motor Fuel</t>
  </si>
  <si>
    <t xml:space="preserve">  730 Equipment (including buses)</t>
  </si>
  <si>
    <t>3000 Operation of Noninstructional Services</t>
  </si>
  <si>
    <t>3100 Food Service Operation</t>
  </si>
  <si>
    <t xml:space="preserve">    520 Insurance</t>
  </si>
  <si>
    <t xml:space="preserve">    570 Food Service Management</t>
  </si>
  <si>
    <t xml:space="preserve">    590 Other Purchased Services</t>
  </si>
  <si>
    <t xml:space="preserve">    630 Food &amp; Milk</t>
  </si>
  <si>
    <t xml:space="preserve">    680 Miscellaneous Supplies</t>
  </si>
  <si>
    <t>SUPPLEMENTAL GENERAL</t>
  </si>
  <si>
    <t>(LOCAL OPTION)</t>
  </si>
  <si>
    <t>UNENCUMBERED CASH BALANCE JULY 1</t>
  </si>
  <si>
    <t>Cancel of Prior Year Encumbrances</t>
  </si>
  <si>
    <t>REVENUE:</t>
  </si>
  <si>
    <t>1000 LOCAL SOURCES</t>
  </si>
  <si>
    <t xml:space="preserve">  1110 Ad Valorem Tax Levied</t>
  </si>
  <si>
    <t xml:space="preserve">  1140 Delinquent Tax</t>
  </si>
  <si>
    <t>Mill Rates</t>
  </si>
  <si>
    <t xml:space="preserve">2000 COUNTY SOURCES           </t>
  </si>
  <si>
    <t xml:space="preserve">  2400 Motor Vehicle Tax </t>
  </si>
  <si>
    <t xml:space="preserve">  2450 Recreational Vehicle Tax </t>
  </si>
  <si>
    <t xml:space="preserve">3000 STATE SOURCES             </t>
  </si>
  <si>
    <t>72-968</t>
  </si>
  <si>
    <t xml:space="preserve">  3140 Supplemental State Aid  </t>
  </si>
  <si>
    <t xml:space="preserve">RESOURCES AVAILABLE         </t>
  </si>
  <si>
    <t xml:space="preserve">TOTAL EXPENDITURES &amp; TRANSFERS </t>
  </si>
  <si>
    <t xml:space="preserve">TAX REQUIRED (175 minus 170)   </t>
  </si>
  <si>
    <t xml:space="preserve">PERCENT OF COLLECTION*          </t>
  </si>
  <si>
    <t xml:space="preserve">  300 Purchased and Professional Technical Services     </t>
  </si>
  <si>
    <t xml:space="preserve">5000 OTHER             </t>
  </si>
  <si>
    <t>Sumexpen:</t>
  </si>
  <si>
    <t xml:space="preserve">  5206 Transfer From General  </t>
  </si>
  <si>
    <t xml:space="preserve">  5253 Transfer From Contingency Reserve  </t>
  </si>
  <si>
    <t xml:space="preserve">5000 OTHER              </t>
  </si>
  <si>
    <t xml:space="preserve">  5206 Transfer From General          </t>
  </si>
  <si>
    <t xml:space="preserve">  5208 Transfer From Supplemental General    </t>
  </si>
  <si>
    <t xml:space="preserve">  5253 Transfer From Contingency Reserve         </t>
  </si>
  <si>
    <t xml:space="preserve">  5206 Transfer From General </t>
  </si>
  <si>
    <t xml:space="preserve">Delinquent Tax    </t>
  </si>
  <si>
    <t xml:space="preserve">  Line 197 + Line 200          </t>
  </si>
  <si>
    <t>xxxxxxxxxxxx</t>
  </si>
  <si>
    <t>*From Form 110, Table I, Line 2.</t>
  </si>
  <si>
    <t>SUPPLEMENTAL GENERAL EXPENDITURES</t>
  </si>
  <si>
    <t xml:space="preserve">    610 General Supplemental(Teaching) </t>
  </si>
  <si>
    <t xml:space="preserve">    120 Non-Certified           </t>
  </si>
  <si>
    <t>Open page - USD Information - DO FIRST</t>
  </si>
  <si>
    <t xml:space="preserve">  300 Purchased Professional and Technical Serv</t>
  </si>
  <si>
    <t xml:space="preserve">    640 Books (not textbooks) and Periodicals</t>
  </si>
  <si>
    <t xml:space="preserve">  300 Purchased Professional and Technical Services</t>
  </si>
  <si>
    <t>Bdgt2010</t>
  </si>
  <si>
    <t>Estimated FTE of students enrolled in your district and attending Fort Hays State University (FHSU)</t>
  </si>
  <si>
    <t xml:space="preserve">  1982 Revenue From Virtual Education</t>
  </si>
  <si>
    <t>FHSU Math &amp; Science Academy.]</t>
  </si>
  <si>
    <r>
      <t xml:space="preserve">authority.  Districts </t>
    </r>
    <r>
      <rPr>
        <b/>
        <i/>
        <u/>
        <sz val="10"/>
        <rFont val="Arial"/>
        <family val="2"/>
      </rPr>
      <t>must</t>
    </r>
    <r>
      <rPr>
        <i/>
        <sz val="10"/>
        <rFont val="Arial"/>
        <family val="2"/>
      </rPr>
      <t xml:space="preserve"> send BSAPP to FHSU for students enrolled in their district and attending</t>
    </r>
  </si>
  <si>
    <r>
      <t xml:space="preserve">[Cannot be used to generate general fund weightings other than BSAPP </t>
    </r>
    <r>
      <rPr>
        <b/>
        <i/>
        <u/>
        <sz val="10"/>
        <rFont val="Arial"/>
        <family val="2"/>
      </rPr>
      <t>and</t>
    </r>
    <r>
      <rPr>
        <i/>
        <sz val="10"/>
        <rFont val="Arial"/>
        <family val="2"/>
      </rPr>
      <t xml:space="preserve"> cannot be used for LOB</t>
    </r>
  </si>
  <si>
    <t>BOTA Goal</t>
  </si>
  <si>
    <t>Collection Rate Used in Documents</t>
  </si>
  <si>
    <t>Anticipated Collection Rate</t>
  </si>
  <si>
    <t>Additional Collection</t>
  </si>
  <si>
    <t>Additional For Budget Authority</t>
  </si>
  <si>
    <t>5000 OTHER FINANCING SOURCES</t>
  </si>
  <si>
    <t xml:space="preserve">   5140 Federal Tax Credit</t>
  </si>
  <si>
    <t xml:space="preserve">  5140 Federal Tax Credit</t>
  </si>
  <si>
    <t>F194 needs</t>
  </si>
  <si>
    <t>Cell B141</t>
  </si>
  <si>
    <t>TAX REQUIRED (Line 185 minus Line 82)</t>
  </si>
  <si>
    <t>C01-Certificate</t>
  </si>
  <si>
    <t>(Total Principal Outstanding)</t>
  </si>
  <si>
    <t>Bdgt2011</t>
  </si>
  <si>
    <t xml:space="preserve">who reside in the district 2.5 miles or more </t>
  </si>
  <si>
    <t xml:space="preserve">  1990 Miscellaneous</t>
  </si>
  <si>
    <t>F195-KPERS %</t>
  </si>
  <si>
    <t>(line 2)</t>
  </si>
  <si>
    <t>110 - Thunder Ridge</t>
  </si>
  <si>
    <t>111 - Doniphan West Schools</t>
  </si>
  <si>
    <t>112 - Central Plains</t>
  </si>
  <si>
    <t>292 - Wheatland</t>
  </si>
  <si>
    <t>338 - Valley Falls</t>
  </si>
  <si>
    <t>USD 113 only</t>
  </si>
  <si>
    <t>99% districts</t>
  </si>
  <si>
    <t>Co62-special cases</t>
  </si>
  <si>
    <t>Co63-special cases</t>
  </si>
  <si>
    <t xml:space="preserve">  No Fund Warrant                   (b) </t>
  </si>
  <si>
    <t xml:space="preserve">  Special Assessment                   </t>
  </si>
  <si>
    <t xml:space="preserve">  Temporary Note                       </t>
  </si>
  <si>
    <t>Comma separated amount in text (put $ and comma in the figure)</t>
  </si>
  <si>
    <t>If there are two recreation commissions on a consolidation:</t>
  </si>
  <si>
    <t>Rec comm</t>
  </si>
  <si>
    <t>Public Library Brd - Emp Bnfts</t>
  </si>
  <si>
    <t>Public Lib Brd Emp Bnfts</t>
  </si>
  <si>
    <t>Rec comm emp bnfts</t>
  </si>
  <si>
    <t>114 - Riverside</t>
  </si>
  <si>
    <t>Text on co99, f194, co4, co1, open cells A27 &amp; A28, sumexpen Keep 2, co99a, sumexpen A998 &amp; A999, F110 K13 &amp; K61</t>
  </si>
  <si>
    <t>Text on OPEN, co99, co1, co84, co86, co4, Keep 2, Sumexpen A1334 &amp; A1336, F194, F110 G150 &amp; G151 &amp; G152</t>
  </si>
  <si>
    <t>113 - Prairie Hills</t>
  </si>
  <si>
    <t>USD 112, 113</t>
  </si>
  <si>
    <t>USD 112 only co62</t>
  </si>
  <si>
    <t>Bdgt2012</t>
  </si>
  <si>
    <t>Year 2 Bdgt2008</t>
  </si>
  <si>
    <t>District's assessed valuation * Historical Museum Levy</t>
  </si>
  <si>
    <t>Ck if cells A16</t>
  </si>
  <si>
    <t>or cell A18 filled in</t>
  </si>
  <si>
    <t xml:space="preserve">      as approved by the local board.</t>
  </si>
  <si>
    <t>% above 30%--&gt;</t>
  </si>
  <si>
    <t xml:space="preserve">  Activity Funds</t>
  </si>
  <si>
    <t>72-8208a</t>
  </si>
  <si>
    <t>ACTIVITY FUND</t>
  </si>
  <si>
    <t xml:space="preserve">  1710 Admissions/Gate Receipts</t>
  </si>
  <si>
    <t xml:space="preserve">  1790 Donations/Fundraisers/Other</t>
  </si>
  <si>
    <t>ACTIVITY FUND EXPENDITURES</t>
  </si>
  <si>
    <t>5200 TRANSFER TO:</t>
  </si>
  <si>
    <t xml:space="preserve">  930 General Fund </t>
  </si>
  <si>
    <t xml:space="preserve">  930 General Fund</t>
  </si>
  <si>
    <t xml:space="preserve">  Activity Fund</t>
  </si>
  <si>
    <t>Transfers to General Fund</t>
  </si>
  <si>
    <t>Fund Name</t>
  </si>
  <si>
    <t>C011</t>
  </si>
  <si>
    <t>C013</t>
  </si>
  <si>
    <t>C014</t>
  </si>
  <si>
    <t>C015</t>
  </si>
  <si>
    <t>C018</t>
  </si>
  <si>
    <t>C026</t>
  </si>
  <si>
    <t>C028</t>
  </si>
  <si>
    <t>C029</t>
  </si>
  <si>
    <t>C030</t>
  </si>
  <si>
    <t>C034</t>
  </si>
  <si>
    <t>C053</t>
  </si>
  <si>
    <t>C055</t>
  </si>
  <si>
    <t>add</t>
  </si>
  <si>
    <t>Amount Transferred</t>
  </si>
  <si>
    <t>Goes To ---</t>
  </si>
  <si>
    <t>Open - A10</t>
  </si>
  <si>
    <t>Open - A11</t>
  </si>
  <si>
    <t>Open - A12</t>
  </si>
  <si>
    <t>Open - A13</t>
  </si>
  <si>
    <t>Open - A45</t>
  </si>
  <si>
    <t>USD# - Name</t>
  </si>
  <si>
    <t>County Name</t>
  </si>
  <si>
    <t>Sq Miles</t>
  </si>
  <si>
    <t>115 - Nemaha Central</t>
  </si>
  <si>
    <t>Bond Prior Rate</t>
  </si>
  <si>
    <t>Bond After Rate</t>
  </si>
  <si>
    <t>Total of transfers to general fund</t>
  </si>
  <si>
    <t>C056-Activity Funds</t>
  </si>
  <si>
    <t>FTE Enrollment for All Students**   (For Information Purposes Only)</t>
  </si>
  <si>
    <t xml:space="preserve">  4590 Other Federal Aid</t>
  </si>
  <si>
    <t xml:space="preserve">    4590 Other Federal Aid</t>
  </si>
  <si>
    <t xml:space="preserve"> C08 transfer to general</t>
  </si>
  <si>
    <t xml:space="preserve"> Goes to Line 165 column 3</t>
  </si>
  <si>
    <t>Description</t>
  </si>
  <si>
    <t>Co84-special cases</t>
  </si>
  <si>
    <t>USD 113</t>
  </si>
  <si>
    <t>Co86-special cases</t>
  </si>
  <si>
    <t xml:space="preserve">  100 Salaries</t>
  </si>
  <si>
    <t xml:space="preserve">    220 Social Security</t>
  </si>
  <si>
    <t xml:space="preserve">    290 Other</t>
  </si>
  <si>
    <t>TAX REQUIRED (line 175-line 70)</t>
  </si>
  <si>
    <t>Cell E17 should be zero</t>
  </si>
  <si>
    <t>TAX REQUIRED (Line 175-Line 70)</t>
  </si>
  <si>
    <t>xxxxxxxxxxxxxxxx</t>
  </si>
  <si>
    <t>USD 105, 110, 112, 113, 422</t>
  </si>
  <si>
    <t>USD 114, 422</t>
  </si>
  <si>
    <t>114 &amp; 422</t>
  </si>
  <si>
    <t>105, 110, 112</t>
  </si>
  <si>
    <t>2012-2013</t>
  </si>
  <si>
    <t>Bdgt2013</t>
  </si>
  <si>
    <t>Year 3 Bdgt2009-2012</t>
  </si>
  <si>
    <t>Enter delinquent tax % rate to use:</t>
  </si>
  <si>
    <t xml:space="preserve">C01 delinquent tax rate: </t>
  </si>
  <si>
    <t>Checks for the budget edits-negative revenues:</t>
  </si>
  <si>
    <t>co6 col1</t>
  </si>
  <si>
    <t>co7 col1</t>
  </si>
  <si>
    <t>co8 col1</t>
  </si>
  <si>
    <t>co10 col1</t>
  </si>
  <si>
    <t>co11 col1</t>
  </si>
  <si>
    <t xml:space="preserve">col12 col1 </t>
  </si>
  <si>
    <t>co13 col1</t>
  </si>
  <si>
    <t xml:space="preserve">co14 col1 </t>
  </si>
  <si>
    <t>co15 col1</t>
  </si>
  <si>
    <t>co16 col1</t>
  </si>
  <si>
    <t>co18 col1</t>
  </si>
  <si>
    <t>co19 col1-3</t>
  </si>
  <si>
    <t>co22 co1</t>
  </si>
  <si>
    <t>co24 col1-3</t>
  </si>
  <si>
    <t>co26 col1-3</t>
  </si>
  <si>
    <t>co28 col1</t>
  </si>
  <si>
    <t>co29 col1</t>
  </si>
  <si>
    <t>co30 col1</t>
  </si>
  <si>
    <t>co33 col1-3</t>
  </si>
  <si>
    <t>co34 col1</t>
  </si>
  <si>
    <t>co35 col1</t>
  </si>
  <si>
    <t>co42 col1-3</t>
  </si>
  <si>
    <t>co44 col1-3</t>
  </si>
  <si>
    <t>co45 col1-3</t>
  </si>
  <si>
    <t>co47 col1-2</t>
  </si>
  <si>
    <t>co51 col1-3</t>
  </si>
  <si>
    <t xml:space="preserve">co53 col1 </t>
  </si>
  <si>
    <t>co55 col1-3</t>
  </si>
  <si>
    <t>co56 col1-3</t>
  </si>
  <si>
    <t>co57 col1</t>
  </si>
  <si>
    <t>co62 col1-4</t>
  </si>
  <si>
    <t>co63 col1-4</t>
  </si>
  <si>
    <t>co66 col1-4</t>
  </si>
  <si>
    <t>co67col1-4</t>
  </si>
  <si>
    <t>co68 col1-4</t>
  </si>
  <si>
    <t>co78 col1</t>
  </si>
  <si>
    <t>co80 col1-4</t>
  </si>
  <si>
    <t>co82 col1-4</t>
  </si>
  <si>
    <t>co83 col1-4</t>
  </si>
  <si>
    <t>co84 col1-4</t>
  </si>
  <si>
    <t>co86 col1-4</t>
  </si>
  <si>
    <t>Checks for the budget edits-negative expenditures:</t>
  </si>
  <si>
    <t>co6 col2</t>
  </si>
  <si>
    <t>co6 col3</t>
  </si>
  <si>
    <t>col7 col2</t>
  </si>
  <si>
    <t>col7 col3</t>
  </si>
  <si>
    <t>co8 col2</t>
  </si>
  <si>
    <t>co8 col3</t>
  </si>
  <si>
    <t>co10 col2</t>
  </si>
  <si>
    <t>co10 col3</t>
  </si>
  <si>
    <t>col11 col2</t>
  </si>
  <si>
    <t>col11 col3</t>
  </si>
  <si>
    <t>col12 col2</t>
  </si>
  <si>
    <t>co12 col3</t>
  </si>
  <si>
    <t>col13 col2</t>
  </si>
  <si>
    <t>col13 col3</t>
  </si>
  <si>
    <t xml:space="preserve">co14 col2 </t>
  </si>
  <si>
    <t>co14 col3</t>
  </si>
  <si>
    <t>co15 col2</t>
  </si>
  <si>
    <t>co15 col3</t>
  </si>
  <si>
    <t>co16 col2</t>
  </si>
  <si>
    <t>co16 col3</t>
  </si>
  <si>
    <t>co18 col2</t>
  </si>
  <si>
    <t>co18 col3</t>
  </si>
  <si>
    <t>co22 col2</t>
  </si>
  <si>
    <t>co22 col3</t>
  </si>
  <si>
    <t>co29 col2</t>
  </si>
  <si>
    <t>co29 col3</t>
  </si>
  <si>
    <t>co30 col2</t>
  </si>
  <si>
    <t>co30 col3</t>
  </si>
  <si>
    <t>co34 col2</t>
  </si>
  <si>
    <t>co34 col3</t>
  </si>
  <si>
    <t>co35 col2</t>
  </si>
  <si>
    <t>co35 col3</t>
  </si>
  <si>
    <t>co53 col2</t>
  </si>
  <si>
    <t>co57 col2</t>
  </si>
  <si>
    <t>co57 col3</t>
  </si>
  <si>
    <t>co78 col2</t>
  </si>
  <si>
    <t>co78 col3</t>
  </si>
  <si>
    <t>C06</t>
  </si>
  <si>
    <t>C08</t>
  </si>
  <si>
    <t>C010</t>
  </si>
  <si>
    <t>C012</t>
  </si>
  <si>
    <t>C07</t>
  </si>
  <si>
    <t>C016</t>
  </si>
  <si>
    <t>C019</t>
  </si>
  <si>
    <t>C022</t>
  </si>
  <si>
    <t>C024</t>
  </si>
  <si>
    <t>C033</t>
  </si>
  <si>
    <t>C035</t>
  </si>
  <si>
    <t>C042</t>
  </si>
  <si>
    <t>C044</t>
  </si>
  <si>
    <t>C045</t>
  </si>
  <si>
    <t>C047</t>
  </si>
  <si>
    <t>C051</t>
  </si>
  <si>
    <t>C056</t>
  </si>
  <si>
    <t>C057</t>
  </si>
  <si>
    <t>C062</t>
  </si>
  <si>
    <t>C063</t>
  </si>
  <si>
    <t>C066</t>
  </si>
  <si>
    <t>C067</t>
  </si>
  <si>
    <t>C068</t>
  </si>
  <si>
    <t>C078</t>
  </si>
  <si>
    <t>C080</t>
  </si>
  <si>
    <t>C083</t>
  </si>
  <si>
    <t>C084</t>
  </si>
  <si>
    <t>C086</t>
  </si>
  <si>
    <t xml:space="preserve">   Funds in Error</t>
  </si>
  <si>
    <t xml:space="preserve">   Funds with Negative Revenues*</t>
  </si>
  <si>
    <t xml:space="preserve">   Funds with Negative Expenditures**</t>
  </si>
  <si>
    <t>**Adjust other expenditures to get rid of the negatives.</t>
  </si>
  <si>
    <t>*Negative revenues could be possible on the C07</t>
  </si>
  <si>
    <r>
      <t>Explanation for errors if valid:</t>
    </r>
    <r>
      <rPr>
        <sz val="10"/>
        <color rgb="FF92D050"/>
        <rFont val="Arial"/>
        <family val="2"/>
      </rPr>
      <t xml:space="preserve"> (double-click in box below and type)</t>
    </r>
  </si>
  <si>
    <t xml:space="preserve">    2310 Board of Education Services</t>
  </si>
  <si>
    <t>Taxes to be Levied</t>
  </si>
  <si>
    <t>XXXXXXXXXXX</t>
  </si>
  <si>
    <t xml:space="preserve">  if federal funds are lagging.  The opening cash balances </t>
  </si>
  <si>
    <t xml:space="preserve">  are not checked on the C07.</t>
  </si>
  <si>
    <t>Return to Contents Page</t>
  </si>
  <si>
    <t>Factor A</t>
  </si>
  <si>
    <t>Factor B</t>
  </si>
  <si>
    <t>Min Cost</t>
  </si>
  <si>
    <t>Percent Inflate</t>
  </si>
  <si>
    <t>Two cells below used when KSDE links to the Cover page:  (takes the district name and county name off the Open worksheet:</t>
  </si>
  <si>
    <t>(USD 495 ONLY)</t>
  </si>
  <si>
    <t>Free Meal Percentages between 35.0 and 49.99</t>
  </si>
  <si>
    <t xml:space="preserve">  960 Special Reserve Fund</t>
  </si>
  <si>
    <t xml:space="preserve">  120 NonCertified</t>
  </si>
  <si>
    <t>Open - A3</t>
  </si>
  <si>
    <t>C051 - C13</t>
  </si>
  <si>
    <t>C051 - D13</t>
  </si>
  <si>
    <t>F195 - H25</t>
  </si>
  <si>
    <t>KPERS Pmt</t>
  </si>
  <si>
    <t>2014-2015</t>
  </si>
  <si>
    <t>F196</t>
  </si>
  <si>
    <t>School Bus C,D</t>
  </si>
  <si>
    <t>School Bus A,B</t>
  </si>
  <si>
    <t>Suburbans, Vans</t>
  </si>
  <si>
    <t>calculation</t>
  </si>
  <si>
    <t>printed (text)</t>
  </si>
  <si>
    <t>(if different than C01 rate below)</t>
  </si>
  <si>
    <t xml:space="preserve">  3225 CTE Transportation State Aid </t>
  </si>
  <si>
    <t>*  Line 175 should be the amount the USD is utilizing by the State Court of Tax Appeals for declining enrollment</t>
  </si>
  <si>
    <t>**  Line 175 should be the amount the USD is utilizing from the amount the State Board of Tax Appeals</t>
  </si>
  <si>
    <t>Bdgt2014</t>
  </si>
  <si>
    <t>Year 3-Bdgt2009</t>
  </si>
  <si>
    <t>Year 2-Bdgt2008</t>
  </si>
  <si>
    <t>2013-2014</t>
  </si>
  <si>
    <t xml:space="preserve">    2013  $</t>
  </si>
  <si>
    <t>422 - Greensburg</t>
  </si>
  <si>
    <t xml:space="preserve">  1990 Miscellaneous </t>
  </si>
  <si>
    <t>$1.45</t>
  </si>
  <si>
    <t>$1.15</t>
  </si>
  <si>
    <t>$.90</t>
  </si>
  <si>
    <t>co8-col1-65</t>
  </si>
  <si>
    <t>co8-col2-65</t>
  </si>
  <si>
    <t>co8-col3-65</t>
  </si>
  <si>
    <t>co16-col1-97</t>
  </si>
  <si>
    <t>co16-col2-97</t>
  </si>
  <si>
    <t>co16-col3-97</t>
  </si>
  <si>
    <t>co30-col1-65</t>
  </si>
  <si>
    <t>co30-col2-65</t>
  </si>
  <si>
    <t>co30-col3-65</t>
  </si>
  <si>
    <t xml:space="preserve">    2014  $</t>
  </si>
  <si>
    <t>2014-15</t>
  </si>
  <si>
    <t>July 1, 2014</t>
  </si>
  <si>
    <t>Bdgt 2015</t>
  </si>
  <si>
    <t>Bdgt2015</t>
  </si>
  <si>
    <t>Bdgt2013-2014</t>
  </si>
  <si>
    <t xml:space="preserve">    600 Supplies - Performance Uniforms</t>
  </si>
  <si>
    <t>2600 Operations &amp; Maintenance</t>
  </si>
  <si>
    <t xml:space="preserve">   120 NonCertified</t>
  </si>
  <si>
    <t xml:space="preserve">    210 Insurance (Employee)</t>
  </si>
  <si>
    <t xml:space="preserve">  300 Purchased Professional &amp; Tech Svcs</t>
  </si>
  <si>
    <t xml:space="preserve">    460 Repair of Buildings</t>
  </si>
  <si>
    <t xml:space="preserve">   700 Property (Equipment &amp; Buses)</t>
  </si>
  <si>
    <t>2730 Vehicle Services &amp; Maintenance Services</t>
  </si>
  <si>
    <t xml:space="preserve">  600 Supplies</t>
  </si>
  <si>
    <t xml:space="preserve">  700 Property (Equipment &amp; Furnishings)</t>
  </si>
  <si>
    <t>2700 Transportation</t>
  </si>
  <si>
    <t xml:space="preserve">2900 Other Support Services     </t>
  </si>
  <si>
    <t xml:space="preserve">2500 Central Services          </t>
  </si>
  <si>
    <t xml:space="preserve">   700 Property (Equipment &amp; Furnishings) </t>
  </si>
  <si>
    <t xml:space="preserve">5000 OTHER  </t>
  </si>
  <si>
    <t>2500 Central Services</t>
  </si>
  <si>
    <t xml:space="preserve">   110 Certified</t>
  </si>
  <si>
    <t xml:space="preserve">   220 Social Security</t>
  </si>
  <si>
    <t xml:space="preserve">   210 Insurance  </t>
  </si>
  <si>
    <t xml:space="preserve">   290 Other</t>
  </si>
  <si>
    <t>2900 Other Support Services</t>
  </si>
  <si>
    <t xml:space="preserve">2900 Other Support Services </t>
  </si>
  <si>
    <t xml:space="preserve">2900 Other Support Services  </t>
  </si>
  <si>
    <t xml:space="preserve">  300 Purchased Professional and Technical Srvs</t>
  </si>
  <si>
    <t xml:space="preserve"> 2900 Other Support Services </t>
  </si>
  <si>
    <t xml:space="preserve">  2500 Central Services</t>
  </si>
  <si>
    <t xml:space="preserve">  2900 Other Support Services</t>
  </si>
  <si>
    <t>Amount Levied</t>
  </si>
  <si>
    <t>Over Prior Year</t>
  </si>
  <si>
    <t>Percent Increase</t>
  </si>
  <si>
    <t xml:space="preserve"> 2. Adult Education</t>
  </si>
  <si>
    <t xml:space="preserve"> 1. Supplemental General </t>
  </si>
  <si>
    <t xml:space="preserve"> 3. Capital Outlay</t>
  </si>
  <si>
    <t xml:space="preserve"> 4. Special Liability Expense</t>
  </si>
  <si>
    <t xml:space="preserve"> 5. School Retirement</t>
  </si>
  <si>
    <t xml:space="preserve"> 6. Extraordinary Growth</t>
  </si>
  <si>
    <t xml:space="preserve"> 7. Cost of Living</t>
  </si>
  <si>
    <t xml:space="preserve"> 8. Declining Enrollment</t>
  </si>
  <si>
    <t xml:space="preserve"> 9. Special Assessment</t>
  </si>
  <si>
    <t xml:space="preserve"> 10. TOTAL</t>
  </si>
  <si>
    <t>Required by KSA 79-2925b</t>
  </si>
  <si>
    <t>BOARD OF EDUCATION VOTE</t>
  </si>
  <si>
    <t>Disapproved</t>
  </si>
  <si>
    <t>2-YEAR PROPERTY TAX REVIEW</t>
  </si>
  <si>
    <t xml:space="preserve">Approved </t>
  </si>
  <si>
    <t xml:space="preserve">2500 Central Services  </t>
  </si>
  <si>
    <t xml:space="preserve">  3223 Capital Outlay State Aid</t>
  </si>
  <si>
    <t>2nd Publication</t>
  </si>
  <si>
    <t>and bond money was used for construction of new facilities or new schools that were built primarily</t>
  </si>
  <si>
    <t xml:space="preserve">with federal funds on a military reservation located on USD 207 or USD  475.) </t>
  </si>
  <si>
    <t>with federal funds on a military reservation located in USD 207 or USD 475.)</t>
  </si>
  <si>
    <t>years.</t>
  </si>
  <si>
    <t>XXXXXXXXXXXX</t>
  </si>
  <si>
    <t xml:space="preserve">    650 Supplies - Technology Software</t>
  </si>
  <si>
    <t xml:space="preserve">   650 Supplies - Technology Software</t>
  </si>
  <si>
    <t xml:space="preserve">  650 Supplies - Technology Software</t>
  </si>
  <si>
    <t>(USD 500 ONLY)</t>
  </si>
  <si>
    <t>(ONLY USDs 446 &amp; 500)</t>
  </si>
  <si>
    <t>NOTE:  Transfer to Special Ed must be greater than or equal to Special Education Aid</t>
  </si>
  <si>
    <t xml:space="preserve">   Number of years authorized.</t>
  </si>
  <si>
    <t>Election</t>
  </si>
  <si>
    <t>100%</t>
  </si>
  <si>
    <t>in grades 1-12 and students 20 years of age and over, unless they are on an IEP.</t>
  </si>
  <si>
    <r>
      <t>Date the ELECTION was held to increase LOB authority to exceed 30%.</t>
    </r>
    <r>
      <rPr>
        <b/>
        <i/>
        <sz val="10"/>
        <rFont val="Arial"/>
        <family val="2"/>
      </rPr>
      <t xml:space="preserve"> (Goes to Code 01.)</t>
    </r>
  </si>
  <si>
    <t xml:space="preserve">   Number of years authorized.  (Enter 9999 for continuous and permanent.)</t>
  </si>
  <si>
    <t xml:space="preserve">   Number of mills.  (New resolutions 7/1/05 and after cannot exceed 8 mills.)</t>
  </si>
  <si>
    <t xml:space="preserve">   Percent authorized.  (Cannot Exceed 1%)</t>
  </si>
  <si>
    <t xml:space="preserve">   Number of additional mills.  (New resolutions 7/1/05 and after cannot exceed 8 mills </t>
  </si>
  <si>
    <t xml:space="preserve">   in combination with current resolution.)</t>
  </si>
  <si>
    <t xml:space="preserve">   Number of years authorized (must expire same time as original Capital Outlay).</t>
  </si>
  <si>
    <t xml:space="preserve">   Number of mills.</t>
  </si>
  <si>
    <t xml:space="preserve">       The resolutions approved by mail ballot cannot exceed 33%.</t>
  </si>
  <si>
    <t xml:space="preserve">  972 Contingency Reserve   </t>
  </si>
  <si>
    <t>All local resources should be accurately recorded in columns 1, 2, and 3.</t>
  </si>
  <si>
    <t>(Excluding General Fund, Bond and Interest, No-Fund Warrants, and Temporary Note)</t>
  </si>
  <si>
    <t>410 - Durham-Hillsboro-Lehigh</t>
  </si>
  <si>
    <t>C034 - C24</t>
  </si>
  <si>
    <t>C034 - D24</t>
  </si>
  <si>
    <t>Open - B21</t>
  </si>
  <si>
    <t>Open - B22</t>
  </si>
  <si>
    <t>Open - B23</t>
  </si>
  <si>
    <t>Open - B24</t>
  </si>
  <si>
    <t>Open - B25</t>
  </si>
  <si>
    <t>Open - B26</t>
  </si>
  <si>
    <t>Open - B27</t>
  </si>
  <si>
    <t>Open - B28</t>
  </si>
  <si>
    <t>Open - B29</t>
  </si>
  <si>
    <t>Open - B30</t>
  </si>
  <si>
    <t>Open - B31</t>
  </si>
  <si>
    <t>Open - B32</t>
  </si>
  <si>
    <t>Open - B33</t>
  </si>
  <si>
    <t>Open - B34</t>
  </si>
  <si>
    <t>Open - B35</t>
  </si>
  <si>
    <t>Open - B38</t>
  </si>
  <si>
    <t>Open - B39</t>
  </si>
  <si>
    <t>Open - B40</t>
  </si>
  <si>
    <t>Open - C21</t>
  </si>
  <si>
    <t>Open - C22</t>
  </si>
  <si>
    <t>Open - C23</t>
  </si>
  <si>
    <t>Open - C24</t>
  </si>
  <si>
    <t>Open - C25</t>
  </si>
  <si>
    <t>Open - C26</t>
  </si>
  <si>
    <t>Open - C27</t>
  </si>
  <si>
    <t>Open - C28</t>
  </si>
  <si>
    <t>Open - C29</t>
  </si>
  <si>
    <t>Open - C30</t>
  </si>
  <si>
    <t>Open - C31</t>
  </si>
  <si>
    <t>Open - C32</t>
  </si>
  <si>
    <t>Open - C33</t>
  </si>
  <si>
    <t>Open - C34</t>
  </si>
  <si>
    <t>Open - C35</t>
  </si>
  <si>
    <t>Open - C38</t>
  </si>
  <si>
    <t>Open - C39</t>
  </si>
  <si>
    <t>Open - C40</t>
  </si>
  <si>
    <t xml:space="preserve">  980 Supplemental General Fund</t>
  </si>
  <si>
    <t>No</t>
  </si>
  <si>
    <t>Authority for and plan to adopt at least 31% LOB</t>
  </si>
  <si>
    <t>Yes or No - Does your district have authority for and plan to adopt 31% or more LOB budget?</t>
  </si>
  <si>
    <t>Amount to enter in Line 75</t>
  </si>
  <si>
    <t>330 - Mission Valley</t>
  </si>
  <si>
    <t xml:space="preserve">   Payment from Dept of Children and Families (DCF)</t>
  </si>
  <si>
    <t>2015-2016</t>
  </si>
  <si>
    <t xml:space="preserve">    2015  $</t>
  </si>
  <si>
    <t>2014-15 Actual</t>
  </si>
  <si>
    <t>2015-16</t>
  </si>
  <si>
    <t>July 1, 2015</t>
  </si>
  <si>
    <t>Bdgt2016</t>
  </si>
  <si>
    <t>Block Grant</t>
  </si>
  <si>
    <t>co16</t>
  </si>
  <si>
    <t xml:space="preserve">  5206 Transfer From General Fund</t>
  </si>
  <si>
    <t xml:space="preserve">  3221 KPERS Aid</t>
  </si>
  <si>
    <t xml:space="preserve">  3217 State Aid (prior July 1, 2015)</t>
  </si>
  <si>
    <t>Total transfers to General from above</t>
  </si>
  <si>
    <t xml:space="preserve">  5206 Transfer from General Fund</t>
  </si>
  <si>
    <t>Comes from F118</t>
  </si>
  <si>
    <t>&lt;--Adopted Local Option Budget, Line 5 or 6 of F155</t>
  </si>
  <si>
    <t xml:space="preserve">  3140 Supplemental General State Aid</t>
  </si>
  <si>
    <t xml:space="preserve">    Land and Low Rent Housing) (formerly PL 874)</t>
  </si>
  <si>
    <t xml:space="preserve">  5208 Transfer From Authorized Funds****</t>
  </si>
  <si>
    <t>NO</t>
  </si>
  <si>
    <t xml:space="preserve">  2460 Commercial Vehicle Tax</t>
  </si>
  <si>
    <t xml:space="preserve">  2460 Commerical Vehicle Tax</t>
  </si>
  <si>
    <t xml:space="preserve">   1140 Delinquent Tax         </t>
  </si>
  <si>
    <t>C030 - no transfer allowed back to general</t>
  </si>
  <si>
    <t>XXXXXXXX</t>
  </si>
  <si>
    <t xml:space="preserve">  1140 Delinquent Tax         </t>
  </si>
  <si>
    <t xml:space="preserve">  1140 Delinquent Tax          </t>
  </si>
  <si>
    <t xml:space="preserve">Commercial </t>
  </si>
  <si>
    <r>
      <t xml:space="preserve">Date the MAIL BALLOT was held to increase LOB authority. </t>
    </r>
    <r>
      <rPr>
        <b/>
        <sz val="10"/>
        <color rgb="FF7030A0"/>
        <rFont val="Arial"/>
        <family val="2"/>
      </rPr>
      <t xml:space="preserve"> (Goes to Code 01.)</t>
    </r>
  </si>
  <si>
    <r>
      <t xml:space="preserve">Enrollment data </t>
    </r>
    <r>
      <rPr>
        <b/>
        <sz val="10"/>
        <color indexed="10"/>
        <rFont val="Arial"/>
        <family val="2"/>
      </rPr>
      <t>(Excludes Virtual)</t>
    </r>
  </si>
  <si>
    <t>Amount (Ancillary Facilities Weighting) approved by Board of Tax Appeals (Transfers to F151 Line 4.c.)</t>
  </si>
  <si>
    <t>Amount (Declining Enrollment Weighting) approved by Board of Tax Appeals (Transfers to F151 Line 4.b.)</t>
  </si>
  <si>
    <r>
      <t xml:space="preserve">   Percent authorized. (Cannot Exceed 33%)</t>
    </r>
    <r>
      <rPr>
        <b/>
        <sz val="10"/>
        <color rgb="FF7030A0"/>
        <rFont val="Arial"/>
        <family val="2"/>
      </rPr>
      <t xml:space="preserve"> (Goes to Form 155)</t>
    </r>
  </si>
  <si>
    <t>Children on Indian Land, Low Rent Housing and Special Education.)</t>
  </si>
  <si>
    <t>calculating Amount Per Pupil for Sumexpen.xlsx and Budget At A Glance (BAG).</t>
  </si>
  <si>
    <t>expires</t>
  </si>
  <si>
    <t>(d)  Date mail ballot held to exceed 30%</t>
  </si>
  <si>
    <t>*Exclude Assessed Valuation due to neighborhood revitalization act (KSA 12-1770, et seg.) and Tax Increment Financing.</t>
  </si>
  <si>
    <t>x</t>
  </si>
  <si>
    <t>UNENCUMBERED CASH BALANCE JUNE 30*</t>
  </si>
  <si>
    <t xml:space="preserve">  965 KPERS</t>
  </si>
  <si>
    <t>Amount in budget per Form 118-Est. Legal Maximum General Fund Budget</t>
  </si>
  <si>
    <t>* Includes Sponsoring district payment to coop fund (Code 78) on Line 250.</t>
  </si>
  <si>
    <t xml:space="preserve">        Coop/Interlocal (Assessments)*    </t>
  </si>
  <si>
    <t>(a)  Interest on Bond Proceeds not Bond and Interest Levy.</t>
  </si>
  <si>
    <t>n/a</t>
  </si>
  <si>
    <t xml:space="preserve">   2600 Other County Revenue (Watercraft) </t>
  </si>
  <si>
    <t>Difference should be zero</t>
  </si>
  <si>
    <t>minus</t>
  </si>
  <si>
    <t>plus</t>
  </si>
  <si>
    <t>Individual bonds entered vs. total comparison</t>
  </si>
  <si>
    <t>F151 over pro-ration</t>
  </si>
  <si>
    <t>$3,852</t>
  </si>
  <si>
    <t>2014-15 Gen</t>
  </si>
  <si>
    <t>2014-15 Supp Gen</t>
  </si>
  <si>
    <t>2014-15 Adult Ed</t>
  </si>
  <si>
    <t>2014-15 Cap Out</t>
  </si>
  <si>
    <t>2014-15 Spec Liab</t>
  </si>
  <si>
    <t>2014-15 Sch Ret</t>
  </si>
  <si>
    <t>2014-15 B&amp;I #1</t>
  </si>
  <si>
    <t>2014-15 B&amp;I #2</t>
  </si>
  <si>
    <t>2014-15 No Fund Warr</t>
  </si>
  <si>
    <t>2014-15 Spec Ass</t>
  </si>
  <si>
    <t>2014-15 Temp Note</t>
  </si>
  <si>
    <t>2014-15 Hist Museum</t>
  </si>
  <si>
    <t>2014-15 Pub Lib Bd</t>
  </si>
  <si>
    <t>2014-15 Pub Lib Emp Ben</t>
  </si>
  <si>
    <t>2014-15 Rec Comm</t>
  </si>
  <si>
    <t>2014-15 Rec Comm Emp Ben</t>
  </si>
  <si>
    <t>2014-15 Extra Growth</t>
  </si>
  <si>
    <t>2014-15 Decl Enr</t>
  </si>
  <si>
    <t>2014-15 COL</t>
  </si>
  <si>
    <t>F155 - J8</t>
  </si>
  <si>
    <t>Open-A146</t>
  </si>
  <si>
    <t>2014 GF Val</t>
  </si>
  <si>
    <t>2014-15 FTE (ex 4YrAR)</t>
  </si>
  <si>
    <t>2014-15 Sped</t>
  </si>
  <si>
    <t>2014-15 LOB Aid</t>
  </si>
  <si>
    <t>2014-15 CTE Trans Aid</t>
  </si>
  <si>
    <t xml:space="preserve">Math &amp; Science Academy. </t>
  </si>
  <si>
    <t>Virtual Student Provision for Form 151</t>
  </si>
  <si>
    <t>**FTE is the audited 9/20 enrollment for the four prior years and estimated for the budget year.  This information is used for</t>
  </si>
  <si>
    <t>BSAPP - F151</t>
  </si>
  <si>
    <t>F150-Weightings - no longer being used</t>
  </si>
  <si>
    <t>F150 - no longer applicable</t>
  </si>
  <si>
    <t xml:space="preserve">   2800 In Lieu of Taxes IRBs/Rental Excise</t>
  </si>
  <si>
    <t xml:space="preserve">  2800 In Lieu of Taxes IRBs/Rental Excise   </t>
  </si>
  <si>
    <t xml:space="preserve">  2800 In Lieu of Taxes IRBs/Rental Excise</t>
  </si>
  <si>
    <t xml:space="preserve">  2800 In Lieu of Taxes IRBs/Rental Excise    </t>
  </si>
  <si>
    <t xml:space="preserve">  2800 In Lieu of Taxes IRBs/Rental Excise     </t>
  </si>
  <si>
    <t>Open - B37</t>
  </si>
  <si>
    <t>Open - C37</t>
  </si>
  <si>
    <t>C08 - C27</t>
  </si>
  <si>
    <t>C08 - D27</t>
  </si>
  <si>
    <t>F151 - E18</t>
  </si>
  <si>
    <t>F242 - E18</t>
  </si>
  <si>
    <t>SumExp - C1658</t>
  </si>
  <si>
    <t>SumExp - E1658</t>
  </si>
  <si>
    <t>Open-A147</t>
  </si>
  <si>
    <t>F151 - C70</t>
  </si>
  <si>
    <t>F151 - C71</t>
  </si>
  <si>
    <t>F155 - E21</t>
  </si>
  <si>
    <t>F151- G24</t>
  </si>
  <si>
    <t>2015-16 COL Pct</t>
  </si>
  <si>
    <t>2014-15 KPERS</t>
  </si>
  <si>
    <t>2012-13 FTE ex 4YrAR</t>
  </si>
  <si>
    <t>FY15 GSA</t>
  </si>
  <si>
    <t>FY15 Virt WTD</t>
  </si>
  <si>
    <t>FY15 COL WTD</t>
  </si>
  <si>
    <t>FY15 Decl WTD</t>
  </si>
  <si>
    <t>FY15 Anc WTD</t>
  </si>
  <si>
    <t>FY15 New WTD</t>
  </si>
  <si>
    <t>FY15 LOB Base GF</t>
  </si>
  <si>
    <t>FY15 PL874</t>
  </si>
  <si>
    <t>BLANK</t>
  </si>
  <si>
    <t xml:space="preserve">  890 Bond Fees      </t>
  </si>
  <si>
    <t xml:space="preserve">  890 Bond Fees </t>
  </si>
  <si>
    <t xml:space="preserve">  890 Bond Fees July-December </t>
  </si>
  <si>
    <t xml:space="preserve">  832 Interest Due July-December </t>
  </si>
  <si>
    <t xml:space="preserve">  831 Principal Due July-December     </t>
  </si>
  <si>
    <t>2015 HSSB 7</t>
  </si>
  <si>
    <t>Comes from F195</t>
  </si>
  <si>
    <t>F244 - E44</t>
  </si>
  <si>
    <t>FY15 Decl Tax Appeal</t>
  </si>
  <si>
    <t>FY15 Ancil Tax Appeal</t>
  </si>
  <si>
    <t>Cell E30 can be overwritten to ensure taxes received will be adequate for State payment</t>
  </si>
  <si>
    <t>Cell E28 can be overwritten to ensure taxes received will be adequate for State Payment</t>
  </si>
  <si>
    <t xml:space="preserve">   Excess Revenue to state (N/A)</t>
  </si>
  <si>
    <t>C016 - D35</t>
  </si>
  <si>
    <t>Bond Elections Prior to July 1, 2015</t>
  </si>
  <si>
    <t>Return to Contents</t>
  </si>
  <si>
    <t xml:space="preserve">I hereby certify that the budget amounts and expenditures within this document are in compliance with the Kansas Accounting Handbook to the best of my knowledge. </t>
  </si>
  <si>
    <t>USD# and Name:</t>
  </si>
  <si>
    <t>Superintendent:</t>
  </si>
  <si>
    <r>
      <t xml:space="preserve">   </t>
    </r>
    <r>
      <rPr>
        <b/>
        <u/>
        <sz val="10"/>
        <color indexed="56"/>
        <rFont val="Arial"/>
        <family val="2"/>
      </rPr>
      <t>No data is entered on this sheet</t>
    </r>
    <r>
      <rPr>
        <b/>
        <u/>
        <sz val="10"/>
        <color indexed="56"/>
        <rFont val="Arial"/>
        <family val="2"/>
      </rPr>
      <t>:</t>
    </r>
  </si>
  <si>
    <t>Date:</t>
  </si>
  <si>
    <t xml:space="preserve">   Superintendent should sign document once printed.</t>
  </si>
  <si>
    <t>Form 0-135-110</t>
  </si>
  <si>
    <t>PAGE 1</t>
  </si>
  <si>
    <t>District Name</t>
  </si>
  <si>
    <t>No.</t>
  </si>
  <si>
    <t xml:space="preserve">Kansas State Department of Education    </t>
  </si>
  <si>
    <t>COMBINED</t>
  </si>
  <si>
    <t>TAX IN PROCESS OF COLLECTION AND INFORMATION NEEDED</t>
  </si>
  <si>
    <t>FROM THE COUNTY TREASURER TO PREPARE UNIFIED SCHOOL DISTRICT BUDGET FORMS</t>
  </si>
  <si>
    <t>FORM 110</t>
  </si>
  <si>
    <t>Supplemental</t>
  </si>
  <si>
    <t>Capital</t>
  </si>
  <si>
    <t>Bond and</t>
  </si>
  <si>
    <t>Outlay</t>
  </si>
  <si>
    <t>Interest</t>
  </si>
  <si>
    <t>Recreation</t>
  </si>
  <si>
    <t>3.  Less:  percent of delinquent taxes  (3a)</t>
  </si>
  <si>
    <t>7.  Less:  County Taxes received**</t>
  </si>
  <si>
    <t>8.  Less:  County Taxes received**</t>
  </si>
  <si>
    <t>9.  Less:  Taxes refunded/abated</t>
  </si>
  <si>
    <t>10. Total Deductions (add Lines 3+4+5+6+7+8+9)</t>
  </si>
  <si>
    <t>12. Estimated Revenue from Delinquent</t>
  </si>
  <si>
    <t xml:space="preserve">     Taxes during the next 18 months</t>
  </si>
  <si>
    <t>Tax Collection Ratio (Jan, Mar, June)</t>
  </si>
  <si>
    <t>TABLE I</t>
  </si>
  <si>
    <t>2.  Estimated percent of distribution (Jan., Mar., June)</t>
  </si>
  <si>
    <t>(Must total 100%)</t>
  </si>
  <si>
    <t>and does not include MVPT.)   Include Watercraft Tax if USD received payment direct from county.   ***Exclude any assessed valuation due to the neighborhood</t>
  </si>
  <si>
    <t>revitalization act and tax increment financing.</t>
  </si>
  <si>
    <t>PAGE 2</t>
  </si>
  <si>
    <t>Adult</t>
  </si>
  <si>
    <t xml:space="preserve">Special </t>
  </si>
  <si>
    <t xml:space="preserve">School </t>
  </si>
  <si>
    <t>Bond &amp;</t>
  </si>
  <si>
    <t>Education</t>
  </si>
  <si>
    <t>Liability</t>
  </si>
  <si>
    <t>Retirement</t>
  </si>
  <si>
    <t>3.  Less:  percent of delinquent taxes</t>
  </si>
  <si>
    <t>10. Total Deductions (Add lines 3+4+5+6+7+8+9)</t>
  </si>
  <si>
    <t>12.  Estimated Revenue from Delinquent</t>
  </si>
  <si>
    <t>Estimated Motor</t>
  </si>
  <si>
    <t>Estimated Recreational Vehicle</t>
  </si>
  <si>
    <t>Estimated In Lieu of Taxes</t>
  </si>
  <si>
    <t>Vehicle Property Tax*</t>
  </si>
  <si>
    <t>on Industrial Revenue Bonds*</t>
  </si>
  <si>
    <t>Estimated 16/20M Tax*</t>
  </si>
  <si>
    <t>Estimated Commercial Vehicle Tax*</t>
  </si>
  <si>
    <t>Percent Uncollected*</t>
  </si>
  <si>
    <t xml:space="preserve"> records and does not include MVPT.)   Include Watercraft Tax if USD received payment direct from county.</t>
  </si>
  <si>
    <t>PAGE 3</t>
  </si>
  <si>
    <t>No Fund</t>
  </si>
  <si>
    <t>Special</t>
  </si>
  <si>
    <t>Temporary</t>
  </si>
  <si>
    <t>Historical</t>
  </si>
  <si>
    <t>Public</t>
  </si>
  <si>
    <t>Warrant</t>
  </si>
  <si>
    <t>Assessment</t>
  </si>
  <si>
    <t>Note</t>
  </si>
  <si>
    <t>Museum</t>
  </si>
  <si>
    <t>Library</t>
  </si>
  <si>
    <t>PAGE 4</t>
  </si>
  <si>
    <t>Extraordinary</t>
  </si>
  <si>
    <t>Public Library</t>
  </si>
  <si>
    <t>Declining</t>
  </si>
  <si>
    <t>Growth</t>
  </si>
  <si>
    <t>Board</t>
  </si>
  <si>
    <t xml:space="preserve">Cost of </t>
  </si>
  <si>
    <t>Enrollment</t>
  </si>
  <si>
    <t>Facilities</t>
  </si>
  <si>
    <t>Emp Benefits</t>
  </si>
  <si>
    <t>Living</t>
  </si>
  <si>
    <t>M:Form 110</t>
  </si>
  <si>
    <t>School</t>
  </si>
  <si>
    <t xml:space="preserve">Bond &amp; </t>
  </si>
  <si>
    <t>7.  Less:  County Taxes Received*</t>
  </si>
  <si>
    <t>8.  Less:  County Taxes Received*</t>
  </si>
  <si>
    <t>10.  Total Deductions (Add lines 3+4+5+6+7+8+9)</t>
  </si>
  <si>
    <t>Cost of</t>
  </si>
  <si>
    <t xml:space="preserve">      Taxes during the next 18 months</t>
  </si>
  <si>
    <t>Form 0-135-118</t>
  </si>
  <si>
    <t>KANSAS STATE BOARD OF EDUCATION</t>
  </si>
  <si>
    <t>FORM 118</t>
  </si>
  <si>
    <t>GENERAL AID—SPECIAL EDUCATION FUND</t>
  </si>
  <si>
    <t>(This form should be included with the budget document and filed with the State Board of Education)</t>
  </si>
  <si>
    <t>1.  Estimated number of Special Education Teachers (FTE*)</t>
  </si>
  <si>
    <t xml:space="preserve">2.  Estimated (FTE*)Special Education Paraprofessionals </t>
  </si>
  <si>
    <t>times .4  =</t>
  </si>
  <si>
    <t>3.  Total number of Special Education Teachers (Line 1 + Line 2)</t>
  </si>
  <si>
    <t>*Full-time equivalency</t>
  </si>
  <si>
    <t>TRANSPORTATION AID — SPECIAL EDUCATION</t>
  </si>
  <si>
    <t xml:space="preserve">Reimbursed Transportation Costs for Special Education.  </t>
  </si>
  <si>
    <t xml:space="preserve">5.  Salaries of Bus Drivers and Transportation Aides (includes social security </t>
  </si>
  <si>
    <t xml:space="preserve">     and fringe benefits)</t>
  </si>
  <si>
    <t>6.  Contractual Services (includes mileage paid to parents)</t>
  </si>
  <si>
    <t>7.  Insurance</t>
  </si>
  <si>
    <t>8.  Maintenance in Lieu of Transportation (limited to $750 per child)</t>
  </si>
  <si>
    <t>9.  Other Expense (gasoline, oil, vehicle maintenance, etc.)</t>
  </si>
  <si>
    <t>10. Capital Outlay Fund—Equipment (exclude bus purchases)</t>
  </si>
  <si>
    <t>11. Depreciation (Includes only those vehicles which are not depreciated in the regular</t>
  </si>
  <si>
    <t xml:space="preserve">      transportation formula.  See depreciation schedule for prior year.)</t>
  </si>
  <si>
    <t>12. Teacher travel (in-district)</t>
  </si>
  <si>
    <t>13. Total of Lines 5 through 12</t>
  </si>
  <si>
    <t>14.  Less:  Transportation reimbursement (include cash sale of buses, EXCLUDE State Aid)</t>
  </si>
  <si>
    <t>15. Net Transportation Cost (Line 13 minus Line 14)</t>
  </si>
  <si>
    <t>18.  Estimated Medicaid Replacement State Aid</t>
  </si>
  <si>
    <t>19.  Estimated Special Education State Aid on behalf of Cooperative/Interlocal (Form 120)</t>
  </si>
  <si>
    <t xml:space="preserve">            </t>
  </si>
  <si>
    <r>
      <t>TRANSFER CASH BALANCES TO GENERAL FUND</t>
    </r>
    <r>
      <rPr>
        <b/>
        <sz val="10"/>
        <color rgb="FFFF0000"/>
        <rFont val="Arial"/>
        <family val="2"/>
      </rPr>
      <t xml:space="preserve"> </t>
    </r>
    <r>
      <rPr>
        <b/>
        <i/>
        <sz val="10"/>
        <color rgb="FFFF0000"/>
        <rFont val="Arial"/>
        <family val="2"/>
      </rPr>
      <t>(OPTIONAL)</t>
    </r>
  </si>
  <si>
    <t>Transfer to General</t>
  </si>
  <si>
    <t>At-risk (K-12)</t>
  </si>
  <si>
    <t>Bilingual Education</t>
  </si>
  <si>
    <t>Contingency Reserve Fund</t>
  </si>
  <si>
    <t>Driver Education</t>
  </si>
  <si>
    <t>Parent Education Program</t>
  </si>
  <si>
    <t>At-risk (4 Year Old)</t>
  </si>
  <si>
    <t>Professional Development</t>
  </si>
  <si>
    <t>Summer School</t>
  </si>
  <si>
    <t>Virtual Education</t>
  </si>
  <si>
    <t>Vocational Education</t>
  </si>
  <si>
    <t>Textbook and Student 
Material Revolving</t>
  </si>
  <si>
    <t>= number of errors in Question #1</t>
  </si>
  <si>
    <t>2)</t>
  </si>
  <si>
    <t>What is the maximum amount that can be used of the cash balance to help increase</t>
  </si>
  <si>
    <t>3)</t>
  </si>
  <si>
    <t>is either the answer in question 1 column 4 or question 2 (whichever is lower).</t>
  </si>
  <si>
    <t>This amount will be transferred to Line 19 of Form 150.</t>
  </si>
  <si>
    <t xml:space="preserve">*You cannot transfer more than one-third of the cash balance for the special education fund or the </t>
  </si>
  <si>
    <t>textbook and student materials revolving fund.</t>
  </si>
  <si>
    <r>
      <rPr>
        <b/>
        <sz val="8"/>
        <color rgb="FF0070C0"/>
        <rFont val="Arial"/>
        <family val="2"/>
      </rPr>
      <t>Note:</t>
    </r>
    <r>
      <rPr>
        <sz val="8"/>
        <color rgb="FF0070C0"/>
        <rFont val="Arial"/>
        <family val="2"/>
      </rPr>
      <t xml:space="preserve">  If you have questions on the budget, please contact the School Finance office at 785-296-3871.</t>
    </r>
  </si>
  <si>
    <t>USD Form 151</t>
  </si>
  <si>
    <t>GENERAL FUND BUDGET AUTHORITY</t>
  </si>
  <si>
    <t>Computing without COL</t>
  </si>
  <si>
    <t xml:space="preserve">A.  Full-Time Virtual </t>
  </si>
  <si>
    <t>FTE      x</t>
  </si>
  <si>
    <t>B.  Part-Time Virtual</t>
  </si>
  <si>
    <t>Credits  x</t>
  </si>
  <si>
    <t>*No student shall be counted for more than 6 credits per year</t>
  </si>
  <si>
    <t xml:space="preserve">     Total Virtual State Aid  (2.A through 2.C)</t>
  </si>
  <si>
    <t xml:space="preserve">4.  Special Levies </t>
  </si>
  <si>
    <r>
      <t xml:space="preserve">B.  </t>
    </r>
    <r>
      <rPr>
        <sz val="10"/>
        <color rgb="FF0070C0"/>
        <rFont val="Arial"/>
        <family val="2"/>
      </rPr>
      <t>Declining Enrollment Tax Appeal</t>
    </r>
  </si>
  <si>
    <t>4.B.</t>
  </si>
  <si>
    <r>
      <t xml:space="preserve">C.  </t>
    </r>
    <r>
      <rPr>
        <sz val="10"/>
        <color theme="9" tint="-0.249977111117893"/>
        <rFont val="Arial"/>
        <family val="2"/>
      </rPr>
      <t>Ancillary Facilities Tax Appeal</t>
    </r>
  </si>
  <si>
    <t xml:space="preserve">     Total Special Levies (4.A through 4.C)</t>
  </si>
  <si>
    <t>Enter Amount to use for 4.B.</t>
  </si>
  <si>
    <t>4.C.</t>
  </si>
  <si>
    <t>5.  Federal Impact Aid PL382 (formerly PL874)</t>
  </si>
  <si>
    <t>Enter Amount to use for 4.C.</t>
  </si>
  <si>
    <t xml:space="preserve"> x   70%</t>
  </si>
  <si>
    <t xml:space="preserve">    Difference (5.A minus 5.B unless negative then zero)</t>
  </si>
  <si>
    <t>6.  General State Aid Over-Proration (Table II)</t>
  </si>
  <si>
    <t xml:space="preserve">    (goes to c06 line 95)</t>
  </si>
  <si>
    <t xml:space="preserve">    (goes to c06 line 120)</t>
  </si>
  <si>
    <t xml:space="preserve">    (goes to c06, Line 125)</t>
  </si>
  <si>
    <t>Table I</t>
  </si>
  <si>
    <t>Adjusted General State Aid Calculation</t>
  </si>
  <si>
    <t xml:space="preserve">A.  Cost of Living              </t>
  </si>
  <si>
    <t xml:space="preserve">B.  Declining Enrollment      </t>
  </si>
  <si>
    <t xml:space="preserve">C.  Ancillary Facilities         </t>
  </si>
  <si>
    <t xml:space="preserve">     Total Special Levies State Aid (3.A through 3.C)</t>
  </si>
  <si>
    <t>4.  Less Amount to fund Extraordinary Need State Aid (Line 1 minus (Line 2 + Line 3) x 0.4%)</t>
  </si>
  <si>
    <t>Table II</t>
  </si>
  <si>
    <t>General State Aid Over-Proration FTE Calculation</t>
  </si>
  <si>
    <t>+</t>
  </si>
  <si>
    <t>(line 1)</t>
  </si>
  <si>
    <t xml:space="preserve"> )/3=</t>
  </si>
  <si>
    <t>(goes to line 3)</t>
  </si>
  <si>
    <t xml:space="preserve">     (goes to Line 6, Form 151)</t>
  </si>
  <si>
    <t>Kansas Department of Education</t>
  </si>
  <si>
    <t>Form 0-135-155</t>
  </si>
  <si>
    <t>FORM  155</t>
  </si>
  <si>
    <t xml:space="preserve">           If motion passed, this will be effective for FY17 too.</t>
  </si>
  <si>
    <t>School year it expires</t>
  </si>
  <si>
    <t>Expires</t>
  </si>
  <si>
    <r>
      <t xml:space="preserve">            (</t>
    </r>
    <r>
      <rPr>
        <b/>
        <sz val="10"/>
        <rFont val="Arial"/>
        <family val="2"/>
      </rPr>
      <t>2014-15</t>
    </r>
    <r>
      <rPr>
        <sz val="10"/>
        <rFont val="Arial"/>
        <family val="2"/>
      </rPr>
      <t xml:space="preserve"> LOB Base General Fund    $</t>
    </r>
  </si>
  <si>
    <t>X Line 4) .................................................</t>
  </si>
  <si>
    <t>KSBE-LEA FINANCE</t>
  </si>
  <si>
    <t xml:space="preserve">      KANSAS STATE DEPARTMENT OF EDUCATION             </t>
  </si>
  <si>
    <t>Form 0-135-162</t>
  </si>
  <si>
    <t>Form 162</t>
  </si>
  <si>
    <t xml:space="preserve">             ESTIMATED FOOD SERVICE REVENUE                                </t>
  </si>
  <si>
    <t>This form should be included with the budget document and filed with the State Department of Education.</t>
  </si>
  <si>
    <t>DISTRICT</t>
  </si>
  <si>
    <t>ANNUAL</t>
  </si>
  <si>
    <t>FEDERAL</t>
  </si>
  <si>
    <t>STATE</t>
  </si>
  <si>
    <t>LOCAL</t>
  </si>
  <si>
    <t>MEALS</t>
  </si>
  <si>
    <t>RATE</t>
  </si>
  <si>
    <t>Reimbursement</t>
  </si>
  <si>
    <t>PRICE</t>
  </si>
  <si>
    <t>REVENUE</t>
  </si>
  <si>
    <t>LUNCHES</t>
  </si>
  <si>
    <t>Paid Elem</t>
  </si>
  <si>
    <t xml:space="preserve">       Jr. High</t>
  </si>
  <si>
    <t xml:space="preserve">       Sr. High</t>
  </si>
  <si>
    <t>Free</t>
  </si>
  <si>
    <t>Reduced</t>
  </si>
  <si>
    <t>BREAKFAST</t>
  </si>
  <si>
    <t xml:space="preserve">     Jr. High</t>
  </si>
  <si>
    <t xml:space="preserve">     Sr. High</t>
  </si>
  <si>
    <t>SNACKS</t>
  </si>
  <si>
    <t>KINDERGARTEN</t>
  </si>
  <si>
    <t>MILK</t>
  </si>
  <si>
    <t>Paid</t>
  </si>
  <si>
    <t>Free-Avg Dealer Cost</t>
  </si>
  <si>
    <t>OTHER CASH</t>
  </si>
  <si>
    <t>Sales/Income</t>
  </si>
  <si>
    <t>12 Months</t>
  </si>
  <si>
    <t>Total  Income</t>
  </si>
  <si>
    <t>0-135-194</t>
  </si>
  <si>
    <t xml:space="preserve">Rev. </t>
  </si>
  <si>
    <t>KANSAS STATE DEPARTMENT OF EDUCATION</t>
  </si>
  <si>
    <t>FORM 194</t>
  </si>
  <si>
    <t>Proration of Estimated Motor Vehicle Property Tax, Recreational Vehicle Property Tax,</t>
  </si>
  <si>
    <t>Do Not Anticipate Revenues from Motor Vehicle Property Tax, Recreational Vehicle Property Tax and In Lieu of Taxes on Ind. Rev. Bonds</t>
  </si>
  <si>
    <t>Percent of Total</t>
  </si>
  <si>
    <t>Recreational Vehicle</t>
  </si>
  <si>
    <t>In Lieu of Taxes in</t>
  </si>
  <si>
    <t>Commercial</t>
  </si>
  <si>
    <t>(Dollars)(a)</t>
  </si>
  <si>
    <t>Taxes Levied (b)</t>
  </si>
  <si>
    <t>Property Tax (d)</t>
  </si>
  <si>
    <t>Taxes Levied (f)</t>
  </si>
  <si>
    <t>Ind. Rev. Bonds (g)</t>
  </si>
  <si>
    <t>16/20M Tax (d)</t>
  </si>
  <si>
    <t>Vehicle Tax (d)</t>
  </si>
  <si>
    <t>Computes using whole General Fund (col. 4) (comes from Open)</t>
  </si>
  <si>
    <t>General (No MVPT or RVPT)</t>
  </si>
  <si>
    <t>XXXXXXXXXXXXX</t>
  </si>
  <si>
    <t>Supplemental Gen. Fund</t>
  </si>
  <si>
    <t>Temporary Notes</t>
  </si>
  <si>
    <t xml:space="preserve">Public Library Board Emp Benefits </t>
  </si>
  <si>
    <t>(c)</t>
  </si>
  <si>
    <t>(e)</t>
  </si>
  <si>
    <t>(a)</t>
  </si>
  <si>
    <t>(b)</t>
  </si>
  <si>
    <t>Divide each fund's tax levy by total tax dollars levied.</t>
  </si>
  <si>
    <t>Should equal 100 percent.</t>
  </si>
  <si>
    <t>(d)</t>
  </si>
  <si>
    <t>Take the amount on line 21 times the calculated percentage for each fund from column 2.</t>
  </si>
  <si>
    <t xml:space="preserve">Take the amount on Form 110, Page 2, Lines 13, 14, 15, 16 and 17 and multiply by .67. </t>
  </si>
  <si>
    <t>(f)</t>
  </si>
  <si>
    <t>(g)</t>
  </si>
  <si>
    <t>0-135-194a</t>
  </si>
  <si>
    <t>FORM 194-A</t>
  </si>
  <si>
    <t>Proration of Estimated Motor Vehicle Property Tax, Recreational Vehicle Property Tax</t>
  </si>
  <si>
    <t>and In Lieu of Taxes on Industrial Revenue Bonds</t>
  </si>
  <si>
    <t>Computes using whole General Fund (comes from F110)</t>
  </si>
  <si>
    <t>Public Library Board Emp Benefits</t>
  </si>
  <si>
    <t xml:space="preserve">Take the amount on Form 110, Page 2, lines 13, 14, 15, 16 and 17 and multiply by .33. </t>
  </si>
  <si>
    <t>Form 0-135-195</t>
  </si>
  <si>
    <t>FORM 195</t>
  </si>
  <si>
    <t>(This form should be included with the budget document and filed with the State Department of Education.)</t>
  </si>
  <si>
    <t>ESTIMATED STATE AID</t>
  </si>
  <si>
    <t>A.  Driver Education Aid (Approved Programs Only)</t>
  </si>
  <si>
    <t xml:space="preserve">      pupils completing program</t>
  </si>
  <si>
    <t>B.  Motorcycle Safety Aid (Approved Programs Only)</t>
  </si>
  <si>
    <t xml:space="preserve">      safety pupils completing program</t>
  </si>
  <si>
    <t>C.  Estimated KPERS Flow-Through</t>
  </si>
  <si>
    <t>3.  Est. KPERS State Aid due to salary increases and added staff</t>
  </si>
  <si>
    <t xml:space="preserve">   ((Line 1 + Line 2) X % of salary increase and added staff</t>
  </si>
  <si>
    <t>%)</t>
  </si>
  <si>
    <t>Rev.</t>
  </si>
  <si>
    <t>Form 196</t>
  </si>
  <si>
    <t>Career and Technical Education</t>
  </si>
  <si>
    <t xml:space="preserve">State Aid  for Transportation to </t>
  </si>
  <si>
    <t>Community Colleges/Technical Colleges</t>
  </si>
  <si>
    <t>Transportation for 11th and 12th grade pupils attending Career &amp; Technical</t>
  </si>
  <si>
    <t>programs/courses at community colleges/technical colleges</t>
  </si>
  <si>
    <t>School Bus - Types C &amp; D</t>
  </si>
  <si>
    <t>Total number of miles to and from community college/technical college</t>
  </si>
  <si>
    <t>School Bus - Types A &amp; B</t>
  </si>
  <si>
    <t>Suburbans &amp; Vans*</t>
  </si>
  <si>
    <t xml:space="preserve">*This applies to transportation provided by school districts.  Do not include mileage for </t>
  </si>
  <si>
    <t xml:space="preserve"> students that choose to drive their own vehicle.</t>
  </si>
  <si>
    <t>FORM 242</t>
  </si>
  <si>
    <t>BOND AND INTEREST FUND #1</t>
  </si>
  <si>
    <t>ESTIMATED BOND AND INTEREST FUND STATE AID PAYMENTS</t>
  </si>
  <si>
    <t>(Bond Elections Prior July 1, 2015)</t>
  </si>
  <si>
    <t>Does not include asbestos bonds and capital outlay bonds.  State aid applies only to general</t>
  </si>
  <si>
    <t>obligation bonds passed in a referendum.</t>
  </si>
  <si>
    <t>2.  Estimated Federal Tax Credit (Build America Bonds)</t>
  </si>
  <si>
    <t>3.  Estimated bond and interest state aid.  (Line 1 minus Line 2) x factor</t>
  </si>
  <si>
    <t>4.  Less prior year overpayment</t>
  </si>
  <si>
    <t>-</t>
  </si>
  <si>
    <t>5.  Less transfer from LOB*</t>
  </si>
  <si>
    <t>6.  Estimated bond and interest fund state aid payment</t>
  </si>
  <si>
    <t>* 2015HSSB7.  Only if specified in LOB Resolution.</t>
  </si>
  <si>
    <t xml:space="preserve">                                                FORM 244</t>
  </si>
  <si>
    <t xml:space="preserve">USD # </t>
  </si>
  <si>
    <t>FORM 242-A</t>
  </si>
  <si>
    <t>BOND AND INTEREST FUND #2</t>
  </si>
  <si>
    <t>3.  Estimated bond and interest state aid. (Line 1 minus Line 2) x factor</t>
  </si>
  <si>
    <t>FORM 244-A</t>
  </si>
  <si>
    <t>Form 250 Building Expenditures Report</t>
  </si>
  <si>
    <r>
      <rPr>
        <b/>
        <i/>
        <sz val="10"/>
        <color rgb="FFFF0000"/>
        <rFont val="Arial"/>
        <family val="2"/>
      </rPr>
      <t>Optional</t>
    </r>
    <r>
      <rPr>
        <b/>
        <sz val="10"/>
        <color rgb="FFFF0000"/>
        <rFont val="Arial"/>
        <family val="2"/>
      </rPr>
      <t xml:space="preserve"> </t>
    </r>
    <r>
      <rPr>
        <b/>
        <sz val="10"/>
        <rFont val="Arial"/>
        <family val="2"/>
      </rPr>
      <t>Budget Worksheet for District Use Only:</t>
    </r>
  </si>
  <si>
    <t>USD:</t>
  </si>
  <si>
    <t>Computing Expenditures per Pupil by Building</t>
  </si>
  <si>
    <t>Estimated</t>
  </si>
  <si>
    <t>Building</t>
  </si>
  <si>
    <t>Bldg No.</t>
  </si>
  <si>
    <t>Building Name</t>
  </si>
  <si>
    <t>per Pupil</t>
  </si>
  <si>
    <t>Form Amend</t>
  </si>
  <si>
    <t>BUDGET AMENDMENT INSTRUCTIONS</t>
  </si>
  <si>
    <t xml:space="preserve">Budget amendments as authorized by K.S.A. 79-2929a are permitted to increase the original budget for </t>
  </si>
  <si>
    <t>"…previously unbudgeted increases in revenue other than ad valorem property taxes."</t>
  </si>
  <si>
    <t>K.S.A. 79-2929a(b)… "All such budget information shall be filed electronically with the county clerk."</t>
  </si>
  <si>
    <t>AMENDMENT PROCEDURES</t>
  </si>
  <si>
    <t xml:space="preserve">     amended.  At least ten days must elapse between Steps 1 and 2.</t>
  </si>
  <si>
    <t>2.  Hold the hearing on amending the budget as scheduled in Step 1.</t>
  </si>
  <si>
    <r>
      <t xml:space="preserve">3.  Electronically file </t>
    </r>
    <r>
      <rPr>
        <u/>
        <sz val="10"/>
        <rFont val="Arial"/>
        <family val="2"/>
      </rPr>
      <t>one</t>
    </r>
    <r>
      <rPr>
        <sz val="10"/>
        <rFont val="Arial"/>
        <family val="2"/>
      </rPr>
      <t xml:space="preserve"> copy of the following forms with the county clerk </t>
    </r>
    <r>
      <rPr>
        <u/>
        <sz val="10"/>
        <rFont val="Arial"/>
        <family val="2"/>
      </rPr>
      <t>and</t>
    </r>
    <r>
      <rPr>
        <sz val="10"/>
        <rFont val="Arial"/>
        <family val="2"/>
      </rPr>
      <t/>
    </r>
  </si>
  <si>
    <r>
      <t xml:space="preserve">     file </t>
    </r>
    <r>
      <rPr>
        <u/>
        <sz val="10"/>
        <rFont val="Arial"/>
        <family val="2"/>
      </rPr>
      <t>one</t>
    </r>
    <r>
      <rPr>
        <sz val="10"/>
        <rFont val="Arial"/>
        <family val="2"/>
      </rPr>
      <t xml:space="preserve"> paper copy of the following forms with the State Department of Education (School Finance):</t>
    </r>
  </si>
  <si>
    <t xml:space="preserve">          - Certificate page (Code 01)</t>
  </si>
  <si>
    <t xml:space="preserve">          - Individual fund budget for each fund being amended</t>
  </si>
  <si>
    <t xml:space="preserve">          - Notice of Hearing (Code 99)</t>
  </si>
  <si>
    <t xml:space="preserve">          - Proof of Publication </t>
  </si>
  <si>
    <r>
      <t xml:space="preserve">          </t>
    </r>
    <r>
      <rPr>
        <sz val="10"/>
        <color rgb="FF0070C0"/>
        <rFont val="Arial"/>
        <family val="2"/>
      </rPr>
      <t>- Amend Form</t>
    </r>
  </si>
  <si>
    <t xml:space="preserve">Before amending the budget, be sure it is necessary.  Certain revenue is exempt from the budget law.  </t>
  </si>
  <si>
    <t>Also, remember that a budget cannot be amended after the year is completed.   We recommend that an explanation</t>
  </si>
  <si>
    <t>be included in the heading so taxpayers understand why an amendment is necessary.</t>
  </si>
  <si>
    <t>NOTICE OF HEARING ON</t>
  </si>
  <si>
    <t>hearing and answering objections of taxpayers relating to the proposed amended use of funds.</t>
  </si>
  <si>
    <t>SUMMARY OF AMENDMENTS</t>
  </si>
  <si>
    <t>Proposed Amendment</t>
  </si>
  <si>
    <t xml:space="preserve">of Tax to </t>
  </si>
  <si>
    <t xml:space="preserve">and </t>
  </si>
  <si>
    <t>Transfers</t>
  </si>
  <si>
    <t>Clerk</t>
  </si>
  <si>
    <t>It is recommended that these instructions be saved to use in case you have to amend your budget.</t>
  </si>
  <si>
    <t>Unencumbered Cash Balance by Fund</t>
  </si>
  <si>
    <t>Fund #</t>
  </si>
  <si>
    <t>At Risk (4yr Old)</t>
  </si>
  <si>
    <t>Adult Supplemental Education</t>
  </si>
  <si>
    <t>At Risk (K-12)</t>
  </si>
  <si>
    <t>Driver Training</t>
  </si>
  <si>
    <t>Extraordinary School Program</t>
  </si>
  <si>
    <t>Food Service</t>
  </si>
  <si>
    <t>Special Education</t>
  </si>
  <si>
    <t>Gifts/Grants</t>
  </si>
  <si>
    <t>Special Liability</t>
  </si>
  <si>
    <t>Special Reserve</t>
  </si>
  <si>
    <t>KPERS Spec. Ret. Contribution</t>
  </si>
  <si>
    <t>Contingency Reserve</t>
  </si>
  <si>
    <t>Text Book &amp; Student Material</t>
  </si>
  <si>
    <t>Activity Fund</t>
  </si>
  <si>
    <t>Tuition Reimbursement</t>
  </si>
  <si>
    <t>Bond and Interest #1</t>
  </si>
  <si>
    <t>Bond and Interest #2</t>
  </si>
  <si>
    <t>Special Education Coop</t>
  </si>
  <si>
    <t>USD TOTAL</t>
  </si>
  <si>
    <t>Enrollment (FTE)*</t>
  </si>
  <si>
    <t>Amount per Pupil</t>
  </si>
  <si>
    <t>Public Lib. Emp. Benefits</t>
  </si>
  <si>
    <t>Recreation Commission</t>
  </si>
  <si>
    <t>Rec. Comm. Emp. Benefits</t>
  </si>
  <si>
    <t>OTHER TOTAL</t>
  </si>
  <si>
    <t>NOTE:  Gifts/Grants includes private grants and grants from nonfederal sources.</t>
  </si>
  <si>
    <t xml:space="preserve">Amount per pupil excludes the following funds:  Special Assessment, Historical Museum, Public Library, </t>
  </si>
  <si>
    <t>Public Lib. Emp. Benefits, Recreation Commission and Rec. Comm. Emp. Benefits.</t>
  </si>
  <si>
    <t>*Enrollment (FTE) includes the enrollment of the district used for state aid and budget authority.</t>
  </si>
  <si>
    <t>Headings (Certify, C01, C099 &amp; Amend)</t>
  </si>
  <si>
    <t>Salaries page</t>
  </si>
  <si>
    <t>Certify-Superintendent must sign!</t>
  </si>
  <si>
    <t>Form 110-Tax in Process</t>
  </si>
  <si>
    <t>Form 118-Estimated Special Education Aid</t>
  </si>
  <si>
    <t>Form 149-Transfer Cash Balances (OPTIONAL)</t>
  </si>
  <si>
    <t>Form 151-General Fund Budget Authority</t>
  </si>
  <si>
    <t>Form 155-Local Option Budget (Supplemental General Fund)</t>
  </si>
  <si>
    <t>Form 162-Estimated Food Service Revenue</t>
  </si>
  <si>
    <t>Form 194-Estimated Motor Vehicle Tax and IRB Payments</t>
  </si>
  <si>
    <t>Form 196-Estimated State Aid for Transportation to Comm Colleges/Technical Colleges</t>
  </si>
  <si>
    <t>Form 242-Estimated Bond &amp; Interest #1 State Aid</t>
  </si>
  <si>
    <t>Form 242A-Estimated Bond &amp; Interest #2 State Aid</t>
  </si>
  <si>
    <t>Form 250-Building Expenditures Report (OPTIONAL)</t>
  </si>
  <si>
    <t>Cash Balances on all funds</t>
  </si>
  <si>
    <t>District:</t>
  </si>
  <si>
    <t>Year:</t>
  </si>
  <si>
    <t>In order to help you fill out the headings on the Certify, Certificate (C01), Notice of Hearing (CO99) and Amendment (Amend),</t>
  </si>
  <si>
    <t>fill in the information on this sheet and it will be transferred over to the correct places.</t>
  </si>
  <si>
    <t>Certificate (C01):</t>
  </si>
  <si>
    <t>(Comes from the county entered on the Open page and makes it all caps.)</t>
  </si>
  <si>
    <t>…acting officers of …</t>
  </si>
  <si>
    <t>Notice of Hearing (CO99):</t>
  </si>
  <si>
    <t>The governing body of</t>
  </si>
  <si>
    <t xml:space="preserve">will meet on the </t>
  </si>
  <si>
    <r>
      <t xml:space="preserve">(numerical day of month, for example: </t>
    </r>
    <r>
      <rPr>
        <sz val="10"/>
        <color indexed="10"/>
        <rFont val="Arial"/>
        <family val="2"/>
      </rPr>
      <t>6th</t>
    </r>
    <r>
      <rPr>
        <sz val="10"/>
        <rFont val="Arial"/>
        <family val="2"/>
      </rPr>
      <t>)</t>
    </r>
  </si>
  <si>
    <t>day of</t>
  </si>
  <si>
    <r>
      <t xml:space="preserve">(Month spelled out, for example:  </t>
    </r>
    <r>
      <rPr>
        <sz val="10"/>
        <color indexed="10"/>
        <rFont val="Arial"/>
        <family val="2"/>
      </rPr>
      <t>August</t>
    </r>
    <r>
      <rPr>
        <sz val="10"/>
        <rFont val="Arial"/>
        <family val="2"/>
      </rPr>
      <t>)</t>
    </r>
  </si>
  <si>
    <t>at</t>
  </si>
  <si>
    <r>
      <t xml:space="preserve">(time, for example: </t>
    </r>
    <r>
      <rPr>
        <sz val="10"/>
        <color indexed="10"/>
        <rFont val="Arial"/>
        <family val="2"/>
      </rPr>
      <t xml:space="preserve"> 8:30 AM</t>
    </r>
    <r>
      <rPr>
        <sz val="10"/>
        <rFont val="Arial"/>
        <family val="2"/>
      </rPr>
      <t>)</t>
    </r>
  </si>
  <si>
    <r>
      <t xml:space="preserve">(street address for location of meeting, for example:  </t>
    </r>
    <r>
      <rPr>
        <sz val="10"/>
        <color indexed="10"/>
        <rFont val="Arial"/>
        <family val="2"/>
      </rPr>
      <t>131 East Commercial</t>
    </r>
    <r>
      <rPr>
        <sz val="10"/>
        <rFont val="Arial"/>
        <family val="2"/>
      </rPr>
      <t>)</t>
    </r>
  </si>
  <si>
    <t>…budget information is available at…</t>
  </si>
  <si>
    <r>
      <t xml:space="preserve">(location budget information can be found on any day, for example:  </t>
    </r>
    <r>
      <rPr>
        <sz val="10"/>
        <color indexed="10"/>
        <rFont val="Arial"/>
        <family val="2"/>
      </rPr>
      <t>district office</t>
    </r>
    <r>
      <rPr>
        <sz val="10"/>
        <rFont val="Arial"/>
        <family val="2"/>
      </rPr>
      <t>)</t>
    </r>
  </si>
  <si>
    <t>Amendment (Amend):</t>
  </si>
  <si>
    <r>
      <t xml:space="preserve">(numerical day of month, for example: </t>
    </r>
    <r>
      <rPr>
        <sz val="10"/>
        <color indexed="10"/>
        <rFont val="Arial"/>
        <family val="2"/>
      </rPr>
      <t>8th</t>
    </r>
    <r>
      <rPr>
        <sz val="10"/>
        <rFont val="Arial"/>
        <family val="2"/>
      </rPr>
      <t>)</t>
    </r>
  </si>
  <si>
    <t xml:space="preserve">day of </t>
  </si>
  <si>
    <r>
      <t xml:space="preserve">(Month spelled out, for example:  </t>
    </r>
    <r>
      <rPr>
        <sz val="10"/>
        <color indexed="10"/>
        <rFont val="Arial"/>
        <family val="2"/>
      </rPr>
      <t>May</t>
    </r>
    <r>
      <rPr>
        <sz val="10"/>
        <rFont val="Arial"/>
        <family val="2"/>
      </rPr>
      <t>)</t>
    </r>
  </si>
  <si>
    <r>
      <t xml:space="preserve">(time, for example:  </t>
    </r>
    <r>
      <rPr>
        <sz val="10"/>
        <color indexed="10"/>
        <rFont val="Arial"/>
        <family val="2"/>
      </rPr>
      <t>8:30 AM</t>
    </r>
    <r>
      <rPr>
        <sz val="10"/>
        <rFont val="Arial"/>
        <family val="2"/>
      </rPr>
      <t>)</t>
    </r>
  </si>
  <si>
    <t>Certify:</t>
  </si>
  <si>
    <t>AVERAGE SALARY</t>
  </si>
  <si>
    <t>FTE</t>
  </si>
  <si>
    <t>Total Salary</t>
  </si>
  <si>
    <t>Average Salary</t>
  </si>
  <si>
    <t>Chart Data</t>
  </si>
  <si>
    <t>Administrators (Certified/Non-Certified)</t>
  </si>
  <si>
    <t>Teachers (Full Time)</t>
  </si>
  <si>
    <t>Other Certified (Licensed) Personnel</t>
  </si>
  <si>
    <t>Classified Personnel</t>
  </si>
  <si>
    <t>Substitutes/Temporary Help</t>
  </si>
  <si>
    <t>XXXXX</t>
  </si>
  <si>
    <t>XXXXXXXXX</t>
  </si>
  <si>
    <t>DEFINITIONS</t>
  </si>
  <si>
    <t>Administrators:</t>
  </si>
  <si>
    <t>*Certified (Licensed) - Superintendent; Assistant Superintendent; Administrative Assistants; Principals/ Assistant Principals;</t>
  </si>
  <si>
    <t>Directors/Supervisors Special Education; Directors/Supervisors of Health; Directors/Supervisors of VocEd;</t>
  </si>
  <si>
    <t>Instructional Coordinators/Supervisors; All Other Directors/Supervisors.</t>
  </si>
  <si>
    <t>** Non-Certified - Assistant Superintendents; Business Managers; Business Services (Directors/Coordinators/Supervisors);</t>
  </si>
  <si>
    <t>Food Service (Directors/Coordinators/Supervisors); Transportation (Directors/Coordinators/Supervisors); Custodial</t>
  </si>
  <si>
    <t>Maintenance (Directors/Coordinators/Supervisors); Other (Directors/Coordinators/Supervisors).</t>
  </si>
  <si>
    <t>Teachers (Full Time Only):</t>
  </si>
  <si>
    <t>*Practical Arts/Vocational Teachers; Special Education Teachers; Prekindergarten Teachers; Kindergarten Teachers;</t>
  </si>
  <si>
    <t>Reading Specialists/Teachers; All Other Teachers.</t>
  </si>
  <si>
    <t>Other Certified (Licensed) Personnel:</t>
  </si>
  <si>
    <t>Part-Time Teachers; Library Media Specialists; School Counselors; Clinical or School Psychologists; Speech Pathologists;</t>
  </si>
  <si>
    <t>Audiologists; Nurses (RN); Social Workers.</t>
  </si>
  <si>
    <t>Classified Personnel:</t>
  </si>
  <si>
    <t>**Attendance Services Staff; Library Media Aides; Security Officers; Regular Education Teacher Aides; Secretarial/Clerical;</t>
  </si>
  <si>
    <t>Special Education Paraprofessionals; Nurses (LPN); Food Service Workers; Custodians; Bus Drivers.</t>
  </si>
  <si>
    <t>Substitutes/Temporary:</t>
  </si>
  <si>
    <t>**Substitute Teachers, Coaching Assistants and other short term temporary help.</t>
  </si>
  <si>
    <t>Total Salary:</t>
  </si>
  <si>
    <t>Report total salary including employee reduction plans***, supplemental and extra pay for summer school, and board</t>
  </si>
  <si>
    <t>paid fringe benefits (employer paid)****.</t>
  </si>
  <si>
    <r>
      <t xml:space="preserve">*FTE for Certified Administrators, Teachers and Other Certified (Licensed) Personnel is defined by the local school board.  </t>
    </r>
    <r>
      <rPr>
        <b/>
        <i/>
        <sz val="11"/>
        <rFont val="Arial Narrow"/>
        <family val="2"/>
      </rPr>
      <t>Generally</t>
    </r>
    <r>
      <rPr>
        <sz val="11"/>
        <rFont val="Arial Narrow"/>
        <family val="2"/>
      </rPr>
      <t xml:space="preserve"> FTE for teachers with a 9-10 month</t>
    </r>
  </si>
  <si>
    <t>contract should be reported as 1.0; FTE for Principals with a 10-12 month contract should be reported as 1.0; FTE for Superintendents with a 12 month contract should be</t>
  </si>
  <si>
    <t>reported as 1.0.</t>
  </si>
  <si>
    <t>**FTE of 1.0 for Non-Certified Administrators, Classified Personnel and Substitutes/Temporary should be based upon 2,080 hours.</t>
  </si>
  <si>
    <t>***Employee reduction plans include benefits received by employees under a Section 125 Salary Reduction Agreement.  Does not include social security, workers'</t>
  </si>
  <si>
    <t>compensation, and unemployment insurance.</t>
  </si>
  <si>
    <t>****Board paid fringe benefits (employer paid) include group life, group health, disability income, accidental death and dismemberment, and hospital surgical, and/or medical</t>
  </si>
  <si>
    <t>expense insurance.  Does not include social security, workers' compensation, and unemployment insurance.</t>
  </si>
  <si>
    <t>Form suggested by Harley to keep track of FTE per object in each fund.    Helps to determine the FTE and salary totals to enter on the Salaries worksheet.</t>
  </si>
  <si>
    <t>Instructions:  Enter the FTE for each object in each fund.</t>
  </si>
  <si>
    <t>Total 100</t>
  </si>
  <si>
    <t>Total FTE</t>
  </si>
  <si>
    <t>by category</t>
  </si>
  <si>
    <t>&lt;-- Total transfers &amp; expenditures entered in C08</t>
  </si>
  <si>
    <t>Clicking on a link will take you directly to the worksheet</t>
  </si>
  <si>
    <t>2016-2017</t>
  </si>
  <si>
    <r>
      <t xml:space="preserve">Amount of </t>
    </r>
    <r>
      <rPr>
        <sz val="10"/>
        <color rgb="FF00B050"/>
        <rFont val="Arial"/>
        <family val="2"/>
      </rPr>
      <t xml:space="preserve">2016 </t>
    </r>
    <r>
      <rPr>
        <sz val="10"/>
        <color theme="0" tint="-0.499984740745262"/>
        <rFont val="Arial"/>
        <family val="2"/>
      </rPr>
      <t>Tax to be Levied</t>
    </r>
  </si>
  <si>
    <t xml:space="preserve">    2016  $</t>
  </si>
  <si>
    <t xml:space="preserve">    2016* $</t>
  </si>
  <si>
    <t>2015-16 Actual</t>
  </si>
  <si>
    <t>2016-17 Contracted</t>
  </si>
  <si>
    <t>Jan. 20, 2017</t>
  </si>
  <si>
    <t>Mar. 20, 2017</t>
  </si>
  <si>
    <t>Sept. 20, 2017</t>
  </si>
  <si>
    <t>Oct. 31, 2017</t>
  </si>
  <si>
    <t>2016-17</t>
  </si>
  <si>
    <t>July 1, 2016</t>
  </si>
  <si>
    <t>Bdgt2017</t>
  </si>
  <si>
    <t>F150 Transportation Factors - no longer applicable as of bdgt2016</t>
  </si>
  <si>
    <t xml:space="preserve">  980 Supplemental General </t>
  </si>
  <si>
    <t xml:space="preserve">     Teacher Mentoring Program, National Board Certified teacher payments, and Career and Technical</t>
  </si>
  <si>
    <t xml:space="preserve">     Education state aid for students earning an industry recognized credential in a high need occupation.</t>
  </si>
  <si>
    <r>
      <rPr>
        <sz val="14"/>
        <color rgb="FFC00000"/>
        <rFont val="Calibri"/>
        <family val="2"/>
        <scheme val="minor"/>
      </rPr>
      <t xml:space="preserve">OPTIONAL </t>
    </r>
    <r>
      <rPr>
        <sz val="12"/>
        <color rgb="FF0070C0"/>
        <rFont val="Calibri"/>
        <family val="2"/>
        <scheme val="minor"/>
      </rPr>
      <t>Worksheet to help compute the average salary   (includes 110 Certified &amp; 120 NonCertified)</t>
    </r>
  </si>
  <si>
    <t>Codes</t>
  </si>
  <si>
    <t>Forms</t>
  </si>
  <si>
    <t>C047-Special Reserve</t>
  </si>
  <si>
    <t>C066-No Fund Warrant</t>
  </si>
  <si>
    <t>Budget Contents</t>
  </si>
  <si>
    <t xml:space="preserve">   The date comes from the Headings sheet.</t>
  </si>
  <si>
    <t>Amend-Budget Amendment Instructions</t>
  </si>
  <si>
    <t>Average Salary-(OPTIONAL)</t>
  </si>
  <si>
    <t>Budget Checks-Quick checks if funds are in balance</t>
  </si>
  <si>
    <t>2nd Publication (same link as listed under Codes)</t>
  </si>
  <si>
    <t>Form 195-Estimated State Aids for Drivers Education, Motorcycle Safety and KPERS</t>
  </si>
  <si>
    <t>$27,500</t>
  </si>
  <si>
    <r>
      <t xml:space="preserve">1.  LOB percentage budgeted for </t>
    </r>
    <r>
      <rPr>
        <b/>
        <sz val="10"/>
        <rFont val="Arial"/>
        <family val="2"/>
      </rPr>
      <t>2014-15</t>
    </r>
    <r>
      <rPr>
        <sz val="10"/>
        <rFont val="Arial"/>
        <family val="2"/>
      </rPr>
      <t xml:space="preserve"> school year  (Max 31%)</t>
    </r>
  </si>
  <si>
    <t>4.  Max LOB percent authority (Max of Lines 1, 2 or 3) (Max 33%)</t>
  </si>
  <si>
    <r>
      <t xml:space="preserve">1.  </t>
    </r>
    <r>
      <rPr>
        <b/>
        <sz val="10"/>
        <rFont val="Arial"/>
        <family val="2"/>
      </rPr>
      <t>2014-15</t>
    </r>
    <r>
      <rPr>
        <sz val="10"/>
        <rFont val="Arial"/>
        <family val="2"/>
      </rPr>
      <t xml:space="preserve"> General State Aid (See Table I)</t>
    </r>
  </si>
  <si>
    <r>
      <t xml:space="preserve">Declining Enrollment Tax appeal </t>
    </r>
    <r>
      <rPr>
        <b/>
        <sz val="10"/>
        <color rgb="FF0070C0"/>
        <rFont val="Arial"/>
        <family val="2"/>
      </rPr>
      <t>2014-15</t>
    </r>
  </si>
  <si>
    <r>
      <t xml:space="preserve">Ancillary Facilities Tax Appeal </t>
    </r>
    <r>
      <rPr>
        <b/>
        <sz val="10"/>
        <color theme="9" tint="-0.249977111117893"/>
        <rFont val="Arial"/>
        <family val="2"/>
      </rPr>
      <t>2014-15</t>
    </r>
  </si>
  <si>
    <r>
      <t xml:space="preserve">A.  </t>
    </r>
    <r>
      <rPr>
        <b/>
        <sz val="10"/>
        <rFont val="Arial"/>
        <family val="2"/>
      </rPr>
      <t>2014-15</t>
    </r>
    <r>
      <rPr>
        <sz val="10"/>
        <rFont val="Arial"/>
        <family val="2"/>
      </rPr>
      <t xml:space="preserve"> Federal Impact Aid (70 percent)</t>
    </r>
  </si>
  <si>
    <r>
      <t xml:space="preserve">1.  </t>
    </r>
    <r>
      <rPr>
        <b/>
        <sz val="10"/>
        <rFont val="Arial"/>
        <family val="2"/>
      </rPr>
      <t>2014-15</t>
    </r>
    <r>
      <rPr>
        <sz val="10"/>
        <rFont val="Arial"/>
        <family val="2"/>
      </rPr>
      <t xml:space="preserve"> General State Aid</t>
    </r>
  </si>
  <si>
    <r>
      <t xml:space="preserve">2.  Less </t>
    </r>
    <r>
      <rPr>
        <b/>
        <sz val="10"/>
        <rFont val="Arial"/>
        <family val="2"/>
      </rPr>
      <t>2014-15</t>
    </r>
    <r>
      <rPr>
        <sz val="10"/>
        <rFont val="Arial"/>
        <family val="2"/>
      </rPr>
      <t xml:space="preserve"> Virtual State Aid </t>
    </r>
  </si>
  <si>
    <r>
      <t xml:space="preserve">3.  Less </t>
    </r>
    <r>
      <rPr>
        <b/>
        <sz val="10"/>
        <rFont val="Arial"/>
        <family val="2"/>
      </rPr>
      <t>2014-15</t>
    </r>
    <r>
      <rPr>
        <sz val="10"/>
        <rFont val="Arial"/>
        <family val="2"/>
      </rPr>
      <t xml:space="preserve"> Special Levies State Aid</t>
    </r>
  </si>
  <si>
    <r>
      <t xml:space="preserve">5.  Less </t>
    </r>
    <r>
      <rPr>
        <b/>
        <sz val="10"/>
        <rFont val="Arial"/>
        <family val="2"/>
      </rPr>
      <t>2014-15</t>
    </r>
    <r>
      <rPr>
        <sz val="10"/>
        <rFont val="Arial"/>
        <family val="2"/>
      </rPr>
      <t xml:space="preserve"> New Facilities State Aid </t>
    </r>
  </si>
  <si>
    <r>
      <t xml:space="preserve">6.  </t>
    </r>
    <r>
      <rPr>
        <b/>
        <sz val="10"/>
        <rFont val="Arial"/>
        <family val="2"/>
      </rPr>
      <t>2014-15</t>
    </r>
    <r>
      <rPr>
        <sz val="10"/>
        <rFont val="Arial"/>
        <family val="2"/>
      </rPr>
      <t xml:space="preserve"> Adjusted General State Aid (Line 1 - (Lines 2 + 3 + 4 + 5)) (Goes to Form 151 Line 1)</t>
    </r>
  </si>
  <si>
    <r>
      <t xml:space="preserve">2.  Percent authorized by Board action prior to </t>
    </r>
    <r>
      <rPr>
        <b/>
        <sz val="10"/>
        <rFont val="Arial"/>
        <family val="2"/>
      </rPr>
      <t>July 1, 2015</t>
    </r>
    <r>
      <rPr>
        <sz val="10"/>
        <rFont val="Arial"/>
        <family val="2"/>
      </rPr>
      <t xml:space="preserve">.   (Max 30%) </t>
    </r>
  </si>
  <si>
    <r>
      <t xml:space="preserve">3.  Authorized percent LOB due to MAIL BALLOT prior to </t>
    </r>
    <r>
      <rPr>
        <b/>
        <sz val="10"/>
        <rFont val="Arial"/>
        <family val="2"/>
      </rPr>
      <t>July 1, 2015</t>
    </r>
    <r>
      <rPr>
        <sz val="10"/>
        <rFont val="Arial"/>
        <family val="2"/>
      </rPr>
      <t xml:space="preserve"> (Max 33%)</t>
    </r>
  </si>
  <si>
    <t>(Bond Elections After July 1, 2015 and prior to June 30, 2016)</t>
  </si>
  <si>
    <t xml:space="preserve">                                                FORM 246</t>
  </si>
  <si>
    <t>(Bond Elections After July 1, 2016)</t>
  </si>
  <si>
    <t>FORM 246-A</t>
  </si>
  <si>
    <t>All other Revenue</t>
  </si>
  <si>
    <t>*    As provided by K.S.A 72-6474.</t>
  </si>
  <si>
    <t xml:space="preserve">    weighting as authorized by KSA 72-6473.</t>
  </si>
  <si>
    <t>Bond Elections After July 1, 2016</t>
  </si>
  <si>
    <t>Bond Elections After July 1, 2015 and Prior to June 30, 2016</t>
  </si>
  <si>
    <t>Prior July 1, 2015, col. 4 total</t>
  </si>
  <si>
    <t>After July 1, 2016, col. 4 total</t>
  </si>
  <si>
    <t>After July 1, 2015 and Prior June 30, 2016, col. 4 total</t>
  </si>
  <si>
    <t>If Bond and Interest levies are based on different assessed valuations due to territory changes, show such issues as a separate group.  Use Bond and Interest #2, Code No. 63,</t>
  </si>
  <si>
    <t>for these issues.</t>
  </si>
  <si>
    <t xml:space="preserve">    1990 Miscellaneous </t>
  </si>
  <si>
    <t>** Extraordinary Need State Aid due to decrease in assessed valuation shall be deposited in the Supplemental General Fund.</t>
  </si>
  <si>
    <t xml:space="preserve"> 3217 State Aid (after July 1, 2016)</t>
  </si>
  <si>
    <t xml:space="preserve"> 3217 State Aid (after 7/1/15 and prior 6/30/16)</t>
  </si>
  <si>
    <t xml:space="preserve">  3217 State Aid (after July 1, 2016)</t>
  </si>
  <si>
    <t xml:space="preserve">  3217 State Aid (after 7/1/15 and prior 6/30/16)</t>
  </si>
  <si>
    <t>72-6470</t>
  </si>
  <si>
    <t>72-6472</t>
  </si>
  <si>
    <t>72-9509</t>
  </si>
  <si>
    <t>72-3715</t>
  </si>
  <si>
    <t>72-9609</t>
  </si>
  <si>
    <t>72-3607</t>
  </si>
  <si>
    <t>72-8237</t>
  </si>
  <si>
    <t>72-978</t>
  </si>
  <si>
    <t>72-6474</t>
  </si>
  <si>
    <t>72-8249</t>
  </si>
  <si>
    <t>74-4939a</t>
  </si>
  <si>
    <t>72-8250</t>
  </si>
  <si>
    <t>72-6475</t>
  </si>
  <si>
    <t>72-6473</t>
  </si>
  <si>
    <t xml:space="preserve">  5208 Transfer from Supplemental General </t>
  </si>
  <si>
    <t xml:space="preserve">TOTAL EXPENDITURES &amp; TRANSFERS             </t>
  </si>
  <si>
    <t xml:space="preserve">  960 Special Reserve</t>
  </si>
  <si>
    <t>C. Virtual Credits* (19yrs and older)</t>
  </si>
  <si>
    <t xml:space="preserve">F151 - Virtual </t>
  </si>
  <si>
    <t xml:space="preserve">    (goes to c06 line 132)</t>
  </si>
  <si>
    <t xml:space="preserve">    (from c06, Line 115)</t>
  </si>
  <si>
    <t xml:space="preserve">    (from c06, Line 145)</t>
  </si>
  <si>
    <t xml:space="preserve">    (from c06, Lines 30, 40, 45)</t>
  </si>
  <si>
    <t xml:space="preserve">    (from c06, Line 165)</t>
  </si>
  <si>
    <t xml:space="preserve">    (from c06, Line 48)</t>
  </si>
  <si>
    <t xml:space="preserve">    (from c06, Line 67)</t>
  </si>
  <si>
    <t xml:space="preserve">&lt;-- Amount of cost of living to use in this budget if different than computed </t>
  </si>
  <si>
    <t>Form 0-135-239</t>
  </si>
  <si>
    <t>Form 0-135-242</t>
  </si>
  <si>
    <t>Form 0-212-242a</t>
  </si>
  <si>
    <t>FORM 239</t>
  </si>
  <si>
    <t>ESTIMATED SUPPLEMENTAL GENERAL (LOB) STATE AID</t>
  </si>
  <si>
    <t>(This form should be included with the budget document and filed with the State Department of Education)</t>
  </si>
  <si>
    <t>1.  Adopted local option budget (Cannot exceed Line 6, Form 155)</t>
  </si>
  <si>
    <t>2.  Estimated supplemental general state aid</t>
  </si>
  <si>
    <t>Line 1</t>
  </si>
  <si>
    <t>3.  Less prior year overpayment</t>
  </si>
  <si>
    <t>4.  Net Estimated Supplemental General State Aid (Line 2 - Line 3)</t>
  </si>
  <si>
    <t>FORM 243</t>
  </si>
  <si>
    <t>ESTIMATED CAPITAL OUTLAY STATE AID</t>
  </si>
  <si>
    <t xml:space="preserve">    x      factor</t>
  </si>
  <si>
    <t>Form 239-Estimated Supplemental (LOB) State Aid and Capital Outlay State Aid</t>
  </si>
  <si>
    <t>LOB pro-ration</t>
  </si>
  <si>
    <t>Comes from F151</t>
  </si>
  <si>
    <t>Open - B5</t>
  </si>
  <si>
    <t>Open - A46</t>
  </si>
  <si>
    <t>C06 - C37</t>
  </si>
  <si>
    <t>C06 - D37</t>
  </si>
  <si>
    <t>C016 - C35</t>
  </si>
  <si>
    <t>C06 - C38</t>
  </si>
  <si>
    <t>C06 - D38</t>
  </si>
  <si>
    <t>C06 - D39</t>
  </si>
  <si>
    <t>2014 Total Val</t>
  </si>
  <si>
    <t>2015 Total Val</t>
  </si>
  <si>
    <t>2015 GF Val</t>
  </si>
  <si>
    <t>2015-16 FTE (ex 4YrAR)</t>
  </si>
  <si>
    <t>2015-16 Gen Fund</t>
  </si>
  <si>
    <t>2015-16 Sped</t>
  </si>
  <si>
    <t>2015-16 LOB Aid</t>
  </si>
  <si>
    <t>2015-16 CTE Trans Aid</t>
  </si>
  <si>
    <t>FY16 Free Meal</t>
  </si>
  <si>
    <t>FY16 Red Meal</t>
  </si>
  <si>
    <t>2013-14 FTE ex 4YrAR</t>
  </si>
  <si>
    <t>FY15 LOB % Auth</t>
  </si>
  <si>
    <t>NA BDYR17</t>
  </si>
  <si>
    <t>FY16 LOB Aid</t>
  </si>
  <si>
    <t>FY16 KPERS Aid</t>
  </si>
  <si>
    <t>FY16 CO Aid</t>
  </si>
  <si>
    <t>329 - Wabaunsee</t>
  </si>
  <si>
    <t>Copied from</t>
  </si>
  <si>
    <t>2015-16 Supp Gen</t>
  </si>
  <si>
    <t>2015-16 Adult Ed</t>
  </si>
  <si>
    <t>2015-16 Cap Out</t>
  </si>
  <si>
    <t>2015-16 Spec Liab</t>
  </si>
  <si>
    <t>2015-16 Sch Ret</t>
  </si>
  <si>
    <t>2015-16 B&amp;I #1</t>
  </si>
  <si>
    <t>2015-16 B&amp;I #2</t>
  </si>
  <si>
    <t>2015-16 No Fund Warr</t>
  </si>
  <si>
    <t>2015-16 Spec Ass</t>
  </si>
  <si>
    <t>2015-16 Temp Note</t>
  </si>
  <si>
    <t>2015-16 Hist Museum</t>
  </si>
  <si>
    <t>2015-16 Pub Lib Bd</t>
  </si>
  <si>
    <t>2015-16 Pub Lib Emp Ben</t>
  </si>
  <si>
    <t>2015-16 Rec Comm</t>
  </si>
  <si>
    <t>2015-16 Rec Comm Emp Ben</t>
  </si>
  <si>
    <t>2015-16 Extra Growth</t>
  </si>
  <si>
    <t>2015-16 Decl Enr</t>
  </si>
  <si>
    <t>2015-16 COL</t>
  </si>
  <si>
    <t>Mill Levy Pub</t>
  </si>
  <si>
    <t>Difference</t>
  </si>
  <si>
    <t>2.  Estimated Capital Outlay State Aid.  Line 1 x factor</t>
  </si>
  <si>
    <t>&lt;--Special Education Aid (line 120), comes from F151, line 9</t>
  </si>
  <si>
    <t>*  Line 175 should be the amount the USD is utilizing for cost of living weighting as authorized by KSA 72-6475.</t>
  </si>
  <si>
    <r>
      <t xml:space="preserve">   Expires (Enter </t>
    </r>
    <r>
      <rPr>
        <b/>
        <sz val="10"/>
        <color rgb="FF7030A0"/>
        <rFont val="Arial"/>
        <family val="2"/>
      </rPr>
      <t>year</t>
    </r>
    <r>
      <rPr>
        <sz val="10"/>
        <color rgb="FF7030A0"/>
        <rFont val="Arial"/>
        <family val="2"/>
      </rPr>
      <t xml:space="preserve"> it expires or 9999 for continuous and permanent.) </t>
    </r>
    <r>
      <rPr>
        <b/>
        <sz val="10"/>
        <color rgb="FF7030A0"/>
        <rFont val="Arial"/>
        <family val="2"/>
      </rPr>
      <t>(Goes to Form 155)</t>
    </r>
  </si>
  <si>
    <t>Special Reserve Fund</t>
  </si>
  <si>
    <t xml:space="preserve">*   Line 170 minus Line 175. </t>
  </si>
  <si>
    <t xml:space="preserve">    1985 State Aid Reimbursement**</t>
  </si>
  <si>
    <t>** Includes Psychiatric Treatment Centers, Juvenile Detention\Flint Hills Job corporation payments,</t>
  </si>
  <si>
    <t xml:space="preserve">  3224 Extraordinary Need State Aid***</t>
  </si>
  <si>
    <t>*** Extraordinary Need State Aid due to increase in enrollment shall be deposited in the General Fund.</t>
  </si>
  <si>
    <t xml:space="preserve">EXCESS REVENUE TO STATE </t>
  </si>
  <si>
    <t>Max % check</t>
  </si>
  <si>
    <t xml:space="preserve">  3224 Extraordinary Need State Aid**</t>
  </si>
  <si>
    <t xml:space="preserve">   USD # and name comes from the Open sheet cell B3.</t>
  </si>
  <si>
    <t>After 6/1/2016 bonds</t>
  </si>
  <si>
    <t>Uses same rate as Form 244-A but is pro-rated</t>
  </si>
  <si>
    <t>Uses same rate as Form 244 but is pro-rated</t>
  </si>
  <si>
    <t>F196 pro-ration</t>
  </si>
  <si>
    <t>F239 pro-ration</t>
  </si>
  <si>
    <t>F246 pro-ration</t>
  </si>
  <si>
    <t>NOTE:  Publication in the local newspaper is required if Line 10 is over 0.125 percent.</t>
  </si>
  <si>
    <r>
      <t xml:space="preserve">(year, for example: </t>
    </r>
    <r>
      <rPr>
        <sz val="10"/>
        <color indexed="10"/>
        <rFont val="Arial"/>
        <family val="2"/>
      </rPr>
      <t>2016</t>
    </r>
    <r>
      <rPr>
        <sz val="10"/>
        <rFont val="Arial"/>
        <family val="2"/>
      </rPr>
      <t>)</t>
    </r>
  </si>
  <si>
    <r>
      <t xml:space="preserve">date that the Superintendent certifies the budget on the Certify page, example: </t>
    </r>
    <r>
      <rPr>
        <sz val="10"/>
        <color rgb="FFFF0000"/>
        <rFont val="Arial"/>
        <family val="2"/>
      </rPr>
      <t>8/1/2016</t>
    </r>
  </si>
  <si>
    <t>****KSA 72-6478 authorizes transfers from the approved funds to expend unencumbered cash balances</t>
  </si>
  <si>
    <t xml:space="preserve">Goes to Code 06 line 165 </t>
  </si>
  <si>
    <t>OK</t>
  </si>
  <si>
    <t>46%</t>
  </si>
  <si>
    <t>361 - Chaparral Schools</t>
  </si>
  <si>
    <t>Open - A89</t>
  </si>
  <si>
    <t>Open - A115</t>
  </si>
  <si>
    <t>Open-A148</t>
  </si>
  <si>
    <t>Open-A149</t>
  </si>
  <si>
    <t>C06 - C41</t>
  </si>
  <si>
    <t>C06 - D41</t>
  </si>
  <si>
    <t>Sum Exp - J1662</t>
  </si>
  <si>
    <t>Sum Exp - J1664</t>
  </si>
  <si>
    <t>F239 - E14</t>
  </si>
  <si>
    <t>F151 - C65</t>
  </si>
  <si>
    <t>F151 - C69</t>
  </si>
  <si>
    <t>F151 - C77</t>
  </si>
  <si>
    <t>F151 - I63</t>
  </si>
  <si>
    <t>F151 - R19</t>
  </si>
  <si>
    <t>F151 - R22</t>
  </si>
  <si>
    <t>C06 - C35</t>
  </si>
  <si>
    <t>C06 - D40</t>
  </si>
  <si>
    <t>C08 - C28</t>
  </si>
  <si>
    <t>C08 - D28</t>
  </si>
  <si>
    <t>2015-16 ExtraNeed</t>
  </si>
  <si>
    <t>LOB Aid Rate</t>
  </si>
  <si>
    <t>FY15 CO Aid</t>
  </si>
  <si>
    <t>FY16 ExtraNeed</t>
  </si>
  <si>
    <r>
      <t>*</t>
    </r>
    <r>
      <rPr>
        <sz val="10"/>
        <rFont val="Arial"/>
        <family val="2"/>
      </rPr>
      <t xml:space="preserve">Include </t>
    </r>
    <r>
      <rPr>
        <u/>
        <sz val="10"/>
        <rFont val="Arial"/>
        <family val="2"/>
      </rPr>
      <t>monetary gifts</t>
    </r>
    <r>
      <rPr>
        <sz val="10"/>
        <rFont val="Arial"/>
        <family val="2"/>
      </rPr>
      <t xml:space="preserve">, </t>
    </r>
    <r>
      <rPr>
        <u/>
        <sz val="10"/>
        <rFont val="Arial"/>
        <family val="2"/>
      </rPr>
      <t>private grants</t>
    </r>
    <r>
      <rPr>
        <sz val="10"/>
        <rFont val="Arial"/>
        <family val="2"/>
      </rPr>
      <t xml:space="preserve"> and </t>
    </r>
    <r>
      <rPr>
        <u/>
        <sz val="10"/>
        <rFont val="Arial"/>
        <family val="2"/>
      </rPr>
      <t>district activity funds</t>
    </r>
    <r>
      <rPr>
        <sz val="10"/>
        <rFont val="Arial"/>
        <family val="2"/>
      </rPr>
      <t xml:space="preserve"> that are administered by the Central Office.</t>
    </r>
  </si>
  <si>
    <t xml:space="preserve">Do not include activity funds administered at the building level or federal grants received by the </t>
  </si>
  <si>
    <t>school districts.</t>
  </si>
  <si>
    <t>C06-D35</t>
  </si>
  <si>
    <t>FY16 GSA</t>
  </si>
  <si>
    <t>&lt;-- this includes the delayed payment Kpers in July 2016</t>
  </si>
  <si>
    <t>This form will not be needed until Bdgt2018</t>
  </si>
  <si>
    <t>(does not include transfers to compute COL)</t>
  </si>
  <si>
    <t xml:space="preserve">    (no over-proration)</t>
  </si>
  <si>
    <t>* This would include regular allocations.</t>
  </si>
  <si>
    <t xml:space="preserve">  4560 Aid Regular*             </t>
  </si>
  <si>
    <t xml:space="preserve">  4560 Aid, Regular (Restricted)*</t>
  </si>
  <si>
    <t>*This would include regular allocations.</t>
  </si>
  <si>
    <t>&lt;-- Total you may spend or transfer (comes from F151, line 19)</t>
  </si>
  <si>
    <t>Will depend on district FY18</t>
  </si>
  <si>
    <t>3.00</t>
  </si>
  <si>
    <t xml:space="preserve">      564 Payment to Virtual Education Coop</t>
  </si>
  <si>
    <t>**This would include programs such as (but not limited to) Title II-A Teacher Quality; Title II-D Education Technology.  This would also include regular allocations.</t>
  </si>
  <si>
    <t>*This would include programs such as (but not limited to) Migrant; Neglected/Delinquent.   This would also include regular allocations.</t>
  </si>
  <si>
    <t>Bus</t>
  </si>
  <si>
    <t xml:space="preserve">8th </t>
  </si>
  <si>
    <t>August</t>
  </si>
  <si>
    <t>6:45</t>
  </si>
  <si>
    <t>203 SE Cardinal Ave.</t>
  </si>
  <si>
    <t>district office</t>
  </si>
  <si>
    <t>8th</t>
  </si>
  <si>
    <t>6:45 PM</t>
  </si>
  <si>
    <t>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</si>
</sst>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34">
    <numFmt numFmtId="5" formatCode="&quot;$&quot;#,##0_);\(&quot;$&quot;#,##0\)"/>
    <numFmt numFmtId="6" formatCode="&quot;$&quot;#,##0_);[Red]\(&quot;$&quot;#,##0\)"/>
    <numFmt numFmtId="7" formatCode="&quot;$&quot;#,##0.00_);\(&quot;$&quot;#,##0.00\)"/>
    <numFmt numFmtId="8" formatCode="&quot;$&quot;#,##0.00_);[Red]\(&quot;$&quot;#,##0.00\)"/>
    <numFmt numFmtId="43" formatCode="_(* #,##0.00_);_(* \(#,##0.00\);_(* &quot;-&quot;??_);_(@_)"/>
    <numFmt numFmtId="164" formatCode="000"/>
    <numFmt numFmtId="165" formatCode="#################"/>
    <numFmt numFmtId="166" formatCode="0.0"/>
    <numFmt numFmtId="167" formatCode="#,##0.0"/>
    <numFmt numFmtId="168" formatCode="&quot;$&quot;#,##0"/>
    <numFmt numFmtId="169" formatCode="0.000"/>
    <numFmt numFmtId="170" formatCode="m/yyyy"/>
    <numFmt numFmtId="171" formatCode=".0"/>
    <numFmt numFmtId="172" formatCode="\(0\)"/>
    <numFmt numFmtId="173" formatCode="00"/>
    <numFmt numFmtId="174" formatCode="0.0000"/>
    <numFmt numFmtId="175" formatCode=".00000"/>
    <numFmt numFmtId="176" formatCode="0#00"/>
    <numFmt numFmtId="177" formatCode="[$-409]mmmm\ d\,\ yyyy;@"/>
    <numFmt numFmtId="178" formatCode="#,##0.0_);\(#,##0.0\)"/>
    <numFmt numFmtId="179" formatCode="0.#0"/>
    <numFmt numFmtId="180" formatCode="[$-10409]##.000"/>
    <numFmt numFmtId="181" formatCode="0.00000"/>
    <numFmt numFmtId="182" formatCode="0.000000"/>
    <numFmt numFmtId="183" formatCode="[$-10409]#,##0"/>
    <numFmt numFmtId="184" formatCode="m/yy"/>
    <numFmt numFmtId="185" formatCode="\(##\)"/>
    <numFmt numFmtId="186" formatCode="\ \(##\)"/>
    <numFmt numFmtId="187" formatCode="0_);\(0\)"/>
    <numFmt numFmtId="188" formatCode="0."/>
    <numFmt numFmtId="189" formatCode=".0000"/>
    <numFmt numFmtId="190" formatCode=".00"/>
    <numFmt numFmtId="191" formatCode="m/d/yyyy;@"/>
    <numFmt numFmtId="192" formatCode="#,##0.0000"/>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Geneva"/>
    </font>
    <font>
      <b/>
      <sz val="12"/>
      <name val="Arial"/>
      <family val="2"/>
    </font>
    <font>
      <b/>
      <sz val="10"/>
      <name val="Arial"/>
      <family val="2"/>
    </font>
    <font>
      <sz val="10"/>
      <color indexed="8"/>
      <name val="Arial"/>
      <family val="2"/>
    </font>
    <font>
      <sz val="9"/>
      <name val="Arial"/>
      <family val="2"/>
    </font>
    <font>
      <b/>
      <i/>
      <sz val="10"/>
      <name val="Arial"/>
      <family val="2"/>
    </font>
    <font>
      <sz val="10"/>
      <name val="Arial"/>
      <family val="2"/>
    </font>
    <font>
      <i/>
      <sz val="10"/>
      <name val="Arial"/>
      <family val="2"/>
    </font>
    <font>
      <sz val="10"/>
      <color indexed="10"/>
      <name val="Arial"/>
      <family val="2"/>
    </font>
    <font>
      <sz val="10"/>
      <color indexed="10"/>
      <name val="Arial"/>
      <family val="2"/>
    </font>
    <font>
      <sz val="11"/>
      <name val="Arial"/>
      <family val="2"/>
    </font>
    <font>
      <sz val="8"/>
      <color indexed="81"/>
      <name val="Tahoma"/>
      <family val="2"/>
    </font>
    <font>
      <sz val="12"/>
      <name val="Arial"/>
      <family val="2"/>
    </font>
    <font>
      <i/>
      <sz val="11"/>
      <name val="Arial"/>
      <family val="2"/>
    </font>
    <font>
      <sz val="10"/>
      <color indexed="18"/>
      <name val="Arial"/>
      <family val="2"/>
    </font>
    <font>
      <b/>
      <sz val="10"/>
      <name val="Arial"/>
      <family val="2"/>
    </font>
    <font>
      <sz val="10"/>
      <color indexed="81"/>
      <name val="Geneva"/>
    </font>
    <font>
      <sz val="9"/>
      <color indexed="81"/>
      <name val="Geneva"/>
    </font>
    <font>
      <b/>
      <sz val="10"/>
      <color indexed="81"/>
      <name val="Geneva"/>
    </font>
    <font>
      <u/>
      <sz val="10"/>
      <color indexed="81"/>
      <name val="Geneva"/>
    </font>
    <font>
      <sz val="11"/>
      <name val="Arial"/>
      <family val="2"/>
    </font>
    <font>
      <b/>
      <sz val="10"/>
      <color indexed="10"/>
      <name val="Arial"/>
      <family val="2"/>
    </font>
    <font>
      <i/>
      <sz val="10"/>
      <name val="Arial"/>
      <family val="2"/>
    </font>
    <font>
      <b/>
      <sz val="11"/>
      <color indexed="10"/>
      <name val="Arial"/>
      <family val="2"/>
    </font>
    <font>
      <b/>
      <sz val="11"/>
      <name val="Arial"/>
      <family val="2"/>
    </font>
    <font>
      <u/>
      <sz val="10"/>
      <color indexed="12"/>
      <name val="Geneva"/>
    </font>
    <font>
      <u/>
      <sz val="10"/>
      <name val="Arial"/>
      <family val="2"/>
    </font>
    <font>
      <sz val="10"/>
      <name val="Times"/>
    </font>
    <font>
      <sz val="5"/>
      <name val="Arial"/>
      <family val="2"/>
    </font>
    <font>
      <sz val="10"/>
      <color indexed="18"/>
      <name val="Arial"/>
      <family val="2"/>
    </font>
    <font>
      <sz val="11"/>
      <color indexed="10"/>
      <name val="Arial"/>
      <family val="2"/>
    </font>
    <font>
      <i/>
      <sz val="10"/>
      <color indexed="10"/>
      <name val="Arial"/>
      <family val="2"/>
    </font>
    <font>
      <sz val="30"/>
      <name val="Arial Narrow"/>
      <family val="2"/>
    </font>
    <font>
      <sz val="52"/>
      <name val="Times New Roman"/>
      <family val="1"/>
    </font>
    <font>
      <b/>
      <sz val="11"/>
      <color indexed="17"/>
      <name val="Arial"/>
      <family val="2"/>
    </font>
    <font>
      <sz val="10"/>
      <color indexed="9"/>
      <name val="Arial"/>
      <family val="2"/>
    </font>
    <font>
      <b/>
      <sz val="10"/>
      <color indexed="17"/>
      <name val="Arial"/>
      <family val="2"/>
    </font>
    <font>
      <sz val="14"/>
      <name val="Arial"/>
      <family val="2"/>
    </font>
    <font>
      <sz val="10"/>
      <color indexed="9"/>
      <name val="Arial"/>
      <family val="2"/>
    </font>
    <font>
      <sz val="10"/>
      <name val="Arial"/>
      <family val="2"/>
    </font>
    <font>
      <b/>
      <sz val="10"/>
      <color indexed="18"/>
      <name val="Arial"/>
      <family val="2"/>
    </font>
    <font>
      <sz val="10"/>
      <color indexed="17"/>
      <name val="Arial"/>
      <family val="2"/>
    </font>
    <font>
      <sz val="10"/>
      <color indexed="81"/>
      <name val="Arial"/>
      <family val="2"/>
    </font>
    <font>
      <i/>
      <sz val="10"/>
      <color indexed="10"/>
      <name val="Arial"/>
      <family val="2"/>
    </font>
    <font>
      <sz val="10"/>
      <color indexed="12"/>
      <name val="Arial"/>
      <family val="2"/>
    </font>
    <font>
      <b/>
      <u/>
      <sz val="10"/>
      <color indexed="17"/>
      <name val="Arial"/>
      <family val="2"/>
    </font>
    <font>
      <i/>
      <sz val="10"/>
      <color indexed="17"/>
      <name val="Arial"/>
      <family val="2"/>
    </font>
    <font>
      <sz val="26"/>
      <name val="Century Gothic"/>
      <family val="2"/>
    </font>
    <font>
      <sz val="9"/>
      <name val="Arial Narrow"/>
      <family val="2"/>
    </font>
    <font>
      <b/>
      <i/>
      <u/>
      <sz val="10"/>
      <name val="Arial"/>
      <family val="2"/>
    </font>
    <font>
      <sz val="10"/>
      <color indexed="81"/>
      <name val="Tahoma"/>
      <family val="2"/>
    </font>
    <font>
      <b/>
      <sz val="9"/>
      <color indexed="81"/>
      <name val="Arial"/>
      <family val="2"/>
    </font>
    <font>
      <sz val="9"/>
      <color indexed="81"/>
      <name val="Arial"/>
      <family val="2"/>
    </font>
    <font>
      <sz val="10"/>
      <name val="Calibri"/>
      <family val="2"/>
    </font>
    <font>
      <sz val="10"/>
      <name val="Arial Narrow"/>
      <family val="2"/>
    </font>
    <font>
      <sz val="10"/>
      <color indexed="10"/>
      <name val="Arial"/>
      <family val="2"/>
    </font>
    <font>
      <sz val="10"/>
      <color indexed="17"/>
      <name val="Arial"/>
      <family val="2"/>
    </font>
    <font>
      <sz val="10"/>
      <color indexed="30"/>
      <name val="Arial"/>
      <family val="2"/>
    </font>
    <font>
      <sz val="9"/>
      <color indexed="8"/>
      <name val="Calibri"/>
      <family val="2"/>
    </font>
    <font>
      <b/>
      <i/>
      <sz val="10"/>
      <color indexed="10"/>
      <name val="Arial"/>
      <family val="2"/>
    </font>
    <font>
      <sz val="9"/>
      <name val="Calibri"/>
      <family val="2"/>
    </font>
    <font>
      <sz val="10"/>
      <color indexed="36"/>
      <name val="Arial"/>
      <family val="2"/>
    </font>
    <font>
      <sz val="9"/>
      <color indexed="10"/>
      <name val="Calibri"/>
      <family val="2"/>
    </font>
    <font>
      <i/>
      <sz val="10"/>
      <color indexed="10"/>
      <name val="Arial"/>
      <family val="2"/>
    </font>
    <font>
      <u/>
      <sz val="11"/>
      <color indexed="10"/>
      <name val="Arial"/>
      <family val="2"/>
    </font>
    <font>
      <sz val="10"/>
      <color indexed="9"/>
      <name val="Arial"/>
      <family val="2"/>
    </font>
    <font>
      <sz val="10"/>
      <name val="Arial"/>
      <family val="2"/>
    </font>
    <font>
      <sz val="11"/>
      <color indexed="8"/>
      <name val="Calibri"/>
      <family val="2"/>
    </font>
    <font>
      <sz val="10"/>
      <color indexed="10"/>
      <name val="Arial"/>
      <family val="2"/>
    </font>
    <font>
      <sz val="11"/>
      <color indexed="10"/>
      <name val="Arial"/>
      <family val="2"/>
    </font>
    <font>
      <i/>
      <sz val="10"/>
      <color indexed="10"/>
      <name val="Arial"/>
      <family val="2"/>
    </font>
    <font>
      <sz val="9"/>
      <color indexed="81"/>
      <name val="Tahoma"/>
      <family val="2"/>
    </font>
    <font>
      <sz val="10"/>
      <color indexed="10"/>
      <name val="Arial"/>
      <family val="2"/>
    </font>
    <font>
      <sz val="10"/>
      <name val="MS Sans Serif"/>
      <family val="2"/>
    </font>
    <font>
      <sz val="10"/>
      <color indexed="8"/>
      <name val="Calibri"/>
      <family val="2"/>
    </font>
    <font>
      <sz val="10"/>
      <color indexed="10"/>
      <name val="Arial"/>
      <family val="2"/>
    </font>
    <font>
      <sz val="10"/>
      <color indexed="55"/>
      <name val="Arial"/>
      <family val="2"/>
    </font>
    <font>
      <b/>
      <sz val="10"/>
      <color indexed="30"/>
      <name val="Arial"/>
      <family val="2"/>
    </font>
    <font>
      <sz val="11"/>
      <color theme="1"/>
      <name val="Times New Roman"/>
      <family val="2"/>
    </font>
    <font>
      <sz val="10"/>
      <color rgb="FFFF0000"/>
      <name val="Arial"/>
      <family val="2"/>
    </font>
    <font>
      <sz val="10"/>
      <color rgb="FF00B050"/>
      <name val="Arial"/>
      <family val="2"/>
    </font>
    <font>
      <sz val="10"/>
      <color theme="0"/>
      <name val="Arial"/>
      <family val="2"/>
    </font>
    <font>
      <sz val="10"/>
      <color rgb="FF92D050"/>
      <name val="Arial"/>
      <family val="2"/>
    </font>
    <font>
      <b/>
      <sz val="14"/>
      <color theme="0"/>
      <name val="Arial"/>
      <family val="2"/>
    </font>
    <font>
      <sz val="10"/>
      <color theme="1"/>
      <name val="Arial"/>
      <family val="2"/>
    </font>
    <font>
      <sz val="10"/>
      <color theme="8" tint="-0.249977111117893"/>
      <name val="Arial"/>
      <family val="2"/>
    </font>
    <font>
      <sz val="11"/>
      <color rgb="FFFF0000"/>
      <name val="Arial"/>
      <family val="2"/>
    </font>
    <font>
      <b/>
      <sz val="10"/>
      <color rgb="FF00B050"/>
      <name val="Arial"/>
      <family val="2"/>
    </font>
    <font>
      <b/>
      <sz val="10"/>
      <color rgb="FFFF0000"/>
      <name val="Arial"/>
      <family val="2"/>
    </font>
    <font>
      <sz val="10"/>
      <color rgb="FF0070C0"/>
      <name val="Arial"/>
      <family val="2"/>
    </font>
    <font>
      <b/>
      <sz val="10"/>
      <color theme="0"/>
      <name val="Arial"/>
      <family val="2"/>
    </font>
    <font>
      <sz val="10"/>
      <color theme="0" tint="-0.499984740745262"/>
      <name val="Arial"/>
      <family val="2"/>
    </font>
    <font>
      <b/>
      <sz val="10"/>
      <color theme="0" tint="-0.499984740745262"/>
      <name val="Times New Roman"/>
      <family val="1"/>
    </font>
    <font>
      <b/>
      <sz val="10"/>
      <color theme="0" tint="-0.499984740745262"/>
      <name val="Arial"/>
      <family val="2"/>
    </font>
    <font>
      <u/>
      <sz val="10"/>
      <color theme="0" tint="-0.499984740745262"/>
      <name val="Arial"/>
      <family val="2"/>
    </font>
    <font>
      <sz val="10"/>
      <color rgb="FF7030A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Times New Roman"/>
      <family val="2"/>
    </font>
    <font>
      <u/>
      <sz val="10"/>
      <color indexed="12"/>
      <name val="Arial"/>
      <family val="2"/>
    </font>
    <font>
      <sz val="10"/>
      <name val="Times New Roman"/>
      <family val="1"/>
    </font>
    <font>
      <u/>
      <sz val="11"/>
      <color theme="10"/>
      <name val="Times New Roman"/>
      <family val="2"/>
    </font>
    <font>
      <sz val="10"/>
      <color theme="0" tint="-0.34998626667073579"/>
      <name val="Arial"/>
      <family val="2"/>
    </font>
    <font>
      <i/>
      <sz val="10"/>
      <color rgb="FF0070C0"/>
      <name val="Arial"/>
      <family val="2"/>
    </font>
    <font>
      <b/>
      <sz val="10"/>
      <color rgb="FF0070C0"/>
      <name val="Arial"/>
      <family val="2"/>
    </font>
    <font>
      <sz val="10"/>
      <color theme="5"/>
      <name val="Arial"/>
      <family val="2"/>
    </font>
    <font>
      <sz val="10"/>
      <color rgb="FF000000"/>
      <name val="Calibri"/>
      <family val="2"/>
    </font>
    <font>
      <b/>
      <sz val="9"/>
      <color indexed="81"/>
      <name val="Tahoma"/>
      <family val="2"/>
    </font>
    <font>
      <sz val="10"/>
      <color theme="0" tint="-0.249977111117893"/>
      <name val="Arial"/>
      <family val="2"/>
    </font>
    <font>
      <sz val="11"/>
      <color rgb="FF00B050"/>
      <name val="Arial"/>
      <family val="2"/>
    </font>
    <font>
      <sz val="10"/>
      <color theme="6" tint="-0.249977111117893"/>
      <name val="Arial"/>
      <family val="2"/>
    </font>
    <font>
      <i/>
      <sz val="10"/>
      <color rgb="FFFF0000"/>
      <name val="Arial"/>
      <family val="2"/>
    </font>
    <font>
      <sz val="11"/>
      <color theme="0" tint="-0.249977111117893"/>
      <name val="Arial"/>
      <family val="2"/>
    </font>
    <font>
      <sz val="24"/>
      <name val="Baskerville Old Face"/>
      <family val="1"/>
    </font>
    <font>
      <b/>
      <sz val="10"/>
      <color rgb="FF7030A0"/>
      <name val="Arial"/>
      <family val="2"/>
    </font>
    <font>
      <b/>
      <sz val="9"/>
      <color rgb="FF000000"/>
      <name val="Tahoma"/>
      <family val="2"/>
    </font>
    <font>
      <sz val="9"/>
      <color rgb="FF000000"/>
      <name val="Tahoma"/>
      <family val="2"/>
    </font>
    <font>
      <b/>
      <i/>
      <sz val="10"/>
      <color rgb="FFFF0000"/>
      <name val="Arial"/>
      <family val="2"/>
    </font>
    <font>
      <i/>
      <sz val="13"/>
      <name val="Times New Roman"/>
      <family val="1"/>
    </font>
    <font>
      <sz val="16"/>
      <name val="Arial"/>
      <family val="2"/>
    </font>
    <font>
      <b/>
      <sz val="10"/>
      <color indexed="56"/>
      <name val="Arial"/>
      <family val="2"/>
    </font>
    <font>
      <b/>
      <u/>
      <sz val="10"/>
      <color indexed="56"/>
      <name val="Arial"/>
      <family val="2"/>
    </font>
    <font>
      <sz val="10"/>
      <color indexed="56"/>
      <name val="Arial"/>
      <family val="2"/>
    </font>
    <font>
      <sz val="12"/>
      <name val="Times"/>
    </font>
    <font>
      <b/>
      <i/>
      <sz val="11"/>
      <name val="Arial"/>
      <family val="2"/>
    </font>
    <font>
      <i/>
      <sz val="11"/>
      <color rgb="FF00B050"/>
      <name val="Arial"/>
      <family val="2"/>
    </font>
    <font>
      <sz val="12"/>
      <color indexed="10"/>
      <name val="Arial"/>
      <family val="2"/>
    </font>
    <font>
      <sz val="12"/>
      <color indexed="18"/>
      <name val="Arial"/>
      <family val="2"/>
    </font>
    <font>
      <b/>
      <u/>
      <sz val="10"/>
      <name val="Arial"/>
      <family val="2"/>
    </font>
    <font>
      <sz val="8"/>
      <color rgb="FF0070C0"/>
      <name val="Arial"/>
      <family val="2"/>
    </font>
    <font>
      <b/>
      <sz val="8"/>
      <color rgb="FF0070C0"/>
      <name val="Arial"/>
      <family val="2"/>
    </font>
    <font>
      <sz val="10"/>
      <color theme="9" tint="-0.249977111117893"/>
      <name val="Arial"/>
      <family val="2"/>
    </font>
    <font>
      <sz val="8"/>
      <color rgb="FFFF0000"/>
      <name val="Arial"/>
      <family val="2"/>
    </font>
    <font>
      <sz val="10"/>
      <color theme="3" tint="0.39997558519241921"/>
      <name val="Arial"/>
      <family val="2"/>
    </font>
    <font>
      <b/>
      <sz val="8"/>
      <color indexed="81"/>
      <name val="Tahoma"/>
      <family val="2"/>
    </font>
    <font>
      <sz val="12"/>
      <color rgb="FFFF0000"/>
      <name val="Arial"/>
      <family val="2"/>
    </font>
    <font>
      <sz val="12"/>
      <color rgb="FF00B050"/>
      <name val="Arial"/>
      <family val="2"/>
    </font>
    <font>
      <sz val="12"/>
      <color rgb="FF0070C0"/>
      <name val="Arial"/>
      <family val="2"/>
    </font>
    <font>
      <sz val="10"/>
      <color rgb="FF00B0F0"/>
      <name val="Arial"/>
      <family val="2"/>
    </font>
    <font>
      <b/>
      <sz val="10"/>
      <color indexed="9"/>
      <name val="Arial"/>
      <family val="2"/>
    </font>
    <font>
      <b/>
      <sz val="11"/>
      <name val="Arial Narrow"/>
      <family val="2"/>
    </font>
    <font>
      <sz val="11"/>
      <name val="Arial Narrow"/>
      <family val="2"/>
    </font>
    <font>
      <b/>
      <i/>
      <sz val="11"/>
      <name val="Arial Narrow"/>
      <family val="2"/>
    </font>
    <font>
      <sz val="9"/>
      <color theme="1"/>
      <name val="Calibri"/>
      <family val="2"/>
      <scheme val="minor"/>
    </font>
    <font>
      <sz val="9"/>
      <color rgb="FFC00000"/>
      <name val="Calibri"/>
      <family val="2"/>
      <scheme val="minor"/>
    </font>
    <font>
      <sz val="12"/>
      <color rgb="FFC00000"/>
      <name val="Calibri"/>
      <family val="2"/>
      <scheme val="minor"/>
    </font>
    <font>
      <sz val="12"/>
      <color rgb="FF0070C0"/>
      <name val="Calibri"/>
      <family val="2"/>
      <scheme val="minor"/>
    </font>
    <font>
      <sz val="9"/>
      <color rgb="FF7030A0"/>
      <name val="Calibri"/>
      <family val="2"/>
      <scheme val="minor"/>
    </font>
    <font>
      <b/>
      <sz val="12"/>
      <color theme="1"/>
      <name val="Calibri"/>
      <family val="2"/>
      <scheme val="minor"/>
    </font>
    <font>
      <sz val="9"/>
      <color theme="1"/>
      <name val="Arial"/>
      <family val="2"/>
    </font>
    <font>
      <b/>
      <sz val="9"/>
      <name val="Arial"/>
      <family val="2"/>
    </font>
    <font>
      <sz val="14"/>
      <color theme="0"/>
      <name val="Arial"/>
      <family val="2"/>
    </font>
    <font>
      <sz val="14"/>
      <color rgb="FFC00000"/>
      <name val="Calibri"/>
      <family val="2"/>
      <scheme val="minor"/>
    </font>
    <font>
      <b/>
      <u/>
      <sz val="10"/>
      <color rgb="FF0070C0"/>
      <name val="Arial"/>
      <family val="2"/>
    </font>
    <font>
      <b/>
      <sz val="10"/>
      <color theme="9" tint="-0.249977111117893"/>
      <name val="Arial"/>
      <family val="2"/>
    </font>
    <font>
      <b/>
      <sz val="11"/>
      <color rgb="FFFF0000"/>
      <name val="Arial"/>
      <family val="2"/>
    </font>
    <font>
      <sz val="10"/>
      <color theme="1"/>
      <name val="Calibri"/>
      <family val="2"/>
    </font>
    <font>
      <sz val="10"/>
      <color theme="1"/>
      <name val="Calibri"/>
      <family val="2"/>
      <scheme val="minor"/>
    </font>
    <font>
      <sz val="10"/>
      <color indexed="8"/>
      <name val="Calibri"/>
      <family val="2"/>
      <scheme val="minor"/>
    </font>
    <font>
      <b/>
      <sz val="9"/>
      <color rgb="FF000000"/>
      <name val="Calibri"/>
      <family val="2"/>
    </font>
    <font>
      <sz val="9"/>
      <color rgb="FF000000"/>
      <name val="Calibri"/>
      <family val="2"/>
    </font>
    <font>
      <b/>
      <sz val="12"/>
      <name val="Calibri"/>
      <family val="2"/>
      <scheme val="minor"/>
    </font>
    <font>
      <sz val="9"/>
      <color indexed="81"/>
      <name val="Calibri"/>
      <family val="2"/>
      <scheme val="minor"/>
    </font>
  </fonts>
  <fills count="82">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45"/>
        <bgColor indexed="64"/>
      </patternFill>
    </fill>
    <fill>
      <patternFill patternType="solid">
        <fgColor indexed="49"/>
        <bgColor indexed="64"/>
      </patternFill>
    </fill>
    <fill>
      <patternFill patternType="solid">
        <fgColor indexed="44"/>
        <bgColor indexed="64"/>
      </patternFill>
    </fill>
    <fill>
      <patternFill patternType="solid">
        <fgColor indexed="41"/>
        <bgColor indexed="64"/>
      </patternFill>
    </fill>
    <fill>
      <patternFill patternType="solid">
        <fgColor indexed="9"/>
        <bgColor indexed="64"/>
      </patternFill>
    </fill>
    <fill>
      <patternFill patternType="solid">
        <fgColor indexed="26"/>
        <bgColor indexed="64"/>
      </patternFill>
    </fill>
    <fill>
      <patternFill patternType="solid">
        <fgColor indexed="42"/>
        <bgColor indexed="64"/>
      </patternFill>
    </fill>
    <fill>
      <patternFill patternType="solid">
        <fgColor indexed="55"/>
        <bgColor indexed="64"/>
      </patternFill>
    </fill>
    <fill>
      <patternFill patternType="solid">
        <fgColor indexed="50"/>
        <bgColor indexed="64"/>
      </patternFill>
    </fill>
    <fill>
      <patternFill patternType="solid">
        <fgColor indexed="22"/>
        <bgColor indexed="8"/>
      </patternFill>
    </fill>
    <fill>
      <patternFill patternType="solid">
        <fgColor rgb="FFFFFF99"/>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CC"/>
        <bgColor indexed="64"/>
      </patternFill>
    </fill>
    <fill>
      <patternFill patternType="solid">
        <fgColor rgb="FFFFFF99"/>
        <bgColor indexed="8"/>
      </patternFill>
    </fill>
    <fill>
      <patternFill patternType="solid">
        <fgColor theme="1" tint="0.3499862666707357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59999389629810485"/>
        <bgColor indexed="64"/>
      </patternFill>
    </fill>
    <fill>
      <patternFill patternType="solid">
        <fgColor theme="0" tint="-0.34998626667073579"/>
        <bgColor indexed="64"/>
      </patternFill>
    </fill>
    <fill>
      <patternFill patternType="solid">
        <fgColor theme="6" tint="0.59999389629810485"/>
        <bgColor indexed="64"/>
      </patternFill>
    </fill>
    <fill>
      <patternFill patternType="solid">
        <fgColor rgb="FF92D050"/>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F2DCDB"/>
        <bgColor rgb="FF000000"/>
      </patternFill>
    </fill>
    <fill>
      <patternFill patternType="solid">
        <fgColor rgb="FFD8E4BC"/>
        <bgColor rgb="FF000000"/>
      </patternFill>
    </fill>
    <fill>
      <patternFill patternType="solid">
        <fgColor theme="8" tint="0.79998168889431442"/>
        <bgColor indexed="64"/>
      </patternFill>
    </fill>
    <fill>
      <patternFill patternType="mediumGray">
        <bgColor indexed="8"/>
      </patternFill>
    </fill>
    <fill>
      <patternFill patternType="solid">
        <fgColor indexed="8"/>
        <bgColor indexed="64"/>
      </patternFill>
    </fill>
    <fill>
      <patternFill patternType="solid">
        <fgColor rgb="FFC0C0C0"/>
        <bgColor rgb="FF000000"/>
      </patternFill>
    </fill>
    <fill>
      <patternFill patternType="solid">
        <fgColor indexed="27"/>
        <bgColor indexed="64"/>
      </patternFill>
    </fill>
    <fill>
      <patternFill patternType="solid">
        <fgColor rgb="FFF3FCD2"/>
        <bgColor indexed="64"/>
      </patternFill>
    </fill>
    <fill>
      <patternFill patternType="solid">
        <fgColor rgb="FF0070C0"/>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FFCC"/>
        <bgColor rgb="FF000000"/>
      </patternFill>
    </fill>
    <fill>
      <patternFill patternType="solid">
        <fgColor rgb="FF92D050"/>
        <bgColor rgb="FF000000"/>
      </patternFill>
    </fill>
    <fill>
      <patternFill patternType="solid">
        <fgColor rgb="FFDDD9C4"/>
        <bgColor rgb="FF000000"/>
      </patternFill>
    </fill>
    <fill>
      <patternFill patternType="solid">
        <fgColor rgb="FFFDE9D9"/>
        <bgColor rgb="FF000000"/>
      </patternFill>
    </fill>
    <fill>
      <patternFill patternType="solid">
        <fgColor rgb="FFFFFF00"/>
        <bgColor rgb="FF000000"/>
      </patternFill>
    </fill>
    <fill>
      <patternFill patternType="solid">
        <fgColor theme="5" tint="0.79998168889431442"/>
        <bgColor indexed="64"/>
      </patternFill>
    </fill>
    <fill>
      <patternFill patternType="solid">
        <fgColor theme="9" tint="0.79998168889431442"/>
        <bgColor indexed="64"/>
      </patternFill>
    </fill>
  </fills>
  <borders count="54">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double">
        <color indexed="64"/>
      </bottom>
      <diagonal/>
    </border>
    <border>
      <left/>
      <right/>
      <top/>
      <bottom style="thin">
        <color indexed="10"/>
      </bottom>
      <diagonal/>
    </border>
    <border>
      <left style="thin">
        <color indexed="10"/>
      </left>
      <right/>
      <top style="thin">
        <color indexed="10"/>
      </top>
      <bottom/>
      <diagonal/>
    </border>
    <border>
      <left/>
      <right/>
      <top style="thin">
        <color indexed="10"/>
      </top>
      <bottom/>
      <diagonal/>
    </border>
    <border>
      <left/>
      <right style="thin">
        <color indexed="10"/>
      </right>
      <top style="thin">
        <color indexed="10"/>
      </top>
      <bottom/>
      <diagonal/>
    </border>
    <border>
      <left style="thin">
        <color indexed="10"/>
      </left>
      <right style="thin">
        <color indexed="64"/>
      </right>
      <top style="thin">
        <color indexed="64"/>
      </top>
      <bottom style="thin">
        <color indexed="64"/>
      </bottom>
      <diagonal/>
    </border>
    <border>
      <left/>
      <right style="thin">
        <color indexed="10"/>
      </right>
      <top/>
      <bottom/>
      <diagonal/>
    </border>
    <border>
      <left style="thin">
        <color indexed="10"/>
      </left>
      <right style="thin">
        <color indexed="64"/>
      </right>
      <top style="thin">
        <color indexed="64"/>
      </top>
      <bottom style="double">
        <color indexed="64"/>
      </bottom>
      <diagonal/>
    </border>
    <border>
      <left style="thin">
        <color indexed="10"/>
      </left>
      <right/>
      <top/>
      <bottom/>
      <diagonal/>
    </border>
    <border>
      <left style="thin">
        <color indexed="10"/>
      </left>
      <right/>
      <top/>
      <bottom style="thin">
        <color indexed="10"/>
      </bottom>
      <diagonal/>
    </border>
    <border>
      <left/>
      <right style="thin">
        <color indexed="10"/>
      </right>
      <top/>
      <bottom style="thin">
        <color indexed="10"/>
      </bottom>
      <diagonal/>
    </border>
    <border>
      <left/>
      <right style="thick">
        <color indexed="64"/>
      </right>
      <top/>
      <bottom/>
      <diagonal/>
    </border>
    <border>
      <left style="thick">
        <color indexed="64"/>
      </left>
      <right/>
      <top/>
      <bottom/>
      <diagonal/>
    </border>
    <border>
      <left/>
      <right style="thick">
        <color indexed="64"/>
      </right>
      <top/>
      <bottom style="medium">
        <color indexed="64"/>
      </bottom>
      <diagonal/>
    </border>
    <border>
      <left style="thick">
        <color indexed="64"/>
      </left>
      <right/>
      <top/>
      <bottom style="medium">
        <color indexed="64"/>
      </bottom>
      <diagonal/>
    </border>
    <border>
      <left/>
      <right/>
      <top/>
      <bottom style="medium">
        <color indexed="64"/>
      </bottom>
      <diagonal/>
    </border>
    <border>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dotted">
        <color indexed="64"/>
      </bottom>
      <diagonal/>
    </border>
    <border>
      <left/>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n">
        <color indexed="64"/>
      </left>
      <right style="thin">
        <color indexed="64"/>
      </right>
      <top/>
      <bottom style="thick">
        <color indexed="64"/>
      </bottom>
      <diagonal/>
    </border>
  </borders>
  <cellStyleXfs count="194">
    <xf numFmtId="0" fontId="0" fillId="0" borderId="0" applyBorder="0"/>
    <xf numFmtId="0" fontId="35" fillId="0" borderId="0" applyNumberFormat="0" applyFill="0" applyBorder="0" applyAlignment="0" applyProtection="0">
      <alignment vertical="top"/>
      <protection locked="0"/>
    </xf>
    <xf numFmtId="0" fontId="83" fillId="0" borderId="0"/>
    <xf numFmtId="0" fontId="16" fillId="0" borderId="0"/>
    <xf numFmtId="0" fontId="88" fillId="0" borderId="0"/>
    <xf numFmtId="0" fontId="16" fillId="0" borderId="0"/>
    <xf numFmtId="0" fontId="16" fillId="0" borderId="0" applyBorder="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7" fillId="0" borderId="0"/>
    <xf numFmtId="0" fontId="10" fillId="0" borderId="0"/>
    <xf numFmtId="0" fontId="37" fillId="0" borderId="0"/>
    <xf numFmtId="0" fontId="10" fillId="0" borderId="0"/>
    <xf numFmtId="0" fontId="37" fillId="0" borderId="0"/>
    <xf numFmtId="0" fontId="10" fillId="0" borderId="0"/>
    <xf numFmtId="0" fontId="106" fillId="0" borderId="0" applyNumberFormat="0" applyFill="0" applyBorder="0" applyAlignment="0" applyProtection="0"/>
    <xf numFmtId="0" fontId="107" fillId="0" borderId="33" applyNumberFormat="0" applyFill="0" applyAlignment="0" applyProtection="0"/>
    <xf numFmtId="0" fontId="108" fillId="0" borderId="34" applyNumberFormat="0" applyFill="0" applyAlignment="0" applyProtection="0"/>
    <xf numFmtId="0" fontId="109" fillId="0" borderId="35" applyNumberFormat="0" applyFill="0" applyAlignment="0" applyProtection="0"/>
    <xf numFmtId="0" fontId="109" fillId="0" borderId="0" applyNumberFormat="0" applyFill="0" applyBorder="0" applyAlignment="0" applyProtection="0"/>
    <xf numFmtId="0" fontId="110" fillId="27" borderId="0" applyNumberFormat="0" applyBorder="0" applyAlignment="0" applyProtection="0"/>
    <xf numFmtId="0" fontId="111" fillId="28" borderId="0" applyNumberFormat="0" applyBorder="0" applyAlignment="0" applyProtection="0"/>
    <xf numFmtId="0" fontId="112" fillId="29" borderId="0" applyNumberFormat="0" applyBorder="0" applyAlignment="0" applyProtection="0"/>
    <xf numFmtId="0" fontId="113" fillId="30" borderId="36" applyNumberFormat="0" applyAlignment="0" applyProtection="0"/>
    <xf numFmtId="0" fontId="114" fillId="31" borderId="37" applyNumberFormat="0" applyAlignment="0" applyProtection="0"/>
    <xf numFmtId="0" fontId="115" fillId="31" borderId="36" applyNumberFormat="0" applyAlignment="0" applyProtection="0"/>
    <xf numFmtId="0" fontId="116" fillId="0" borderId="38" applyNumberFormat="0" applyFill="0" applyAlignment="0" applyProtection="0"/>
    <xf numFmtId="0" fontId="117" fillId="32" borderId="39"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41" applyNumberFormat="0" applyFill="0" applyAlignment="0" applyProtection="0"/>
    <xf numFmtId="0" fontId="121"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121" fillId="37" borderId="0" applyNumberFormat="0" applyBorder="0" applyAlignment="0" applyProtection="0"/>
    <xf numFmtId="0" fontId="121"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121" fillId="41" borderId="0" applyNumberFormat="0" applyBorder="0" applyAlignment="0" applyProtection="0"/>
    <xf numFmtId="0" fontId="121"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121" fillId="45" borderId="0" applyNumberFormat="0" applyBorder="0" applyAlignment="0" applyProtection="0"/>
    <xf numFmtId="0" fontId="121" fillId="46"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121" fillId="49" borderId="0" applyNumberFormat="0" applyBorder="0" applyAlignment="0" applyProtection="0"/>
    <xf numFmtId="0" fontId="121" fillId="5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121" fillId="53" borderId="0" applyNumberFormat="0" applyBorder="0" applyAlignment="0" applyProtection="0"/>
    <xf numFmtId="0" fontId="121" fillId="54"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121" fillId="57" borderId="0" applyNumberFormat="0" applyBorder="0" applyAlignment="0" applyProtection="0"/>
    <xf numFmtId="0" fontId="7" fillId="0" borderId="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43" fontId="122" fillId="0" borderId="0" applyFont="0" applyFill="0" applyBorder="0" applyAlignment="0" applyProtection="0"/>
    <xf numFmtId="40" fontId="10" fillId="0" borderId="0" applyFont="0" applyFill="0" applyBorder="0" applyAlignment="0" applyProtection="0"/>
    <xf numFmtId="43" fontId="83" fillId="0" borderId="0" applyFont="0" applyFill="0" applyBorder="0" applyAlignment="0" applyProtection="0"/>
    <xf numFmtId="43" fontId="122" fillId="0" borderId="0" applyFont="0" applyFill="0" applyBorder="0" applyAlignment="0" applyProtection="0"/>
    <xf numFmtId="8" fontId="10" fillId="0" borderId="0" applyFont="0" applyFill="0" applyBorder="0" applyAlignment="0" applyProtection="0"/>
    <xf numFmtId="0" fontId="35"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7" fillId="0" borderId="0"/>
    <xf numFmtId="0" fontId="83" fillId="0" borderId="0"/>
    <xf numFmtId="0" fontId="124" fillId="0" borderId="0"/>
    <xf numFmtId="0" fontId="8" fillId="0" borderId="0"/>
    <xf numFmtId="0" fontId="8" fillId="0" borderId="0"/>
    <xf numFmtId="0" fontId="8" fillId="0" borderId="0" applyBorder="0"/>
    <xf numFmtId="0" fontId="7" fillId="0" borderId="0"/>
    <xf numFmtId="0" fontId="77" fillId="33" borderId="40" applyNumberFormat="0" applyFont="0" applyAlignment="0" applyProtection="0"/>
    <xf numFmtId="0" fontId="77" fillId="33" borderId="40" applyNumberFormat="0" applyFont="0" applyAlignment="0" applyProtection="0"/>
    <xf numFmtId="0" fontId="77" fillId="33" borderId="40" applyNumberFormat="0" applyFont="0" applyAlignment="0" applyProtection="0"/>
    <xf numFmtId="9" fontId="10" fillId="0" borderId="0" applyFont="0" applyFill="0" applyBorder="0" applyAlignment="0" applyProtection="0"/>
    <xf numFmtId="40" fontId="10" fillId="0" borderId="0" applyFont="0" applyFill="0" applyBorder="0" applyAlignment="0" applyProtection="0"/>
    <xf numFmtId="0" fontId="125" fillId="0" borderId="0" applyNumberFormat="0" applyFill="0" applyBorder="0" applyAlignment="0" applyProtection="0"/>
    <xf numFmtId="0" fontId="7" fillId="33" borderId="40" applyNumberFormat="0" applyFont="0" applyAlignment="0" applyProtection="0"/>
    <xf numFmtId="43" fontId="88" fillId="0" borderId="0" applyFont="0" applyFill="0" applyBorder="0" applyAlignment="0" applyProtection="0"/>
    <xf numFmtId="0" fontId="7" fillId="33" borderId="40" applyNumberFormat="0" applyFont="0" applyAlignment="0" applyProtection="0"/>
    <xf numFmtId="0" fontId="7" fillId="0" borderId="0"/>
    <xf numFmtId="0" fontId="88" fillId="0" borderId="0"/>
    <xf numFmtId="0" fontId="10" fillId="0" borderId="0"/>
    <xf numFmtId="0" fontId="8" fillId="0" borderId="0" applyBorder="0"/>
    <xf numFmtId="0" fontId="7" fillId="0" borderId="0"/>
    <xf numFmtId="0" fontId="8" fillId="0" borderId="0" applyBorder="0"/>
    <xf numFmtId="0" fontId="8" fillId="0" borderId="0"/>
    <xf numFmtId="0" fontId="7" fillId="33" borderId="40" applyNumberFormat="0" applyFont="0" applyAlignment="0" applyProtection="0"/>
    <xf numFmtId="43" fontId="88" fillId="0" borderId="0" applyFont="0" applyFill="0" applyBorder="0" applyAlignment="0" applyProtection="0"/>
    <xf numFmtId="0" fontId="8" fillId="0" borderId="0"/>
    <xf numFmtId="0" fontId="8" fillId="0" borderId="0"/>
    <xf numFmtId="0" fontId="88" fillId="0" borderId="0"/>
    <xf numFmtId="0" fontId="77" fillId="33" borderId="40" applyNumberFormat="0" applyFont="0" applyAlignment="0" applyProtection="0"/>
    <xf numFmtId="0" fontId="6" fillId="0" borderId="0"/>
    <xf numFmtId="0" fontId="6" fillId="35"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33" borderId="40" applyNumberFormat="0" applyFont="0" applyAlignment="0" applyProtection="0"/>
    <xf numFmtId="0" fontId="6" fillId="33" borderId="40" applyNumberFormat="0" applyFont="0" applyAlignment="0" applyProtection="0"/>
    <xf numFmtId="0" fontId="6" fillId="0" borderId="0"/>
    <xf numFmtId="0" fontId="6" fillId="0" borderId="0"/>
    <xf numFmtId="0" fontId="6" fillId="33" borderId="40" applyNumberFormat="0" applyFont="0" applyAlignment="0" applyProtection="0"/>
    <xf numFmtId="0" fontId="8" fillId="0" borderId="0"/>
    <xf numFmtId="0" fontId="8" fillId="0" borderId="0" applyBorder="0"/>
    <xf numFmtId="0" fontId="5" fillId="0" borderId="0"/>
    <xf numFmtId="0" fontId="10" fillId="0" borderId="0"/>
    <xf numFmtId="0" fontId="88" fillId="0" borderId="0"/>
    <xf numFmtId="0" fontId="4" fillId="0" borderId="0"/>
    <xf numFmtId="0" fontId="8" fillId="0" borderId="0"/>
    <xf numFmtId="0" fontId="8" fillId="0" borderId="0"/>
    <xf numFmtId="0" fontId="88" fillId="0" borderId="0"/>
    <xf numFmtId="0" fontId="3" fillId="0" borderId="0"/>
    <xf numFmtId="38" fontId="10" fillId="0" borderId="0" applyFont="0" applyFill="0" applyBorder="0" applyAlignment="0" applyProtection="0"/>
    <xf numFmtId="0" fontId="10" fillId="0" borderId="0"/>
    <xf numFmtId="0" fontId="14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 fillId="0" borderId="0"/>
    <xf numFmtId="0" fontId="8" fillId="0" borderId="0"/>
    <xf numFmtId="0" fontId="1" fillId="0" borderId="0"/>
  </cellStyleXfs>
  <cellXfs count="5317">
    <xf numFmtId="0" fontId="0" fillId="0" borderId="0" xfId="0"/>
    <xf numFmtId="0" fontId="11" fillId="0" borderId="0" xfId="48" applyFont="1" applyAlignment="1" applyProtection="1">
      <alignment horizontal="centerContinuous"/>
    </xf>
    <xf numFmtId="0" fontId="12" fillId="0" borderId="0" xfId="48" applyFont="1" applyAlignment="1" applyProtection="1">
      <alignment horizontal="centerContinuous"/>
    </xf>
    <xf numFmtId="0" fontId="8" fillId="0" borderId="0" xfId="48" applyFont="1" applyAlignment="1" applyProtection="1">
      <alignment horizontal="centerContinuous"/>
    </xf>
    <xf numFmtId="0" fontId="8" fillId="0" borderId="0" xfId="48" applyFont="1" applyProtection="1"/>
    <xf numFmtId="0" fontId="12" fillId="0" borderId="0" xfId="48" applyFont="1" applyProtection="1"/>
    <xf numFmtId="0" fontId="11" fillId="0" borderId="0" xfId="48" applyFont="1" applyProtection="1"/>
    <xf numFmtId="0" fontId="12" fillId="0" borderId="1" xfId="48" applyFont="1" applyBorder="1" applyProtection="1">
      <protection locked="0"/>
    </xf>
    <xf numFmtId="0" fontId="8" fillId="0" borderId="0" xfId="48" applyFont="1"/>
    <xf numFmtId="165" fontId="11" fillId="2" borderId="1" xfId="48" applyNumberFormat="1" applyFont="1" applyFill="1" applyBorder="1" applyAlignment="1" applyProtection="1">
      <alignment horizontal="left"/>
      <protection locked="0"/>
    </xf>
    <xf numFmtId="0" fontId="8" fillId="0" borderId="0" xfId="48" applyFont="1" applyBorder="1" applyProtection="1"/>
    <xf numFmtId="3" fontId="8" fillId="0" borderId="1" xfId="48" applyNumberFormat="1" applyFont="1" applyFill="1" applyBorder="1" applyProtection="1"/>
    <xf numFmtId="3" fontId="8" fillId="2" borderId="1" xfId="48" applyNumberFormat="1" applyFont="1" applyFill="1" applyBorder="1" applyAlignment="1" applyProtection="1">
      <protection locked="0"/>
    </xf>
    <xf numFmtId="5" fontId="8" fillId="0" borderId="0" xfId="48" applyNumberFormat="1" applyFont="1" applyBorder="1" applyAlignment="1" applyProtection="1"/>
    <xf numFmtId="49" fontId="12" fillId="0" borderId="0" xfId="48" applyNumberFormat="1" applyFont="1" applyProtection="1"/>
    <xf numFmtId="0" fontId="12" fillId="0" borderId="0" xfId="48" applyFont="1" applyAlignment="1" applyProtection="1">
      <alignment horizontal="center"/>
    </xf>
    <xf numFmtId="37" fontId="8" fillId="0" borderId="0" xfId="48" applyNumberFormat="1" applyFont="1" applyProtection="1"/>
    <xf numFmtId="169" fontId="8" fillId="2" borderId="1" xfId="48" applyNumberFormat="1" applyFont="1" applyFill="1" applyBorder="1" applyProtection="1">
      <protection locked="0"/>
    </xf>
    <xf numFmtId="169" fontId="8" fillId="0" borderId="0" xfId="48" applyNumberFormat="1" applyFont="1" applyProtection="1"/>
    <xf numFmtId="37" fontId="8" fillId="2" borderId="1" xfId="48" applyNumberFormat="1" applyFont="1" applyFill="1" applyBorder="1" applyProtection="1">
      <protection locked="0"/>
    </xf>
    <xf numFmtId="37" fontId="8" fillId="0" borderId="0" xfId="48" applyNumberFormat="1" applyFont="1" applyFill="1" applyBorder="1" applyProtection="1"/>
    <xf numFmtId="0" fontId="8" fillId="0" borderId="0" xfId="48" applyFont="1" applyFill="1"/>
    <xf numFmtId="37" fontId="8" fillId="0" borderId="0" xfId="48" applyNumberFormat="1" applyFont="1" applyBorder="1" applyProtection="1"/>
    <xf numFmtId="0" fontId="8" fillId="0" borderId="0" xfId="48" applyFont="1" applyProtection="1">
      <protection locked="0"/>
    </xf>
    <xf numFmtId="0" fontId="15" fillId="0" borderId="0" xfId="48" applyFont="1" applyProtection="1"/>
    <xf numFmtId="14" fontId="8" fillId="2" borderId="1" xfId="48" applyNumberFormat="1" applyFont="1" applyFill="1" applyBorder="1" applyProtection="1">
      <protection locked="0"/>
    </xf>
    <xf numFmtId="1" fontId="8" fillId="2" borderId="1" xfId="48" applyNumberFormat="1" applyFont="1" applyFill="1" applyBorder="1" applyProtection="1">
      <protection locked="0"/>
    </xf>
    <xf numFmtId="5" fontId="8" fillId="2" borderId="1" xfId="48" applyNumberFormat="1" applyFont="1" applyFill="1" applyBorder="1" applyProtection="1">
      <protection locked="0"/>
    </xf>
    <xf numFmtId="14" fontId="12" fillId="0" borderId="1" xfId="48" applyNumberFormat="1" applyFont="1" applyBorder="1" applyAlignment="1" applyProtection="1">
      <alignment horizontal="center"/>
    </xf>
    <xf numFmtId="168" fontId="8" fillId="2" borderId="1" xfId="48" applyNumberFormat="1" applyFont="1" applyFill="1" applyBorder="1" applyProtection="1">
      <protection locked="0"/>
    </xf>
    <xf numFmtId="0" fontId="16" fillId="0" borderId="0" xfId="48" applyFont="1" applyProtection="1"/>
    <xf numFmtId="2" fontId="17" fillId="0" borderId="0" xfId="48" applyNumberFormat="1" applyFont="1" applyBorder="1" applyProtection="1"/>
    <xf numFmtId="0" fontId="16" fillId="0" borderId="0" xfId="48" applyFont="1"/>
    <xf numFmtId="3" fontId="16" fillId="0" borderId="0" xfId="48" applyNumberFormat="1" applyFont="1"/>
    <xf numFmtId="0" fontId="19" fillId="0" borderId="0" xfId="48" applyFont="1" applyBorder="1"/>
    <xf numFmtId="3" fontId="19" fillId="0" borderId="0" xfId="48" applyNumberFormat="1" applyFont="1"/>
    <xf numFmtId="0" fontId="19" fillId="0" borderId="0" xfId="48" applyFont="1"/>
    <xf numFmtId="171" fontId="19" fillId="0" borderId="0" xfId="48" applyNumberFormat="1" applyFont="1"/>
    <xf numFmtId="0" fontId="8" fillId="0" borderId="0" xfId="8" applyFont="1" applyFill="1" applyAlignment="1" applyProtection="1">
      <alignment horizontal="right"/>
    </xf>
    <xf numFmtId="0" fontId="8" fillId="0" borderId="0" xfId="8" applyFont="1" applyFill="1" applyProtection="1"/>
    <xf numFmtId="0" fontId="20" fillId="0" borderId="0" xfId="8" applyFont="1" applyFill="1" applyProtection="1"/>
    <xf numFmtId="0" fontId="8" fillId="0" borderId="0" xfId="8" applyFont="1" applyFill="1" applyAlignment="1" applyProtection="1">
      <alignment horizontal="centerContinuous"/>
      <protection locked="0"/>
    </xf>
    <xf numFmtId="0" fontId="8" fillId="0" borderId="0" xfId="8" applyFont="1" applyFill="1" applyAlignment="1" applyProtection="1"/>
    <xf numFmtId="0" fontId="8" fillId="0" borderId="0" xfId="8" applyFont="1" applyFill="1" applyProtection="1">
      <protection locked="0"/>
    </xf>
    <xf numFmtId="0" fontId="20" fillId="0" borderId="0" xfId="8" applyFont="1" applyFill="1" applyProtection="1">
      <protection locked="0"/>
    </xf>
    <xf numFmtId="0" fontId="8" fillId="0" borderId="0" xfId="8" applyFont="1" applyFill="1" applyAlignment="1" applyProtection="1">
      <alignment horizontal="centerContinuous"/>
    </xf>
    <xf numFmtId="0" fontId="8" fillId="0" borderId="0" xfId="8" applyFont="1" applyFill="1" applyAlignment="1" applyProtection="1">
      <alignment vertical="top"/>
    </xf>
    <xf numFmtId="0" fontId="8" fillId="0" borderId="2" xfId="8" applyFont="1" applyFill="1" applyBorder="1" applyAlignment="1" applyProtection="1">
      <alignment horizontal="centerContinuous" vertical="top"/>
    </xf>
    <xf numFmtId="0" fontId="8" fillId="0" borderId="3" xfId="8" applyFont="1" applyFill="1" applyBorder="1" applyAlignment="1" applyProtection="1">
      <alignment horizontal="centerContinuous" vertical="top"/>
    </xf>
    <xf numFmtId="0" fontId="8" fillId="0" borderId="0" xfId="8" applyFont="1" applyFill="1" applyAlignment="1" applyProtection="1">
      <alignment horizontal="left" vertical="top"/>
    </xf>
    <xf numFmtId="0" fontId="8" fillId="0" borderId="0" xfId="8" applyFont="1" applyFill="1" applyBorder="1" applyProtection="1"/>
    <xf numFmtId="0" fontId="8" fillId="0" borderId="4" xfId="8" applyFont="1" applyFill="1" applyBorder="1" applyAlignment="1" applyProtection="1">
      <alignment horizontal="center" vertical="top"/>
    </xf>
    <xf numFmtId="0" fontId="8" fillId="0" borderId="0" xfId="8" applyFont="1" applyFill="1" applyAlignment="1" applyProtection="1">
      <alignment horizontal="center" vertical="top"/>
    </xf>
    <xf numFmtId="0" fontId="8" fillId="0" borderId="0" xfId="8" applyFont="1" applyFill="1" applyBorder="1" applyAlignment="1" applyProtection="1"/>
    <xf numFmtId="0" fontId="12" fillId="0" borderId="0" xfId="8" applyFont="1" applyFill="1" applyBorder="1" applyAlignment="1" applyProtection="1"/>
    <xf numFmtId="0" fontId="8" fillId="0" borderId="5" xfId="8" applyFont="1" applyFill="1" applyBorder="1" applyAlignment="1" applyProtection="1">
      <alignment vertical="top"/>
    </xf>
    <xf numFmtId="0" fontId="8" fillId="0" borderId="6" xfId="8" applyFont="1" applyFill="1" applyBorder="1" applyAlignment="1" applyProtection="1">
      <alignment vertical="top"/>
    </xf>
    <xf numFmtId="0" fontId="8" fillId="0" borderId="7" xfId="8" applyFont="1" applyFill="1" applyBorder="1" applyAlignment="1" applyProtection="1">
      <alignment horizontal="center" vertical="top"/>
    </xf>
    <xf numFmtId="0" fontId="8" fillId="0" borderId="8" xfId="8" applyFont="1" applyFill="1" applyBorder="1" applyAlignment="1" applyProtection="1">
      <alignment horizontal="centerContinuous" vertical="top"/>
    </xf>
    <xf numFmtId="0" fontId="8" fillId="0" borderId="9" xfId="8" applyFont="1" applyFill="1" applyBorder="1" applyAlignment="1" applyProtection="1">
      <alignment horizontal="centerContinuous" vertical="top"/>
    </xf>
    <xf numFmtId="173" fontId="8" fillId="0" borderId="7" xfId="8" applyNumberFormat="1" applyFont="1" applyFill="1" applyBorder="1" applyAlignment="1" applyProtection="1">
      <alignment horizontal="center" vertical="top"/>
    </xf>
    <xf numFmtId="0" fontId="8" fillId="0" borderId="0" xfId="8" applyFont="1" applyFill="1" applyBorder="1" applyAlignment="1" applyProtection="1">
      <alignment horizontal="centerContinuous"/>
    </xf>
    <xf numFmtId="0" fontId="8" fillId="0" borderId="10" xfId="8" applyFont="1" applyFill="1" applyBorder="1" applyAlignment="1" applyProtection="1">
      <alignment vertical="top"/>
    </xf>
    <xf numFmtId="0" fontId="8" fillId="0" borderId="11" xfId="8" applyFont="1" applyFill="1" applyBorder="1" applyAlignment="1" applyProtection="1">
      <alignment vertical="top"/>
    </xf>
    <xf numFmtId="0" fontId="8" fillId="0" borderId="12" xfId="8" applyFont="1" applyFill="1" applyBorder="1" applyAlignment="1" applyProtection="1">
      <alignment horizontal="center" vertical="top"/>
    </xf>
    <xf numFmtId="172" fontId="8" fillId="0" borderId="12" xfId="8" applyNumberFormat="1" applyFont="1" applyFill="1" applyBorder="1" applyAlignment="1" applyProtection="1">
      <alignment horizontal="center" vertical="top"/>
    </xf>
    <xf numFmtId="173" fontId="8" fillId="0" borderId="2" xfId="8" applyNumberFormat="1" applyFont="1" applyFill="1" applyBorder="1" applyAlignment="1" applyProtection="1">
      <alignment horizontal="left" vertical="top"/>
    </xf>
    <xf numFmtId="173" fontId="8" fillId="0" borderId="3" xfId="8" applyNumberFormat="1" applyFont="1" applyFill="1" applyBorder="1" applyAlignment="1" applyProtection="1">
      <alignment horizontal="left" vertical="top"/>
    </xf>
    <xf numFmtId="173" fontId="8" fillId="0" borderId="13" xfId="8" applyNumberFormat="1" applyFont="1" applyFill="1" applyBorder="1" applyAlignment="1" applyProtection="1">
      <alignment horizontal="center" vertical="top"/>
    </xf>
    <xf numFmtId="3" fontId="8" fillId="0" borderId="4" xfId="8" applyNumberFormat="1" applyFont="1" applyFill="1" applyBorder="1" applyAlignment="1" applyProtection="1">
      <alignment vertical="top"/>
    </xf>
    <xf numFmtId="0" fontId="20" fillId="0" borderId="0" xfId="8" applyFont="1" applyFill="1" applyAlignment="1" applyProtection="1">
      <alignment vertical="top"/>
    </xf>
    <xf numFmtId="173" fontId="8" fillId="0" borderId="13" xfId="8" applyNumberFormat="1" applyFont="1" applyFill="1" applyBorder="1" applyAlignment="1" applyProtection="1">
      <alignment horizontal="left" vertical="top"/>
    </xf>
    <xf numFmtId="3" fontId="8" fillId="0" borderId="7" xfId="8" applyNumberFormat="1" applyFont="1" applyFill="1" applyBorder="1" applyAlignment="1" applyProtection="1">
      <alignment vertical="top"/>
    </xf>
    <xf numFmtId="3" fontId="8" fillId="0" borderId="12" xfId="8" applyNumberFormat="1" applyFont="1" applyFill="1" applyBorder="1" applyAlignment="1" applyProtection="1">
      <alignment vertical="top"/>
    </xf>
    <xf numFmtId="3" fontId="8" fillId="0" borderId="12" xfId="8" applyNumberFormat="1" applyFont="1" applyFill="1" applyBorder="1" applyAlignment="1" applyProtection="1">
      <alignment horizontal="center" vertical="top"/>
    </xf>
    <xf numFmtId="0" fontId="8" fillId="0" borderId="0" xfId="8" applyFont="1" applyFill="1" applyAlignment="1" applyProtection="1">
      <alignment vertical="top"/>
      <protection locked="0"/>
    </xf>
    <xf numFmtId="0" fontId="8" fillId="0" borderId="0" xfId="8" applyFont="1" applyFill="1" applyBorder="1" applyAlignment="1" applyProtection="1">
      <alignment vertical="top"/>
      <protection locked="0"/>
    </xf>
    <xf numFmtId="0" fontId="20" fillId="0" borderId="0" xfId="8" applyFont="1" applyFill="1" applyAlignment="1" applyProtection="1">
      <alignment vertical="top"/>
      <protection locked="0"/>
    </xf>
    <xf numFmtId="3" fontId="8" fillId="0" borderId="13" xfId="8" applyNumberFormat="1" applyFont="1" applyFill="1" applyBorder="1" applyAlignment="1" applyProtection="1">
      <alignment vertical="top"/>
    </xf>
    <xf numFmtId="169" fontId="8" fillId="0" borderId="13" xfId="8" applyNumberFormat="1" applyFont="1" applyFill="1" applyBorder="1" applyAlignment="1" applyProtection="1">
      <alignment vertical="top"/>
      <protection locked="0"/>
    </xf>
    <xf numFmtId="3" fontId="8" fillId="0" borderId="0" xfId="8" applyNumberFormat="1" applyFont="1" applyFill="1" applyAlignment="1" applyProtection="1">
      <alignment vertical="top"/>
      <protection locked="0"/>
    </xf>
    <xf numFmtId="169" fontId="8" fillId="0" borderId="4" xfId="8" applyNumberFormat="1" applyFont="1" applyFill="1" applyBorder="1" applyAlignment="1" applyProtection="1">
      <alignment vertical="top"/>
    </xf>
    <xf numFmtId="169" fontId="8" fillId="0" borderId="7" xfId="8" applyNumberFormat="1" applyFont="1" applyFill="1" applyBorder="1" applyAlignment="1" applyProtection="1">
      <alignment vertical="top"/>
    </xf>
    <xf numFmtId="169" fontId="8" fillId="0" borderId="12" xfId="8" applyNumberFormat="1" applyFont="1" applyFill="1" applyBorder="1" applyAlignment="1" applyProtection="1">
      <alignment vertical="top"/>
      <protection locked="0"/>
    </xf>
    <xf numFmtId="0" fontId="8" fillId="0" borderId="0" xfId="8" applyFont="1" applyFill="1" applyBorder="1" applyAlignment="1" applyProtection="1">
      <alignment horizontal="centerContinuous" vertical="top"/>
      <protection locked="0"/>
    </xf>
    <xf numFmtId="169" fontId="8" fillId="0" borderId="4" xfId="8" applyNumberFormat="1" applyFont="1" applyFill="1" applyBorder="1" applyAlignment="1" applyProtection="1">
      <alignment vertical="top"/>
      <protection locked="0"/>
    </xf>
    <xf numFmtId="0" fontId="8" fillId="0" borderId="0" xfId="8" applyFont="1" applyFill="1"/>
    <xf numFmtId="3" fontId="8" fillId="0" borderId="8" xfId="8" applyNumberFormat="1" applyFont="1" applyFill="1" applyBorder="1" applyAlignment="1" applyProtection="1">
      <alignment vertical="top"/>
    </xf>
    <xf numFmtId="173" fontId="8" fillId="0" borderId="4" xfId="8" applyNumberFormat="1" applyFont="1" applyFill="1" applyBorder="1" applyAlignment="1" applyProtection="1">
      <alignment horizontal="left" vertical="top"/>
    </xf>
    <xf numFmtId="173" fontId="8" fillId="0" borderId="4" xfId="8" applyNumberFormat="1" applyFont="1" applyFill="1" applyBorder="1" applyAlignment="1" applyProtection="1">
      <alignment horizontal="center" vertical="top"/>
    </xf>
    <xf numFmtId="173" fontId="8" fillId="0" borderId="12" xfId="8" applyNumberFormat="1" applyFont="1" applyFill="1" applyBorder="1" applyAlignment="1" applyProtection="1">
      <alignment horizontal="left" vertical="top"/>
    </xf>
    <xf numFmtId="173" fontId="8" fillId="0" borderId="12" xfId="8" applyNumberFormat="1" applyFont="1" applyFill="1" applyBorder="1" applyAlignment="1" applyProtection="1">
      <alignment horizontal="center" vertical="top"/>
    </xf>
    <xf numFmtId="3" fontId="8" fillId="0" borderId="10" xfId="8" applyNumberFormat="1" applyFont="1" applyFill="1" applyBorder="1" applyAlignment="1" applyProtection="1">
      <alignment vertical="top"/>
    </xf>
    <xf numFmtId="0" fontId="8" fillId="0" borderId="0" xfId="8" applyFont="1" applyFill="1" applyAlignment="1">
      <alignment vertical="top"/>
    </xf>
    <xf numFmtId="0" fontId="9" fillId="0" borderId="0" xfId="8" applyFont="1" applyFill="1" applyAlignment="1" applyProtection="1">
      <alignment vertical="top"/>
    </xf>
    <xf numFmtId="0" fontId="8" fillId="0" borderId="0" xfId="8" applyFont="1" applyFill="1" applyAlignment="1" applyProtection="1">
      <alignment horizontal="center" vertical="top"/>
      <protection locked="0"/>
    </xf>
    <xf numFmtId="0" fontId="8" fillId="0" borderId="2" xfId="8" applyFont="1" applyFill="1" applyBorder="1" applyAlignment="1" applyProtection="1">
      <alignment horizontal="centerContinuous"/>
    </xf>
    <xf numFmtId="0" fontId="8" fillId="0" borderId="3" xfId="8" applyFont="1" applyFill="1" applyBorder="1" applyAlignment="1" applyProtection="1">
      <alignment horizontal="centerContinuous"/>
    </xf>
    <xf numFmtId="0" fontId="8" fillId="0" borderId="0" xfId="8" applyFont="1" applyFill="1" applyAlignment="1" applyProtection="1">
      <alignment horizontal="left"/>
    </xf>
    <xf numFmtId="173" fontId="8" fillId="0" borderId="0" xfId="8" applyNumberFormat="1" applyFont="1" applyFill="1" applyAlignment="1" applyProtection="1">
      <alignment horizontal="center"/>
    </xf>
    <xf numFmtId="0" fontId="8" fillId="0" borderId="4" xfId="8" applyFont="1" applyFill="1" applyBorder="1" applyAlignment="1" applyProtection="1">
      <alignment horizontal="center"/>
    </xf>
    <xf numFmtId="0" fontId="8" fillId="0" borderId="0" xfId="8" applyFont="1" applyFill="1" applyAlignment="1" applyProtection="1">
      <alignment horizontal="center"/>
    </xf>
    <xf numFmtId="0" fontId="8" fillId="0" borderId="5" xfId="8" applyFont="1" applyFill="1" applyBorder="1" applyProtection="1"/>
    <xf numFmtId="0" fontId="8" fillId="0" borderId="6" xfId="8" applyFont="1" applyFill="1" applyBorder="1" applyProtection="1"/>
    <xf numFmtId="173" fontId="8" fillId="0" borderId="4" xfId="8" applyNumberFormat="1" applyFont="1" applyFill="1" applyBorder="1" applyAlignment="1" applyProtection="1">
      <alignment horizontal="center"/>
    </xf>
    <xf numFmtId="0" fontId="8" fillId="0" borderId="7" xfId="8" applyFont="1" applyFill="1" applyBorder="1" applyAlignment="1" applyProtection="1">
      <alignment horizontal="center"/>
    </xf>
    <xf numFmtId="0" fontId="8" fillId="0" borderId="8" xfId="8" applyFont="1" applyFill="1" applyBorder="1" applyAlignment="1" applyProtection="1">
      <alignment horizontal="centerContinuous"/>
    </xf>
    <xf numFmtId="0" fontId="8" fillId="0" borderId="9" xfId="8" applyFont="1" applyFill="1" applyBorder="1" applyAlignment="1" applyProtection="1">
      <alignment horizontal="centerContinuous"/>
    </xf>
    <xf numFmtId="173" fontId="8" fillId="0" borderId="7" xfId="8" applyNumberFormat="1" applyFont="1" applyFill="1" applyBorder="1" applyAlignment="1" applyProtection="1">
      <alignment horizontal="center"/>
    </xf>
    <xf numFmtId="0" fontId="8" fillId="0" borderId="8" xfId="8" applyFont="1" applyFill="1" applyBorder="1" applyProtection="1"/>
    <xf numFmtId="0" fontId="8" fillId="0" borderId="9" xfId="8" applyFont="1" applyFill="1" applyBorder="1" applyProtection="1"/>
    <xf numFmtId="172" fontId="8" fillId="0" borderId="7" xfId="8" applyNumberFormat="1" applyFont="1" applyFill="1" applyBorder="1" applyAlignment="1" applyProtection="1">
      <alignment horizontal="center"/>
    </xf>
    <xf numFmtId="172" fontId="8" fillId="0" borderId="12" xfId="8" applyNumberFormat="1" applyFont="1" applyFill="1" applyBorder="1" applyAlignment="1" applyProtection="1">
      <alignment horizontal="center"/>
    </xf>
    <xf numFmtId="173" fontId="8" fillId="0" borderId="5" xfId="8" applyNumberFormat="1" applyFont="1" applyFill="1" applyBorder="1" applyAlignment="1" applyProtection="1">
      <alignment horizontal="center"/>
    </xf>
    <xf numFmtId="3" fontId="8" fillId="0" borderId="4" xfId="8" applyNumberFormat="1" applyFont="1" applyFill="1" applyBorder="1" applyProtection="1"/>
    <xf numFmtId="3" fontId="8" fillId="0" borderId="6" xfId="8" applyNumberFormat="1" applyFont="1" applyFill="1" applyBorder="1" applyProtection="1"/>
    <xf numFmtId="0" fontId="8" fillId="0" borderId="10" xfId="8" applyFont="1" applyFill="1" applyBorder="1" applyProtection="1"/>
    <xf numFmtId="173" fontId="8" fillId="0" borderId="10" xfId="8" applyNumberFormat="1" applyFont="1" applyFill="1" applyBorder="1" applyAlignment="1" applyProtection="1">
      <alignment horizontal="center"/>
    </xf>
    <xf numFmtId="3" fontId="8" fillId="0" borderId="12" xfId="8" applyNumberFormat="1" applyFont="1" applyFill="1" applyBorder="1" applyProtection="1"/>
    <xf numFmtId="3" fontId="8" fillId="0" borderId="9" xfId="8" applyNumberFormat="1" applyFont="1" applyFill="1" applyBorder="1" applyProtection="1"/>
    <xf numFmtId="3" fontId="8" fillId="0" borderId="7" xfId="8" applyNumberFormat="1" applyFont="1" applyFill="1" applyBorder="1" applyProtection="1"/>
    <xf numFmtId="0" fontId="8" fillId="0" borderId="12" xfId="8" applyFont="1" applyFill="1" applyBorder="1" applyProtection="1"/>
    <xf numFmtId="173" fontId="8" fillId="0" borderId="12" xfId="8" applyNumberFormat="1" applyFont="1" applyFill="1" applyBorder="1" applyAlignment="1" applyProtection="1">
      <alignment horizontal="center"/>
    </xf>
    <xf numFmtId="169" fontId="8" fillId="0" borderId="12" xfId="8" applyNumberFormat="1" applyFont="1" applyFill="1" applyBorder="1" applyProtection="1">
      <protection locked="0"/>
    </xf>
    <xf numFmtId="0" fontId="8" fillId="0" borderId="4" xfId="8" applyFont="1" applyFill="1" applyBorder="1" applyProtection="1"/>
    <xf numFmtId="169" fontId="8" fillId="0" borderId="4" xfId="8" applyNumberFormat="1" applyFont="1" applyFill="1" applyBorder="1" applyProtection="1"/>
    <xf numFmtId="0" fontId="8" fillId="0" borderId="13" xfId="8" applyFont="1" applyFill="1" applyBorder="1" applyProtection="1"/>
    <xf numFmtId="173" fontId="8" fillId="0" borderId="13" xfId="8" applyNumberFormat="1" applyFont="1" applyFill="1" applyBorder="1" applyAlignment="1" applyProtection="1">
      <alignment horizontal="center"/>
    </xf>
    <xf numFmtId="3" fontId="8" fillId="0" borderId="13" xfId="8" applyNumberFormat="1" applyFont="1" applyFill="1" applyBorder="1" applyProtection="1"/>
    <xf numFmtId="169" fontId="8" fillId="0" borderId="13" xfId="8" applyNumberFormat="1" applyFont="1" applyFill="1" applyBorder="1" applyProtection="1">
      <protection locked="0"/>
    </xf>
    <xf numFmtId="17" fontId="8" fillId="0" borderId="13" xfId="8" applyNumberFormat="1" applyFont="1" applyFill="1" applyBorder="1" applyProtection="1"/>
    <xf numFmtId="1" fontId="8" fillId="0" borderId="13" xfId="8" applyNumberFormat="1" applyFont="1" applyFill="1" applyBorder="1" applyProtection="1"/>
    <xf numFmtId="3" fontId="8" fillId="0" borderId="0" xfId="8" applyNumberFormat="1" applyFont="1" applyFill="1" applyProtection="1"/>
    <xf numFmtId="173" fontId="8" fillId="0" borderId="0" xfId="8" applyNumberFormat="1" applyFont="1" applyFill="1" applyBorder="1" applyAlignment="1" applyProtection="1">
      <alignment horizontal="center"/>
    </xf>
    <xf numFmtId="169" fontId="8" fillId="0" borderId="7" xfId="8" applyNumberFormat="1" applyFont="1" applyFill="1" applyBorder="1" applyProtection="1"/>
    <xf numFmtId="0" fontId="8" fillId="0" borderId="4" xfId="8" applyFont="1" applyFill="1" applyBorder="1" applyProtection="1">
      <protection locked="0"/>
    </xf>
    <xf numFmtId="0" fontId="8" fillId="0" borderId="7" xfId="8" applyFont="1" applyFill="1" applyBorder="1" applyProtection="1">
      <protection locked="0"/>
    </xf>
    <xf numFmtId="0" fontId="8" fillId="0" borderId="1" xfId="8" applyFont="1" applyFill="1" applyBorder="1" applyProtection="1">
      <protection locked="0"/>
    </xf>
    <xf numFmtId="0" fontId="8" fillId="0" borderId="12" xfId="8" applyFont="1" applyFill="1" applyBorder="1" applyProtection="1">
      <protection locked="0"/>
    </xf>
    <xf numFmtId="0" fontId="8" fillId="0" borderId="1" xfId="8" applyFont="1" applyFill="1" applyBorder="1" applyProtection="1"/>
    <xf numFmtId="0" fontId="12" fillId="0" borderId="0" xfId="8" applyFont="1" applyFill="1" applyAlignment="1" applyProtection="1">
      <alignment horizontal="centerContinuous"/>
    </xf>
    <xf numFmtId="0" fontId="8" fillId="0" borderId="5" xfId="8" applyFont="1" applyFill="1" applyBorder="1" applyAlignment="1" applyProtection="1">
      <alignment horizontal="center"/>
    </xf>
    <xf numFmtId="0" fontId="8" fillId="0" borderId="5" xfId="8" applyFont="1" applyFill="1" applyBorder="1" applyAlignment="1" applyProtection="1">
      <alignment horizontal="centerContinuous"/>
    </xf>
    <xf numFmtId="0" fontId="8" fillId="0" borderId="6" xfId="8" applyFont="1" applyFill="1" applyBorder="1" applyAlignment="1" applyProtection="1">
      <alignment horizontal="centerContinuous"/>
    </xf>
    <xf numFmtId="0" fontId="8" fillId="0" borderId="5" xfId="8" applyFont="1" applyFill="1" applyBorder="1" applyAlignment="1" applyProtection="1"/>
    <xf numFmtId="0" fontId="8" fillId="0" borderId="6" xfId="8" applyFont="1" applyFill="1" applyBorder="1" applyAlignment="1" applyProtection="1"/>
    <xf numFmtId="0" fontId="8" fillId="0" borderId="12" xfId="8" applyFont="1" applyFill="1" applyBorder="1" applyAlignment="1" applyProtection="1">
      <alignment horizontal="center"/>
    </xf>
    <xf numFmtId="0" fontId="8" fillId="0" borderId="8" xfId="8" applyFont="1" applyFill="1" applyBorder="1" applyAlignment="1" applyProtection="1">
      <alignment horizontal="center"/>
    </xf>
    <xf numFmtId="0" fontId="8" fillId="0" borderId="10" xfId="8" applyFont="1" applyFill="1" applyBorder="1" applyAlignment="1" applyProtection="1">
      <alignment horizontal="centerContinuous"/>
    </xf>
    <xf numFmtId="0" fontId="8" fillId="0" borderId="11" xfId="8" applyFont="1" applyFill="1" applyBorder="1" applyAlignment="1" applyProtection="1">
      <alignment horizontal="centerContinuous"/>
    </xf>
    <xf numFmtId="0" fontId="8" fillId="0" borderId="10" xfId="8" applyFont="1" applyFill="1" applyBorder="1" applyAlignment="1" applyProtection="1">
      <alignment horizontal="center"/>
    </xf>
    <xf numFmtId="0" fontId="8" fillId="0" borderId="13" xfId="8" applyFont="1" applyFill="1" applyBorder="1" applyAlignment="1" applyProtection="1">
      <alignment horizontal="centerContinuous"/>
    </xf>
    <xf numFmtId="0" fontId="8" fillId="2" borderId="13" xfId="8" applyFont="1" applyFill="1" applyBorder="1" applyProtection="1">
      <protection locked="0"/>
    </xf>
    <xf numFmtId="5" fontId="8" fillId="2" borderId="2" xfId="8" applyNumberFormat="1" applyFont="1" applyFill="1" applyBorder="1" applyProtection="1">
      <protection locked="0"/>
    </xf>
    <xf numFmtId="0" fontId="8" fillId="0" borderId="2" xfId="8" applyFont="1" applyFill="1" applyBorder="1" applyAlignment="1" applyProtection="1">
      <alignment horizontal="right"/>
    </xf>
    <xf numFmtId="3" fontId="8" fillId="2" borderId="3" xfId="8" applyNumberFormat="1" applyFont="1" applyFill="1" applyBorder="1" applyProtection="1">
      <protection locked="0"/>
    </xf>
    <xf numFmtId="3" fontId="8" fillId="2" borderId="13" xfId="8" applyNumberFormat="1" applyFont="1" applyFill="1" applyBorder="1" applyProtection="1">
      <protection locked="0"/>
    </xf>
    <xf numFmtId="0" fontId="8" fillId="0" borderId="2" xfId="8" applyFont="1" applyFill="1" applyBorder="1" applyProtection="1"/>
    <xf numFmtId="0" fontId="8" fillId="0" borderId="13" xfId="8" applyFont="1" applyFill="1" applyBorder="1" applyAlignment="1" applyProtection="1">
      <alignment horizontal="center"/>
    </xf>
    <xf numFmtId="5" fontId="8" fillId="0" borderId="2" xfId="8" applyNumberFormat="1" applyFont="1" applyFill="1" applyBorder="1" applyAlignment="1" applyProtection="1"/>
    <xf numFmtId="0" fontId="8" fillId="0" borderId="2" xfId="8" applyFont="1" applyFill="1" applyBorder="1" applyAlignment="1" applyProtection="1">
      <alignment horizontal="center"/>
    </xf>
    <xf numFmtId="3" fontId="8" fillId="0" borderId="3" xfId="8" applyNumberFormat="1" applyFont="1" applyFill="1" applyBorder="1" applyAlignment="1" applyProtection="1"/>
    <xf numFmtId="0" fontId="12" fillId="0" borderId="0" xfId="8" applyFont="1" applyFill="1" applyAlignment="1" applyProtection="1">
      <alignment horizontal="centerContinuous"/>
      <protection locked="0"/>
    </xf>
    <xf numFmtId="5" fontId="8" fillId="0" borderId="0" xfId="8" applyNumberFormat="1" applyFont="1" applyFill="1" applyProtection="1">
      <protection locked="0"/>
    </xf>
    <xf numFmtId="169" fontId="8" fillId="0" borderId="1" xfId="8" applyNumberFormat="1" applyFont="1" applyFill="1" applyBorder="1" applyProtection="1"/>
    <xf numFmtId="0" fontId="8" fillId="0" borderId="0" xfId="8" applyFont="1" applyFill="1" applyAlignment="1">
      <alignment horizontal="centerContinuous"/>
    </xf>
    <xf numFmtId="169" fontId="8" fillId="0" borderId="0" xfId="8" applyNumberFormat="1" applyFont="1" applyFill="1" applyBorder="1" applyAlignment="1" applyProtection="1">
      <alignment horizontal="right"/>
    </xf>
    <xf numFmtId="0" fontId="20" fillId="0" borderId="0" xfId="8" applyFont="1" applyFill="1" applyBorder="1" applyProtection="1"/>
    <xf numFmtId="0" fontId="20" fillId="0" borderId="0" xfId="8" applyFont="1" applyFill="1" applyBorder="1" applyProtection="1">
      <protection locked="0"/>
    </xf>
    <xf numFmtId="0" fontId="8" fillId="0" borderId="0" xfId="14" applyFont="1" applyProtection="1"/>
    <xf numFmtId="173" fontId="8" fillId="0" borderId="0" xfId="14" applyNumberFormat="1" applyFont="1" applyAlignment="1" applyProtection="1">
      <alignment horizontal="center"/>
    </xf>
    <xf numFmtId="0" fontId="8" fillId="0" borderId="0" xfId="14" applyNumberFormat="1" applyFont="1" applyAlignment="1" applyProtection="1">
      <alignment horizontal="center"/>
    </xf>
    <xf numFmtId="0" fontId="8" fillId="0" borderId="0" xfId="14" applyFont="1" applyAlignment="1" applyProtection="1">
      <alignment horizontal="right"/>
    </xf>
    <xf numFmtId="0" fontId="12" fillId="0" borderId="0" xfId="14" applyFont="1" applyAlignment="1" applyProtection="1">
      <alignment horizontal="centerContinuous"/>
    </xf>
    <xf numFmtId="173" fontId="12" fillId="0" borderId="0" xfId="14" applyNumberFormat="1" applyFont="1" applyAlignment="1" applyProtection="1">
      <alignment horizontal="centerContinuous"/>
    </xf>
    <xf numFmtId="0" fontId="12" fillId="0" borderId="0" xfId="14" applyNumberFormat="1" applyFont="1" applyAlignment="1" applyProtection="1">
      <alignment horizontal="centerContinuous"/>
    </xf>
    <xf numFmtId="0" fontId="20" fillId="0" borderId="0" xfId="14" applyFont="1" applyProtection="1"/>
    <xf numFmtId="14" fontId="8" fillId="0" borderId="1" xfId="14" applyNumberFormat="1" applyFont="1" applyFill="1" applyBorder="1" applyAlignment="1" applyProtection="1">
      <alignment horizontal="center"/>
    </xf>
    <xf numFmtId="169" fontId="8" fillId="0" borderId="1" xfId="14" applyNumberFormat="1" applyFont="1" applyFill="1" applyBorder="1" applyProtection="1"/>
    <xf numFmtId="0" fontId="8" fillId="0" borderId="0" xfId="14" applyFont="1" applyAlignment="1" applyProtection="1">
      <alignment horizontal="center"/>
    </xf>
    <xf numFmtId="1" fontId="8" fillId="0" borderId="1" xfId="14" applyNumberFormat="1" applyFont="1" applyFill="1" applyBorder="1" applyProtection="1"/>
    <xf numFmtId="14" fontId="8" fillId="0" borderId="0" xfId="14" applyNumberFormat="1" applyFont="1" applyBorder="1" applyAlignment="1" applyProtection="1">
      <alignment horizontal="center"/>
    </xf>
    <xf numFmtId="2" fontId="8" fillId="0" borderId="0" xfId="14" applyNumberFormat="1" applyFont="1" applyBorder="1" applyProtection="1"/>
    <xf numFmtId="1" fontId="8" fillId="0" borderId="0" xfId="14" applyNumberFormat="1" applyFont="1" applyBorder="1" applyProtection="1"/>
    <xf numFmtId="0" fontId="8" fillId="0" borderId="0" xfId="14" applyFont="1" applyAlignment="1" applyProtection="1">
      <alignment horizontal="left"/>
    </xf>
    <xf numFmtId="0" fontId="8" fillId="0" borderId="0" xfId="14" applyFont="1" applyBorder="1" applyAlignment="1" applyProtection="1">
      <alignment horizontal="center"/>
    </xf>
    <xf numFmtId="2" fontId="8" fillId="0" borderId="0" xfId="14" applyNumberFormat="1" applyFont="1" applyProtection="1"/>
    <xf numFmtId="14" fontId="8" fillId="2" borderId="1" xfId="14" applyNumberFormat="1" applyFont="1" applyFill="1" applyBorder="1" applyProtection="1">
      <protection locked="0"/>
    </xf>
    <xf numFmtId="14" fontId="8" fillId="0" borderId="0" xfId="14" applyNumberFormat="1" applyFont="1" applyBorder="1" applyProtection="1"/>
    <xf numFmtId="0" fontId="8" fillId="0" borderId="0" xfId="14" applyFont="1" applyBorder="1" applyProtection="1"/>
    <xf numFmtId="14" fontId="8" fillId="2" borderId="1" xfId="14" applyNumberFormat="1" applyFont="1" applyFill="1" applyBorder="1" applyAlignment="1" applyProtection="1">
      <alignment horizontal="center"/>
      <protection locked="0"/>
    </xf>
    <xf numFmtId="174" fontId="8" fillId="0" borderId="0" xfId="14" applyNumberFormat="1" applyFont="1" applyBorder="1" applyAlignment="1" applyProtection="1">
      <alignment horizontal="center"/>
    </xf>
    <xf numFmtId="169" fontId="8" fillId="2" borderId="1" xfId="14" applyNumberFormat="1" applyFont="1" applyFill="1" applyBorder="1" applyProtection="1">
      <protection locked="0"/>
    </xf>
    <xf numFmtId="14" fontId="8" fillId="0" borderId="0" xfId="14" applyNumberFormat="1" applyFont="1" applyAlignment="1" applyProtection="1">
      <alignment horizontal="center"/>
    </xf>
    <xf numFmtId="0" fontId="17" fillId="0" borderId="0" xfId="14" applyFont="1" applyProtection="1"/>
    <xf numFmtId="0" fontId="8" fillId="0" borderId="0" xfId="14" applyFont="1" applyAlignment="1" applyProtection="1">
      <alignment horizontal="centerContinuous"/>
    </xf>
    <xf numFmtId="173" fontId="8" fillId="0" borderId="0" xfId="14" applyNumberFormat="1" applyFont="1" applyAlignment="1" applyProtection="1">
      <alignment horizontal="centerContinuous"/>
    </xf>
    <xf numFmtId="0" fontId="8" fillId="0" borderId="0" xfId="14" applyNumberFormat="1" applyFont="1" applyAlignment="1" applyProtection="1">
      <alignment horizontal="centerContinuous"/>
    </xf>
    <xf numFmtId="0" fontId="8" fillId="0" borderId="0" xfId="14" applyFont="1" applyAlignment="1" applyProtection="1"/>
    <xf numFmtId="0" fontId="8" fillId="0" borderId="0" xfId="24" applyFont="1" applyFill="1" applyProtection="1"/>
    <xf numFmtId="0" fontId="8" fillId="0" borderId="0" xfId="24" applyFont="1" applyFill="1" applyAlignment="1" applyProtection="1">
      <alignment horizontal="right"/>
    </xf>
    <xf numFmtId="0" fontId="8" fillId="0" borderId="0" xfId="24" applyFont="1" applyFill="1" applyAlignment="1" applyProtection="1">
      <alignment horizontal="left"/>
    </xf>
    <xf numFmtId="0" fontId="8" fillId="0" borderId="0" xfId="24" applyFont="1" applyFill="1" applyProtection="1">
      <protection locked="0"/>
    </xf>
    <xf numFmtId="0" fontId="12" fillId="0" borderId="0" xfId="24" applyFont="1" applyFill="1" applyAlignment="1" applyProtection="1">
      <alignment horizontal="centerContinuous"/>
    </xf>
    <xf numFmtId="0" fontId="8" fillId="0" borderId="4" xfId="24" applyFont="1" applyFill="1" applyBorder="1" applyAlignment="1" applyProtection="1">
      <alignment horizontal="center"/>
    </xf>
    <xf numFmtId="0" fontId="8" fillId="0" borderId="6" xfId="24" applyFont="1" applyFill="1" applyBorder="1" applyAlignment="1" applyProtection="1">
      <alignment horizontal="center"/>
    </xf>
    <xf numFmtId="0" fontId="8" fillId="0" borderId="5" xfId="24" applyFont="1" applyFill="1" applyBorder="1" applyAlignment="1" applyProtection="1">
      <alignment horizontal="center"/>
    </xf>
    <xf numFmtId="173" fontId="8" fillId="0" borderId="7" xfId="24" applyNumberFormat="1" applyFont="1" applyFill="1" applyBorder="1" applyAlignment="1" applyProtection="1">
      <alignment horizontal="center"/>
    </xf>
    <xf numFmtId="0" fontId="8" fillId="0" borderId="9" xfId="24" applyFont="1" applyFill="1" applyBorder="1" applyAlignment="1" applyProtection="1">
      <alignment horizontal="center"/>
    </xf>
    <xf numFmtId="169" fontId="8" fillId="0" borderId="0" xfId="24" applyNumberFormat="1" applyFont="1" applyFill="1" applyAlignment="1" applyProtection="1">
      <alignment horizontal="center"/>
    </xf>
    <xf numFmtId="0" fontId="8" fillId="0" borderId="8" xfId="24" applyFont="1" applyFill="1" applyBorder="1" applyAlignment="1" applyProtection="1">
      <alignment horizontal="center"/>
    </xf>
    <xf numFmtId="0" fontId="8" fillId="0" borderId="7" xfId="24" applyFont="1" applyFill="1" applyBorder="1" applyAlignment="1" applyProtection="1">
      <alignment horizontal="center"/>
    </xf>
    <xf numFmtId="14" fontId="8" fillId="0" borderId="7" xfId="24" applyNumberFormat="1" applyFont="1" applyFill="1" applyBorder="1" applyAlignment="1" applyProtection="1">
      <alignment horizontal="center"/>
    </xf>
    <xf numFmtId="0" fontId="8" fillId="0" borderId="1" xfId="24" applyFont="1" applyFill="1" applyBorder="1" applyAlignment="1" applyProtection="1">
      <alignment horizontal="center"/>
    </xf>
    <xf numFmtId="0" fontId="8" fillId="0" borderId="12" xfId="24" applyFont="1" applyFill="1" applyBorder="1" applyAlignment="1" applyProtection="1">
      <alignment horizontal="center"/>
    </xf>
    <xf numFmtId="172" fontId="8" fillId="0" borderId="11" xfId="24" applyNumberFormat="1" applyFont="1" applyFill="1" applyBorder="1" applyAlignment="1" applyProtection="1">
      <alignment horizontal="center"/>
    </xf>
    <xf numFmtId="172" fontId="8" fillId="0" borderId="12" xfId="24" applyNumberFormat="1" applyFont="1" applyFill="1" applyBorder="1" applyAlignment="1" applyProtection="1">
      <alignment horizontal="center"/>
    </xf>
    <xf numFmtId="172" fontId="8" fillId="0" borderId="10" xfId="24" applyNumberFormat="1" applyFont="1" applyFill="1" applyBorder="1" applyAlignment="1" applyProtection="1">
      <alignment horizontal="center"/>
    </xf>
    <xf numFmtId="0" fontId="8" fillId="0" borderId="13" xfId="24" applyFont="1" applyFill="1" applyBorder="1" applyProtection="1"/>
    <xf numFmtId="173" fontId="8" fillId="0" borderId="13" xfId="24" applyNumberFormat="1" applyFont="1" applyFill="1" applyBorder="1" applyAlignment="1" applyProtection="1">
      <alignment horizontal="center"/>
      <protection locked="0"/>
    </xf>
    <xf numFmtId="3" fontId="8" fillId="0" borderId="13" xfId="24" applyNumberFormat="1" applyFont="1" applyFill="1" applyBorder="1" applyAlignment="1" applyProtection="1"/>
    <xf numFmtId="3" fontId="8" fillId="0" borderId="13" xfId="24" quotePrefix="1" applyNumberFormat="1" applyFont="1" applyFill="1" applyBorder="1" applyAlignment="1" applyProtection="1"/>
    <xf numFmtId="0" fontId="8" fillId="0" borderId="12" xfId="24" applyFont="1" applyFill="1" applyBorder="1" applyProtection="1"/>
    <xf numFmtId="173" fontId="8" fillId="0" borderId="12" xfId="24" applyNumberFormat="1" applyFont="1" applyFill="1" applyBorder="1" applyAlignment="1" applyProtection="1">
      <alignment horizontal="center"/>
      <protection locked="0"/>
    </xf>
    <xf numFmtId="3" fontId="8" fillId="0" borderId="12" xfId="24" applyNumberFormat="1" applyFont="1" applyFill="1" applyBorder="1" applyAlignment="1" applyProtection="1"/>
    <xf numFmtId="0" fontId="12" fillId="0" borderId="0" xfId="24" applyFont="1" applyFill="1" applyProtection="1"/>
    <xf numFmtId="173" fontId="8" fillId="0" borderId="0" xfId="24" applyNumberFormat="1" applyFont="1" applyFill="1" applyAlignment="1" applyProtection="1">
      <alignment horizontal="center"/>
    </xf>
    <xf numFmtId="0" fontId="8" fillId="0" borderId="0" xfId="24" applyFont="1" applyFill="1" applyAlignment="1" applyProtection="1">
      <alignment horizontal="center"/>
    </xf>
    <xf numFmtId="173" fontId="8" fillId="0" borderId="0" xfId="24" applyNumberFormat="1" applyFont="1" applyFill="1" applyAlignment="1" applyProtection="1">
      <alignment horizontal="left"/>
    </xf>
    <xf numFmtId="0" fontId="12" fillId="0" borderId="0" xfId="24" applyFont="1" applyFill="1" applyBorder="1" applyAlignment="1" applyProtection="1">
      <alignment horizontal="right"/>
    </xf>
    <xf numFmtId="5" fontId="8" fillId="0" borderId="1" xfId="24" applyNumberFormat="1" applyFont="1" applyFill="1" applyBorder="1" applyProtection="1"/>
    <xf numFmtId="175" fontId="8" fillId="0" borderId="0" xfId="24" applyNumberFormat="1" applyFont="1" applyFill="1" applyBorder="1" applyProtection="1"/>
    <xf numFmtId="169" fontId="8" fillId="0" borderId="1" xfId="24" applyNumberFormat="1" applyFont="1" applyFill="1" applyBorder="1" applyProtection="1"/>
    <xf numFmtId="0" fontId="8" fillId="0" borderId="0" xfId="24" applyFont="1" applyFill="1" applyBorder="1" applyProtection="1"/>
    <xf numFmtId="0" fontId="8" fillId="0" borderId="0" xfId="24" applyFont="1" applyFill="1" applyBorder="1" applyAlignment="1" applyProtection="1">
      <alignment horizontal="center"/>
    </xf>
    <xf numFmtId="3" fontId="8" fillId="0" borderId="0" xfId="24" applyNumberFormat="1" applyFont="1" applyFill="1" applyBorder="1" applyProtection="1"/>
    <xf numFmtId="169" fontId="8" fillId="0" borderId="0" xfId="24" applyNumberFormat="1" applyFont="1" applyFill="1" applyBorder="1" applyAlignment="1" applyProtection="1">
      <alignment horizontal="right"/>
    </xf>
    <xf numFmtId="169" fontId="8" fillId="0" borderId="1" xfId="24" applyNumberFormat="1" applyFont="1" applyFill="1" applyBorder="1" applyAlignment="1" applyProtection="1">
      <alignment horizontal="right"/>
    </xf>
    <xf numFmtId="0" fontId="8" fillId="0" borderId="0" xfId="24" applyFont="1" applyFill="1" applyAlignment="1" applyProtection="1">
      <alignment horizontal="center"/>
      <protection locked="0"/>
    </xf>
    <xf numFmtId="0" fontId="8" fillId="0" borderId="0" xfId="24" quotePrefix="1" applyFont="1" applyFill="1" applyProtection="1"/>
    <xf numFmtId="0" fontId="8" fillId="0" borderId="0" xfId="29" applyFont="1" applyProtection="1"/>
    <xf numFmtId="0" fontId="8" fillId="0" borderId="0" xfId="29" applyFont="1" applyAlignment="1" applyProtection="1">
      <alignment horizontal="right"/>
    </xf>
    <xf numFmtId="0" fontId="8" fillId="0" borderId="1" xfId="29" applyFont="1" applyBorder="1" applyProtection="1"/>
    <xf numFmtId="0" fontId="22" fillId="0" borderId="0" xfId="29" applyFont="1" applyProtection="1">
      <protection locked="0"/>
    </xf>
    <xf numFmtId="0" fontId="12" fillId="0" borderId="0" xfId="29" applyFont="1" applyAlignment="1" applyProtection="1">
      <alignment horizontal="centerContinuous"/>
    </xf>
    <xf numFmtId="0" fontId="8" fillId="0" borderId="0" xfId="29" applyFont="1" applyAlignment="1" applyProtection="1">
      <alignment horizontal="centerContinuous"/>
    </xf>
    <xf numFmtId="0" fontId="8" fillId="0" borderId="4" xfId="29" applyFont="1" applyBorder="1" applyProtection="1"/>
    <xf numFmtId="0" fontId="8" fillId="0" borderId="15" xfId="29" applyFont="1" applyBorder="1" applyProtection="1"/>
    <xf numFmtId="0" fontId="8" fillId="0" borderId="6" xfId="29" applyFont="1" applyBorder="1" applyProtection="1"/>
    <xf numFmtId="0" fontId="8" fillId="0" borderId="5" xfId="29" applyFont="1" applyBorder="1" applyAlignment="1" applyProtection="1">
      <alignment horizontal="centerContinuous"/>
    </xf>
    <xf numFmtId="0" fontId="8" fillId="0" borderId="6" xfId="29" applyFont="1" applyBorder="1" applyAlignment="1" applyProtection="1">
      <alignment horizontal="centerContinuous"/>
    </xf>
    <xf numFmtId="173" fontId="8" fillId="0" borderId="7" xfId="29" applyNumberFormat="1" applyFont="1" applyBorder="1" applyAlignment="1" applyProtection="1">
      <alignment horizontal="center"/>
    </xf>
    <xf numFmtId="0" fontId="8" fillId="0" borderId="7" xfId="29" applyFont="1" applyBorder="1" applyAlignment="1" applyProtection="1">
      <alignment horizontal="center"/>
    </xf>
    <xf numFmtId="0" fontId="8" fillId="0" borderId="1" xfId="29" applyFont="1" applyBorder="1" applyAlignment="1" applyProtection="1">
      <alignment horizontal="centerContinuous"/>
    </xf>
    <xf numFmtId="0" fontId="8" fillId="0" borderId="11" xfId="29" applyFont="1" applyBorder="1" applyAlignment="1" applyProtection="1">
      <alignment horizontal="centerContinuous"/>
    </xf>
    <xf numFmtId="0" fontId="8" fillId="0" borderId="10" xfId="29" applyFont="1" applyBorder="1" applyAlignment="1" applyProtection="1">
      <alignment horizontal="centerContinuous"/>
    </xf>
    <xf numFmtId="0" fontId="8" fillId="0" borderId="4" xfId="29" applyFont="1" applyBorder="1" applyAlignment="1" applyProtection="1">
      <alignment horizontal="centerContinuous"/>
    </xf>
    <xf numFmtId="0" fontId="8" fillId="0" borderId="4" xfId="29" applyFont="1" applyBorder="1" applyAlignment="1" applyProtection="1">
      <alignment horizontal="center"/>
    </xf>
    <xf numFmtId="14" fontId="8" fillId="0" borderId="4" xfId="29" applyNumberFormat="1" applyFont="1" applyBorder="1" applyAlignment="1" applyProtection="1">
      <alignment horizontal="center"/>
    </xf>
    <xf numFmtId="0" fontId="8" fillId="0" borderId="0" xfId="29" applyFont="1" applyBorder="1" applyAlignment="1" applyProtection="1">
      <alignment horizontal="center"/>
    </xf>
    <xf numFmtId="14" fontId="8" fillId="0" borderId="7" xfId="29" applyNumberFormat="1" applyFont="1" applyBorder="1" applyAlignment="1" applyProtection="1">
      <alignment horizontal="center"/>
    </xf>
    <xf numFmtId="0" fontId="8" fillId="0" borderId="7" xfId="29" applyFont="1" applyBorder="1" applyAlignment="1" applyProtection="1">
      <alignment horizontal="centerContinuous"/>
    </xf>
    <xf numFmtId="0" fontId="8" fillId="2" borderId="13" xfId="29" applyFont="1" applyFill="1" applyBorder="1" applyProtection="1">
      <protection locked="0"/>
    </xf>
    <xf numFmtId="14" fontId="8" fillId="2" borderId="13" xfId="29" applyNumberFormat="1" applyFont="1" applyFill="1" applyBorder="1" applyProtection="1">
      <protection locked="0"/>
    </xf>
    <xf numFmtId="2" fontId="8" fillId="2" borderId="13" xfId="29" applyNumberFormat="1" applyFont="1" applyFill="1" applyBorder="1" applyProtection="1">
      <protection locked="0"/>
    </xf>
    <xf numFmtId="37" fontId="8" fillId="2" borderId="13" xfId="29" applyNumberFormat="1" applyFont="1" applyFill="1" applyBorder="1" applyAlignment="1" applyProtection="1">
      <protection locked="0"/>
    </xf>
    <xf numFmtId="37" fontId="8" fillId="2" borderId="13" xfId="29" applyNumberFormat="1" applyFont="1" applyFill="1" applyBorder="1" applyProtection="1">
      <protection locked="0"/>
    </xf>
    <xf numFmtId="0" fontId="8" fillId="0" borderId="13" xfId="29" applyFont="1" applyBorder="1" applyProtection="1"/>
    <xf numFmtId="14" fontId="8" fillId="3" borderId="13" xfId="29" applyNumberFormat="1" applyFont="1" applyFill="1" applyBorder="1" applyProtection="1"/>
    <xf numFmtId="2" fontId="8" fillId="3" borderId="13" xfId="29" applyNumberFormat="1" applyFont="1" applyFill="1" applyBorder="1" applyProtection="1"/>
    <xf numFmtId="3" fontId="8" fillId="3" borderId="13" xfId="29" applyNumberFormat="1" applyFont="1" applyFill="1" applyBorder="1" applyAlignment="1" applyProtection="1"/>
    <xf numFmtId="37" fontId="8" fillId="0" borderId="13" xfId="29" applyNumberFormat="1" applyFont="1" applyFill="1" applyBorder="1" applyAlignment="1" applyProtection="1"/>
    <xf numFmtId="37" fontId="8" fillId="4" borderId="13" xfId="29" applyNumberFormat="1" applyFont="1" applyFill="1" applyBorder="1" applyProtection="1"/>
    <xf numFmtId="37" fontId="8" fillId="5" borderId="13" xfId="29" applyNumberFormat="1" applyFont="1" applyFill="1" applyBorder="1" applyProtection="1"/>
    <xf numFmtId="37" fontId="8" fillId="6" borderId="13" xfId="29" applyNumberFormat="1" applyFont="1" applyFill="1" applyBorder="1" applyProtection="1"/>
    <xf numFmtId="37" fontId="8" fillId="7" borderId="13" xfId="29" applyNumberFormat="1" applyFont="1" applyFill="1" applyBorder="1" applyProtection="1"/>
    <xf numFmtId="173" fontId="8" fillId="0" borderId="0" xfId="29" applyNumberFormat="1" applyFont="1" applyAlignment="1" applyProtection="1">
      <alignment horizontal="center"/>
    </xf>
    <xf numFmtId="173" fontId="8" fillId="0" borderId="0" xfId="29" applyNumberFormat="1" applyFont="1" applyAlignment="1" applyProtection="1">
      <alignment horizontal="centerContinuous"/>
    </xf>
    <xf numFmtId="0" fontId="8" fillId="0" borderId="0" xfId="29" applyFont="1" applyProtection="1">
      <protection locked="0"/>
    </xf>
    <xf numFmtId="173" fontId="8" fillId="0" borderId="0" xfId="29" applyNumberFormat="1" applyFont="1" applyAlignment="1" applyProtection="1">
      <alignment horizontal="center"/>
      <protection locked="0"/>
    </xf>
    <xf numFmtId="0" fontId="8" fillId="0" borderId="0" xfId="29" applyFont="1" applyAlignment="1" applyProtection="1">
      <alignment horizontal="center"/>
      <protection locked="0"/>
    </xf>
    <xf numFmtId="0" fontId="8" fillId="0" borderId="0" xfId="32" applyFont="1" applyProtection="1"/>
    <xf numFmtId="0" fontId="8" fillId="0" borderId="0" xfId="32" applyFont="1" applyAlignment="1" applyProtection="1">
      <alignment horizontal="right"/>
    </xf>
    <xf numFmtId="0" fontId="8" fillId="0" borderId="1" xfId="32" applyFont="1" applyBorder="1" applyProtection="1"/>
    <xf numFmtId="0" fontId="22" fillId="0" borderId="0" xfId="32" applyFont="1"/>
    <xf numFmtId="0" fontId="12" fillId="0" borderId="0" xfId="32" applyFont="1" applyProtection="1"/>
    <xf numFmtId="0" fontId="12" fillId="0" borderId="0" xfId="32" applyFont="1" applyAlignment="1" applyProtection="1">
      <alignment horizontal="centerContinuous"/>
    </xf>
    <xf numFmtId="0" fontId="8" fillId="0" borderId="0" xfId="32" applyFont="1" applyAlignment="1" applyProtection="1">
      <alignment horizontal="centerContinuous"/>
    </xf>
    <xf numFmtId="0" fontId="8" fillId="0" borderId="4" xfId="32" applyFont="1" applyBorder="1" applyProtection="1"/>
    <xf numFmtId="0" fontId="8" fillId="0" borderId="4" xfId="32" applyFont="1" applyBorder="1" applyAlignment="1" applyProtection="1">
      <alignment horizontal="center"/>
    </xf>
    <xf numFmtId="173" fontId="8" fillId="0" borderId="7" xfId="32" applyNumberFormat="1" applyFont="1" applyBorder="1" applyAlignment="1" applyProtection="1">
      <alignment horizontal="center"/>
    </xf>
    <xf numFmtId="0" fontId="8" fillId="0" borderId="7" xfId="32" applyFont="1" applyBorder="1" applyAlignment="1" applyProtection="1">
      <alignment horizontal="center"/>
    </xf>
    <xf numFmtId="0" fontId="8" fillId="0" borderId="0" xfId="32" applyFont="1" applyBorder="1" applyAlignment="1" applyProtection="1">
      <alignment horizontal="center"/>
    </xf>
    <xf numFmtId="14" fontId="8" fillId="0" borderId="7" xfId="32" applyNumberFormat="1" applyFont="1" applyBorder="1" applyAlignment="1" applyProtection="1">
      <alignment horizontal="center"/>
    </xf>
    <xf numFmtId="0" fontId="8" fillId="0" borderId="1" xfId="32" applyFont="1" applyBorder="1" applyAlignment="1" applyProtection="1">
      <alignment horizontal="center"/>
    </xf>
    <xf numFmtId="172" fontId="8" fillId="0" borderId="12" xfId="32" applyNumberFormat="1" applyFont="1" applyBorder="1" applyAlignment="1" applyProtection="1">
      <alignment horizontal="center"/>
    </xf>
    <xf numFmtId="0" fontId="8" fillId="2" borderId="12" xfId="32" applyFont="1" applyFill="1" applyBorder="1" applyProtection="1">
      <protection locked="0"/>
    </xf>
    <xf numFmtId="14" fontId="8" fillId="2" borderId="12" xfId="32" applyNumberFormat="1" applyFont="1" applyFill="1" applyBorder="1" applyAlignment="1" applyProtection="1">
      <alignment horizontal="center"/>
      <protection locked="0"/>
    </xf>
    <xf numFmtId="2" fontId="8" fillId="2" borderId="12" xfId="32" applyNumberFormat="1" applyFont="1" applyFill="1" applyBorder="1" applyProtection="1">
      <protection locked="0"/>
    </xf>
    <xf numFmtId="3" fontId="8" fillId="2" borderId="12" xfId="32" applyNumberFormat="1" applyFont="1" applyFill="1" applyBorder="1" applyAlignment="1" applyProtection="1">
      <protection locked="0"/>
    </xf>
    <xf numFmtId="0" fontId="8" fillId="2" borderId="13" xfId="32" applyFont="1" applyFill="1" applyBorder="1" applyProtection="1">
      <protection locked="0"/>
    </xf>
    <xf numFmtId="14" fontId="8" fillId="2" borderId="13" xfId="32" applyNumberFormat="1" applyFont="1" applyFill="1" applyBorder="1" applyAlignment="1" applyProtection="1">
      <alignment horizontal="center"/>
      <protection locked="0"/>
    </xf>
    <xf numFmtId="2" fontId="8" fillId="2" borderId="13" xfId="32" applyNumberFormat="1" applyFont="1" applyFill="1" applyBorder="1" applyProtection="1">
      <protection locked="0"/>
    </xf>
    <xf numFmtId="3" fontId="8" fillId="2" borderId="13" xfId="32" applyNumberFormat="1" applyFont="1" applyFill="1" applyBorder="1" applyAlignment="1" applyProtection="1">
      <protection locked="0"/>
    </xf>
    <xf numFmtId="0" fontId="8" fillId="0" borderId="13" xfId="32" applyFont="1" applyBorder="1" applyProtection="1">
      <protection locked="0"/>
    </xf>
    <xf numFmtId="14" fontId="8" fillId="3" borderId="13" xfId="32" applyNumberFormat="1" applyFont="1" applyFill="1" applyBorder="1" applyAlignment="1" applyProtection="1">
      <alignment horizontal="center"/>
      <protection locked="0"/>
    </xf>
    <xf numFmtId="0" fontId="8" fillId="3" borderId="13" xfId="32" applyFont="1" applyFill="1" applyBorder="1" applyProtection="1">
      <protection locked="0"/>
    </xf>
    <xf numFmtId="2" fontId="8" fillId="3" borderId="13" xfId="32" applyNumberFormat="1" applyFont="1" applyFill="1" applyBorder="1" applyProtection="1">
      <protection locked="0"/>
    </xf>
    <xf numFmtId="5" fontId="8" fillId="0" borderId="13" xfId="32" applyNumberFormat="1" applyFont="1" applyFill="1" applyBorder="1" applyAlignment="1" applyProtection="1">
      <protection locked="0"/>
    </xf>
    <xf numFmtId="173" fontId="8" fillId="0" borderId="0" xfId="32" applyNumberFormat="1" applyFont="1" applyAlignment="1" applyProtection="1">
      <alignment horizontal="center"/>
    </xf>
    <xf numFmtId="173" fontId="8" fillId="0" borderId="0" xfId="32" applyNumberFormat="1" applyFont="1" applyAlignment="1" applyProtection="1">
      <alignment horizontal="centerContinuous"/>
    </xf>
    <xf numFmtId="0" fontId="8" fillId="0" borderId="0" xfId="32" applyFont="1"/>
    <xf numFmtId="173" fontId="8" fillId="0" borderId="0" xfId="32" applyNumberFormat="1" applyFont="1" applyAlignment="1">
      <alignment horizontal="center"/>
    </xf>
    <xf numFmtId="0" fontId="8" fillId="0" borderId="0" xfId="32" applyFont="1" applyAlignment="1">
      <alignment horizontal="center"/>
    </xf>
    <xf numFmtId="0" fontId="8" fillId="0" borderId="0" xfId="33" applyFont="1" applyProtection="1"/>
    <xf numFmtId="173" fontId="8" fillId="0" borderId="0" xfId="33" applyNumberFormat="1" applyFont="1" applyAlignment="1" applyProtection="1">
      <alignment horizontal="center"/>
    </xf>
    <xf numFmtId="0" fontId="8" fillId="0" borderId="0" xfId="33" applyFont="1" applyAlignment="1" applyProtection="1">
      <alignment horizontal="left"/>
    </xf>
    <xf numFmtId="0" fontId="8" fillId="0" borderId="0" xfId="33" applyFont="1" applyAlignment="1" applyProtection="1">
      <alignment horizontal="right"/>
    </xf>
    <xf numFmtId="0" fontId="8" fillId="0" borderId="0" xfId="33" applyFont="1" applyProtection="1">
      <protection locked="0"/>
    </xf>
    <xf numFmtId="0" fontId="20" fillId="0" borderId="0" xfId="33" applyFont="1" applyProtection="1">
      <protection locked="0"/>
    </xf>
    <xf numFmtId="0" fontId="8" fillId="0" borderId="0" xfId="33" applyFont="1" applyAlignment="1" applyProtection="1">
      <alignment horizontal="center"/>
    </xf>
    <xf numFmtId="0" fontId="23" fillId="0" borderId="0" xfId="33" applyFont="1" applyProtection="1"/>
    <xf numFmtId="0" fontId="20" fillId="0" borderId="0" xfId="33" applyFont="1" applyProtection="1"/>
    <xf numFmtId="173" fontId="8" fillId="0" borderId="4" xfId="33" applyNumberFormat="1" applyFont="1" applyBorder="1" applyAlignment="1" applyProtection="1">
      <alignment horizontal="center"/>
    </xf>
    <xf numFmtId="0" fontId="8" fillId="0" borderId="4" xfId="33" applyFont="1" applyBorder="1" applyAlignment="1" applyProtection="1">
      <alignment horizontal="center"/>
    </xf>
    <xf numFmtId="167" fontId="20" fillId="0" borderId="0" xfId="33" applyNumberFormat="1" applyFont="1" applyProtection="1"/>
    <xf numFmtId="0" fontId="12" fillId="0" borderId="0" xfId="33" applyFont="1" applyAlignment="1" applyProtection="1">
      <alignment horizontal="center"/>
    </xf>
    <xf numFmtId="173" fontId="8" fillId="0" borderId="7" xfId="33" applyNumberFormat="1" applyFont="1" applyBorder="1" applyAlignment="1" applyProtection="1">
      <alignment horizontal="center"/>
    </xf>
    <xf numFmtId="0" fontId="8" fillId="0" borderId="7" xfId="33" applyFont="1" applyBorder="1" applyAlignment="1" applyProtection="1">
      <alignment horizontal="center"/>
    </xf>
    <xf numFmtId="0" fontId="8" fillId="0" borderId="1" xfId="33" applyFont="1" applyBorder="1" applyProtection="1"/>
    <xf numFmtId="173" fontId="8" fillId="0" borderId="12" xfId="33" applyNumberFormat="1" applyFont="1" applyBorder="1" applyAlignment="1" applyProtection="1">
      <alignment horizontal="center"/>
    </xf>
    <xf numFmtId="172" fontId="8" fillId="0" borderId="12" xfId="33" applyNumberFormat="1" applyFont="1" applyBorder="1" applyAlignment="1" applyProtection="1">
      <alignment horizontal="center"/>
    </xf>
    <xf numFmtId="0" fontId="8" fillId="0" borderId="13" xfId="33" applyFont="1" applyBorder="1" applyAlignment="1" applyProtection="1">
      <alignment vertical="top"/>
    </xf>
    <xf numFmtId="173" fontId="8" fillId="0" borderId="2" xfId="33" applyNumberFormat="1" applyFont="1" applyBorder="1" applyAlignment="1" applyProtection="1">
      <alignment horizontal="center" vertical="top"/>
    </xf>
    <xf numFmtId="3" fontId="8" fillId="2" borderId="14" xfId="33" applyNumberFormat="1" applyFont="1" applyFill="1" applyBorder="1" applyAlignment="1" applyProtection="1">
      <alignment vertical="top"/>
      <protection locked="0"/>
    </xf>
    <xf numFmtId="3" fontId="8" fillId="0" borderId="14" xfId="33" applyNumberFormat="1" applyFont="1" applyFill="1" applyBorder="1" applyAlignment="1" applyProtection="1">
      <alignment vertical="top"/>
    </xf>
    <xf numFmtId="0" fontId="8" fillId="0" borderId="0" xfId="33" applyFont="1" applyAlignment="1" applyProtection="1">
      <alignment vertical="top"/>
      <protection locked="0"/>
    </xf>
    <xf numFmtId="0" fontId="20" fillId="0" borderId="0" xfId="33" applyFont="1" applyAlignment="1" applyProtection="1">
      <alignment vertical="top"/>
      <protection locked="0"/>
    </xf>
    <xf numFmtId="0" fontId="20" fillId="0" borderId="0" xfId="33" applyFont="1" applyAlignment="1" applyProtection="1">
      <alignment vertical="top"/>
    </xf>
    <xf numFmtId="167" fontId="20" fillId="0" borderId="0" xfId="33" applyNumberFormat="1" applyFont="1" applyAlignment="1" applyProtection="1">
      <alignment vertical="top"/>
    </xf>
    <xf numFmtId="0" fontId="8" fillId="0" borderId="4" xfId="33" applyFont="1" applyBorder="1" applyAlignment="1" applyProtection="1">
      <alignment vertical="top"/>
    </xf>
    <xf numFmtId="173" fontId="8" fillId="0" borderId="5" xfId="33" applyNumberFormat="1" applyFont="1" applyBorder="1" applyAlignment="1" applyProtection="1">
      <alignment horizontal="center" vertical="top"/>
    </xf>
    <xf numFmtId="3" fontId="8" fillId="0" borderId="15" xfId="33" applyNumberFormat="1" applyFont="1" applyBorder="1" applyAlignment="1" applyProtection="1">
      <alignment vertical="top"/>
    </xf>
    <xf numFmtId="0" fontId="8" fillId="0" borderId="7" xfId="33" applyFont="1" applyBorder="1" applyAlignment="1" applyProtection="1">
      <alignment vertical="top"/>
    </xf>
    <xf numFmtId="173" fontId="8" fillId="0" borderId="8" xfId="33" applyNumberFormat="1" applyFont="1" applyBorder="1" applyAlignment="1" applyProtection="1">
      <alignment horizontal="center" vertical="top"/>
    </xf>
    <xf numFmtId="3" fontId="8" fillId="0" borderId="0" xfId="33" applyNumberFormat="1" applyFont="1" applyBorder="1" applyAlignment="1" applyProtection="1">
      <alignment vertical="top"/>
    </xf>
    <xf numFmtId="0" fontId="8" fillId="0" borderId="12" xfId="33" applyFont="1" applyBorder="1" applyAlignment="1" applyProtection="1">
      <alignment vertical="top"/>
    </xf>
    <xf numFmtId="173" fontId="8" fillId="0" borderId="10" xfId="33" applyNumberFormat="1" applyFont="1" applyBorder="1" applyAlignment="1" applyProtection="1">
      <alignment horizontal="center" vertical="top"/>
    </xf>
    <xf numFmtId="3" fontId="8" fillId="2" borderId="1" xfId="33" applyNumberFormat="1" applyFont="1" applyFill="1" applyBorder="1" applyAlignment="1" applyProtection="1">
      <alignment vertical="top"/>
      <protection locked="0"/>
    </xf>
    <xf numFmtId="3" fontId="8" fillId="0" borderId="1" xfId="33" applyNumberFormat="1" applyFont="1" applyFill="1" applyBorder="1" applyAlignment="1" applyProtection="1">
      <alignment vertical="top"/>
    </xf>
    <xf numFmtId="0" fontId="23" fillId="0" borderId="0" xfId="33" applyFont="1" applyAlignment="1" applyProtection="1">
      <alignment vertical="top"/>
    </xf>
    <xf numFmtId="3" fontId="20" fillId="0" borderId="0" xfId="33" applyNumberFormat="1" applyFont="1" applyAlignment="1" applyProtection="1">
      <alignment vertical="top"/>
    </xf>
    <xf numFmtId="3" fontId="8" fillId="0" borderId="4" xfId="33" applyNumberFormat="1" applyFont="1" applyBorder="1" applyAlignment="1" applyProtection="1">
      <alignment vertical="top"/>
    </xf>
    <xf numFmtId="3" fontId="8" fillId="0" borderId="7" xfId="33" applyNumberFormat="1" applyFont="1" applyBorder="1" applyAlignment="1" applyProtection="1">
      <alignment vertical="top"/>
    </xf>
    <xf numFmtId="0" fontId="8" fillId="0" borderId="10" xfId="33" applyFont="1" applyBorder="1" applyAlignment="1" applyProtection="1">
      <alignment vertical="top"/>
    </xf>
    <xf numFmtId="3" fontId="8" fillId="2" borderId="15" xfId="33" applyNumberFormat="1" applyFont="1" applyFill="1" applyBorder="1" applyAlignment="1" applyProtection="1">
      <alignment vertical="top"/>
      <protection locked="0"/>
    </xf>
    <xf numFmtId="3" fontId="8" fillId="0" borderId="12" xfId="33" applyNumberFormat="1" applyFont="1" applyFill="1" applyBorder="1" applyAlignment="1" applyProtection="1">
      <alignment vertical="top"/>
    </xf>
    <xf numFmtId="3" fontId="8" fillId="0" borderId="0" xfId="33" applyNumberFormat="1" applyFont="1" applyAlignment="1" applyProtection="1">
      <alignment vertical="top"/>
    </xf>
    <xf numFmtId="3" fontId="8" fillId="2" borderId="12" xfId="33" applyNumberFormat="1" applyFont="1" applyFill="1" applyBorder="1" applyAlignment="1" applyProtection="1">
      <alignment vertical="top"/>
      <protection locked="0"/>
    </xf>
    <xf numFmtId="0" fontId="24" fillId="0" borderId="0" xfId="33" applyFont="1" applyBorder="1" applyAlignment="1" applyProtection="1">
      <alignment vertical="top"/>
    </xf>
    <xf numFmtId="0" fontId="8" fillId="0" borderId="0" xfId="33" applyFont="1" applyAlignment="1" applyProtection="1">
      <alignment vertical="top"/>
    </xf>
    <xf numFmtId="37" fontId="8" fillId="0" borderId="1" xfId="33" applyNumberFormat="1" applyFont="1" applyBorder="1" applyAlignment="1" applyProtection="1">
      <alignment vertical="top"/>
    </xf>
    <xf numFmtId="0" fontId="25" fillId="3" borderId="13" xfId="33" applyFont="1" applyFill="1" applyBorder="1" applyAlignment="1" applyProtection="1">
      <alignment vertical="top"/>
    </xf>
    <xf numFmtId="5" fontId="12" fillId="0" borderId="0" xfId="33" applyNumberFormat="1" applyFont="1" applyAlignment="1" applyProtection="1">
      <alignment vertical="top"/>
    </xf>
    <xf numFmtId="0" fontId="8" fillId="0" borderId="0" xfId="33" applyFont="1" applyAlignment="1">
      <alignment vertical="top"/>
    </xf>
    <xf numFmtId="0" fontId="12" fillId="0" borderId="0" xfId="33" applyFont="1" applyProtection="1"/>
    <xf numFmtId="173" fontId="8" fillId="0" borderId="0" xfId="33" applyNumberFormat="1" applyFont="1" applyProtection="1"/>
    <xf numFmtId="0" fontId="24" fillId="0" borderId="0" xfId="33" applyFont="1" applyProtection="1"/>
    <xf numFmtId="5" fontId="8" fillId="0" borderId="0" xfId="33" applyNumberFormat="1" applyFont="1" applyProtection="1"/>
    <xf numFmtId="173" fontId="8" fillId="0" borderId="0" xfId="33" applyNumberFormat="1" applyFont="1" applyAlignment="1" applyProtection="1">
      <alignment horizontal="left"/>
    </xf>
    <xf numFmtId="37" fontId="8" fillId="0" borderId="1" xfId="33" applyNumberFormat="1" applyFont="1" applyBorder="1" applyProtection="1"/>
    <xf numFmtId="173" fontId="8" fillId="0" borderId="0" xfId="33" applyNumberFormat="1" applyFont="1" applyAlignment="1" applyProtection="1">
      <alignment horizontal="centerContinuous"/>
    </xf>
    <xf numFmtId="0" fontId="8" fillId="0" borderId="0" xfId="33" applyFont="1" applyAlignment="1" applyProtection="1">
      <alignment horizontal="centerContinuous"/>
    </xf>
    <xf numFmtId="0" fontId="8" fillId="0" borderId="0" xfId="33" applyFont="1" applyAlignment="1" applyProtection="1">
      <alignment horizontal="centerContinuous"/>
      <protection locked="0"/>
    </xf>
    <xf numFmtId="0" fontId="12" fillId="0" borderId="0" xfId="33" applyFont="1" applyProtection="1">
      <protection locked="0"/>
    </xf>
    <xf numFmtId="0" fontId="8" fillId="0" borderId="4" xfId="33" applyFont="1" applyBorder="1" applyProtection="1"/>
    <xf numFmtId="173" fontId="8" fillId="0" borderId="5" xfId="33" applyNumberFormat="1" applyFont="1" applyBorder="1" applyAlignment="1" applyProtection="1">
      <alignment horizontal="center"/>
    </xf>
    <xf numFmtId="3" fontId="8" fillId="0" borderId="4" xfId="33" applyNumberFormat="1" applyFont="1" applyBorder="1" applyAlignment="1" applyProtection="1"/>
    <xf numFmtId="0" fontId="8" fillId="0" borderId="7" xfId="33" applyFont="1" applyBorder="1" applyProtection="1"/>
    <xf numFmtId="173" fontId="8" fillId="0" borderId="8" xfId="33" applyNumberFormat="1" applyFont="1" applyBorder="1" applyAlignment="1" applyProtection="1">
      <alignment horizontal="center"/>
    </xf>
    <xf numFmtId="3" fontId="8" fillId="0" borderId="7" xfId="33" applyNumberFormat="1" applyFont="1" applyBorder="1" applyAlignment="1" applyProtection="1"/>
    <xf numFmtId="0" fontId="8" fillId="0" borderId="12" xfId="33" applyFont="1" applyBorder="1" applyProtection="1"/>
    <xf numFmtId="173" fontId="8" fillId="0" borderId="10" xfId="33" applyNumberFormat="1" applyFont="1" applyBorder="1" applyAlignment="1" applyProtection="1">
      <alignment horizontal="center"/>
    </xf>
    <xf numFmtId="3" fontId="8" fillId="2" borderId="12" xfId="33" applyNumberFormat="1" applyFont="1" applyFill="1" applyBorder="1" applyAlignment="1" applyProtection="1">
      <protection locked="0"/>
    </xf>
    <xf numFmtId="0" fontId="8" fillId="0" borderId="13" xfId="33" applyFont="1" applyBorder="1" applyProtection="1"/>
    <xf numFmtId="173" fontId="8" fillId="0" borderId="2" xfId="33" applyNumberFormat="1" applyFont="1" applyBorder="1" applyAlignment="1" applyProtection="1">
      <alignment horizontal="center"/>
    </xf>
    <xf numFmtId="3" fontId="8" fillId="2" borderId="13" xfId="33" applyNumberFormat="1" applyFont="1" applyFill="1" applyBorder="1" applyAlignment="1" applyProtection="1">
      <protection locked="0"/>
    </xf>
    <xf numFmtId="3" fontId="8" fillId="0" borderId="15" xfId="33" applyNumberFormat="1" applyFont="1" applyBorder="1" applyAlignment="1" applyProtection="1"/>
    <xf numFmtId="3" fontId="8" fillId="2" borderId="1" xfId="33" applyNumberFormat="1" applyFont="1" applyFill="1" applyBorder="1" applyAlignment="1" applyProtection="1">
      <protection locked="0"/>
    </xf>
    <xf numFmtId="3" fontId="8" fillId="2" borderId="14" xfId="33" applyNumberFormat="1" applyFont="1" applyFill="1" applyBorder="1" applyAlignment="1" applyProtection="1">
      <protection locked="0"/>
    </xf>
    <xf numFmtId="3" fontId="8" fillId="2" borderId="15" xfId="33" applyNumberFormat="1" applyFont="1" applyFill="1" applyBorder="1" applyAlignment="1" applyProtection="1">
      <protection locked="0"/>
    </xf>
    <xf numFmtId="3" fontId="8" fillId="0" borderId="0" xfId="33" applyNumberFormat="1" applyFont="1" applyBorder="1" applyAlignment="1" applyProtection="1"/>
    <xf numFmtId="3" fontId="8" fillId="0" borderId="0" xfId="33" applyNumberFormat="1" applyFont="1" applyAlignment="1" applyProtection="1">
      <alignment horizontal="centerContinuous"/>
    </xf>
    <xf numFmtId="173" fontId="8" fillId="0" borderId="5" xfId="33" applyNumberFormat="1" applyFont="1" applyBorder="1" applyAlignment="1" applyProtection="1">
      <alignment horizontal="centerContinuous"/>
    </xf>
    <xf numFmtId="173" fontId="8" fillId="0" borderId="8" xfId="33" applyNumberFormat="1" applyFont="1" applyBorder="1" applyAlignment="1" applyProtection="1">
      <alignment horizontal="centerContinuous"/>
    </xf>
    <xf numFmtId="1" fontId="8" fillId="0" borderId="4" xfId="33" applyNumberFormat="1" applyFont="1" applyBorder="1" applyAlignment="1" applyProtection="1">
      <alignment horizontal="left"/>
    </xf>
    <xf numFmtId="1" fontId="8" fillId="0" borderId="7" xfId="33" applyNumberFormat="1" applyFont="1" applyBorder="1" applyAlignment="1" applyProtection="1">
      <alignment horizontal="left"/>
    </xf>
    <xf numFmtId="1" fontId="8" fillId="0" borderId="12" xfId="33" applyNumberFormat="1" applyFont="1" applyBorder="1" applyAlignment="1" applyProtection="1">
      <alignment horizontal="left"/>
    </xf>
    <xf numFmtId="1" fontId="8" fillId="0" borderId="13" xfId="33" applyNumberFormat="1" applyFont="1" applyBorder="1" applyAlignment="1" applyProtection="1">
      <alignment horizontal="left"/>
    </xf>
    <xf numFmtId="173" fontId="8" fillId="3" borderId="2" xfId="33" applyNumberFormat="1" applyFont="1" applyFill="1" applyBorder="1" applyAlignment="1" applyProtection="1">
      <alignment horizontal="center"/>
    </xf>
    <xf numFmtId="0" fontId="8" fillId="0" borderId="0" xfId="33" applyFont="1"/>
    <xf numFmtId="0" fontId="10" fillId="0" borderId="0" xfId="33"/>
    <xf numFmtId="173" fontId="20" fillId="0" borderId="0" xfId="33" applyNumberFormat="1" applyFont="1" applyAlignment="1" applyProtection="1">
      <alignment horizontal="center"/>
    </xf>
    <xf numFmtId="0" fontId="16" fillId="0" borderId="0" xfId="0" applyFont="1" applyProtection="1"/>
    <xf numFmtId="173" fontId="16" fillId="0" borderId="0" xfId="0" applyNumberFormat="1" applyFont="1" applyAlignment="1" applyProtection="1">
      <alignment horizontal="center"/>
    </xf>
    <xf numFmtId="0" fontId="16" fillId="0" borderId="0" xfId="0" applyFont="1" applyBorder="1" applyAlignment="1" applyProtection="1">
      <alignment horizontal="left"/>
      <protection locked="0"/>
    </xf>
    <xf numFmtId="0" fontId="30" fillId="0" borderId="0" xfId="0" applyFont="1" applyProtection="1">
      <protection locked="0"/>
    </xf>
    <xf numFmtId="0" fontId="16" fillId="0" borderId="0" xfId="0" applyFont="1" applyAlignment="1" applyProtection="1">
      <alignment horizontal="right"/>
    </xf>
    <xf numFmtId="0" fontId="16" fillId="0" borderId="0" xfId="0" applyFont="1" applyProtection="1">
      <protection locked="0"/>
    </xf>
    <xf numFmtId="0" fontId="16" fillId="0" borderId="0" xfId="0" applyFont="1" applyBorder="1" applyProtection="1"/>
    <xf numFmtId="0" fontId="16" fillId="0" borderId="0" xfId="0" applyFont="1" applyAlignment="1" applyProtection="1">
      <alignment horizontal="right"/>
      <protection locked="0"/>
    </xf>
    <xf numFmtId="0" fontId="16" fillId="0" borderId="0" xfId="0" applyFont="1" applyAlignment="1" applyProtection="1">
      <alignment horizontal="center"/>
    </xf>
    <xf numFmtId="0" fontId="16" fillId="0" borderId="0" xfId="0" applyFont="1" applyAlignment="1" applyProtection="1">
      <alignment horizontal="center"/>
      <protection locked="0"/>
    </xf>
    <xf numFmtId="173" fontId="16" fillId="0" borderId="5" xfId="0" applyNumberFormat="1" applyFont="1" applyBorder="1" applyAlignment="1" applyProtection="1">
      <alignment horizontal="center"/>
    </xf>
    <xf numFmtId="173" fontId="16" fillId="0" borderId="4" xfId="0" applyNumberFormat="1" applyFont="1" applyBorder="1" applyAlignment="1" applyProtection="1">
      <alignment horizontal="center"/>
    </xf>
    <xf numFmtId="0" fontId="16" fillId="0" borderId="15" xfId="0" applyFont="1" applyBorder="1" applyAlignment="1" applyProtection="1">
      <alignment horizontal="center"/>
    </xf>
    <xf numFmtId="0" fontId="16" fillId="0" borderId="4" xfId="0" applyFont="1" applyBorder="1" applyAlignment="1" applyProtection="1">
      <alignment horizontal="center"/>
    </xf>
    <xf numFmtId="0" fontId="16" fillId="0" borderId="6" xfId="0" applyFont="1" applyBorder="1" applyAlignment="1" applyProtection="1">
      <alignment horizontal="center"/>
    </xf>
    <xf numFmtId="0" fontId="30" fillId="0" borderId="0" xfId="0" applyFont="1" applyProtection="1"/>
    <xf numFmtId="0" fontId="23" fillId="0" borderId="0" xfId="0" applyFont="1" applyProtection="1"/>
    <xf numFmtId="0" fontId="25" fillId="0" borderId="0" xfId="0" applyFont="1" applyAlignment="1" applyProtection="1">
      <alignment horizontal="center"/>
    </xf>
    <xf numFmtId="173" fontId="16" fillId="0" borderId="8" xfId="0" applyNumberFormat="1" applyFont="1" applyBorder="1" applyAlignment="1" applyProtection="1">
      <alignment horizontal="center"/>
    </xf>
    <xf numFmtId="173" fontId="16" fillId="0" borderId="7" xfId="0" applyNumberFormat="1" applyFont="1" applyBorder="1" applyAlignment="1" applyProtection="1">
      <alignment horizontal="center"/>
    </xf>
    <xf numFmtId="0" fontId="16" fillId="0" borderId="0" xfId="0" applyFont="1" applyBorder="1" applyAlignment="1" applyProtection="1">
      <alignment horizontal="center"/>
    </xf>
    <xf numFmtId="0" fontId="16" fillId="0" borderId="7" xfId="0" applyFont="1" applyBorder="1" applyAlignment="1" applyProtection="1">
      <alignment horizontal="center"/>
    </xf>
    <xf numFmtId="0" fontId="16" fillId="0" borderId="9" xfId="0" applyFont="1" applyBorder="1" applyAlignment="1" applyProtection="1">
      <alignment horizontal="center"/>
    </xf>
    <xf numFmtId="167" fontId="30" fillId="0" borderId="0" xfId="0" applyNumberFormat="1" applyFont="1" applyProtection="1"/>
    <xf numFmtId="0" fontId="16" fillId="0" borderId="1" xfId="0" applyFont="1" applyBorder="1" applyAlignment="1" applyProtection="1">
      <alignment horizontal="center"/>
    </xf>
    <xf numFmtId="173" fontId="16" fillId="0" borderId="10" xfId="0" applyNumberFormat="1" applyFont="1" applyBorder="1" applyAlignment="1" applyProtection="1">
      <alignment horizontal="center"/>
    </xf>
    <xf numFmtId="173" fontId="16" fillId="0" borderId="12" xfId="0" applyNumberFormat="1" applyFont="1" applyBorder="1" applyAlignment="1" applyProtection="1">
      <alignment horizontal="center"/>
    </xf>
    <xf numFmtId="172" fontId="16" fillId="0" borderId="1" xfId="0" applyNumberFormat="1" applyFont="1" applyBorder="1" applyAlignment="1" applyProtection="1">
      <alignment horizontal="center"/>
    </xf>
    <xf numFmtId="172" fontId="16" fillId="0" borderId="12" xfId="0" applyNumberFormat="1" applyFont="1" applyBorder="1" applyAlignment="1" applyProtection="1">
      <alignment horizontal="center"/>
    </xf>
    <xf numFmtId="172" fontId="16" fillId="0" borderId="11" xfId="0" applyNumberFormat="1" applyFont="1" applyBorder="1" applyAlignment="1" applyProtection="1">
      <alignment horizontal="center"/>
    </xf>
    <xf numFmtId="0" fontId="16" fillId="0" borderId="13" xfId="0" applyFont="1" applyBorder="1" applyAlignment="1" applyProtection="1">
      <alignment vertical="top"/>
    </xf>
    <xf numFmtId="173" fontId="16" fillId="0" borderId="2" xfId="0" applyNumberFormat="1" applyFont="1" applyBorder="1" applyAlignment="1" applyProtection="1">
      <alignment horizontal="center" vertical="top"/>
    </xf>
    <xf numFmtId="3" fontId="16" fillId="0" borderId="14" xfId="0" applyNumberFormat="1" applyFont="1" applyFill="1" applyBorder="1" applyAlignment="1" applyProtection="1">
      <alignment vertical="top"/>
    </xf>
    <xf numFmtId="3" fontId="16" fillId="0" borderId="13" xfId="0" applyNumberFormat="1" applyFont="1" applyFill="1" applyBorder="1" applyAlignment="1" applyProtection="1">
      <alignment vertical="top"/>
    </xf>
    <xf numFmtId="0" fontId="16" fillId="0" borderId="0" xfId="0" applyFont="1" applyAlignment="1" applyProtection="1">
      <alignment vertical="top"/>
      <protection locked="0"/>
    </xf>
    <xf numFmtId="0" fontId="30" fillId="0" borderId="0" xfId="0" applyFont="1" applyAlignment="1" applyProtection="1">
      <alignment vertical="top"/>
      <protection locked="0"/>
    </xf>
    <xf numFmtId="0" fontId="30" fillId="0" borderId="0" xfId="0" applyFont="1" applyAlignment="1" applyProtection="1">
      <alignment vertical="top"/>
    </xf>
    <xf numFmtId="167" fontId="30" fillId="0" borderId="0" xfId="0" applyNumberFormat="1" applyFont="1" applyAlignment="1" applyProtection="1">
      <alignment vertical="top"/>
    </xf>
    <xf numFmtId="3" fontId="16" fillId="2" borderId="1" xfId="0" applyNumberFormat="1" applyFont="1" applyFill="1" applyBorder="1" applyAlignment="1" applyProtection="1">
      <alignment vertical="top"/>
      <protection locked="0"/>
    </xf>
    <xf numFmtId="3" fontId="16" fillId="0" borderId="4" xfId="0" applyNumberFormat="1" applyFont="1" applyFill="1" applyBorder="1" applyAlignment="1" applyProtection="1">
      <alignment vertical="top"/>
    </xf>
    <xf numFmtId="0" fontId="16" fillId="0" borderId="8" xfId="0" applyFont="1" applyBorder="1" applyAlignment="1" applyProtection="1">
      <alignment vertical="top"/>
    </xf>
    <xf numFmtId="173" fontId="16" fillId="0" borderId="8" xfId="0" applyNumberFormat="1" applyFont="1" applyBorder="1" applyAlignment="1" applyProtection="1">
      <alignment horizontal="center" vertical="top"/>
    </xf>
    <xf numFmtId="3" fontId="16" fillId="0" borderId="15" xfId="0" applyNumberFormat="1" applyFont="1" applyBorder="1" applyAlignment="1" applyProtection="1">
      <alignment vertical="top"/>
    </xf>
    <xf numFmtId="3" fontId="16" fillId="0" borderId="0" xfId="0" applyNumberFormat="1" applyFont="1" applyBorder="1" applyAlignment="1" applyProtection="1">
      <alignment vertical="top"/>
    </xf>
    <xf numFmtId="0" fontId="16" fillId="0" borderId="12" xfId="0" applyFont="1" applyBorder="1" applyAlignment="1" applyProtection="1">
      <alignment horizontal="left" indent="2"/>
    </xf>
    <xf numFmtId="176" fontId="16" fillId="0" borderId="10" xfId="0" applyNumberFormat="1" applyFont="1" applyBorder="1" applyAlignment="1" applyProtection="1">
      <alignment horizontal="center"/>
    </xf>
    <xf numFmtId="3" fontId="16" fillId="2" borderId="1" xfId="0" applyNumberFormat="1" applyFont="1" applyFill="1" applyBorder="1" applyProtection="1">
      <protection locked="0"/>
    </xf>
    <xf numFmtId="3" fontId="16" fillId="2" borderId="14" xfId="0" applyNumberFormat="1" applyFont="1" applyFill="1" applyBorder="1" applyProtection="1">
      <protection locked="0"/>
    </xf>
    <xf numFmtId="0" fontId="16" fillId="0" borderId="13" xfId="0" applyFont="1" applyBorder="1" applyAlignment="1" applyProtection="1">
      <alignment horizontal="left" indent="2"/>
    </xf>
    <xf numFmtId="176" fontId="16" fillId="0" borderId="2" xfId="0" applyNumberFormat="1" applyFont="1" applyBorder="1" applyAlignment="1" applyProtection="1">
      <alignment horizontal="center"/>
    </xf>
    <xf numFmtId="3" fontId="30" fillId="0" borderId="0" xfId="0" applyNumberFormat="1" applyFont="1" applyProtection="1"/>
    <xf numFmtId="3" fontId="16" fillId="2" borderId="12" xfId="0" applyNumberFormat="1" applyFont="1" applyFill="1" applyBorder="1" applyProtection="1">
      <protection locked="0"/>
    </xf>
    <xf numFmtId="0" fontId="16" fillId="0" borderId="10" xfId="0" applyFont="1" applyBorder="1" applyAlignment="1" applyProtection="1">
      <alignment horizontal="left" indent="2"/>
    </xf>
    <xf numFmtId="176" fontId="16" fillId="0" borderId="10" xfId="0" applyNumberFormat="1" applyFont="1" applyFill="1" applyBorder="1" applyAlignment="1" applyProtection="1">
      <alignment horizontal="center"/>
    </xf>
    <xf numFmtId="0" fontId="25" fillId="3" borderId="13" xfId="0" applyFont="1" applyFill="1" applyBorder="1" applyAlignment="1" applyProtection="1">
      <alignment vertical="top"/>
    </xf>
    <xf numFmtId="0" fontId="16" fillId="0" borderId="0" xfId="0" applyFont="1" applyAlignment="1" applyProtection="1">
      <alignment vertical="top"/>
    </xf>
    <xf numFmtId="5" fontId="25" fillId="0" borderId="0" xfId="0" applyNumberFormat="1" applyFont="1" applyAlignment="1" applyProtection="1">
      <alignment vertical="top"/>
    </xf>
    <xf numFmtId="3" fontId="16" fillId="0" borderId="0" xfId="0" applyNumberFormat="1" applyFont="1" applyAlignment="1" applyProtection="1">
      <alignment vertical="top"/>
    </xf>
    <xf numFmtId="0" fontId="31" fillId="0" borderId="0" xfId="0" applyFont="1" applyProtection="1"/>
    <xf numFmtId="173" fontId="16" fillId="0" borderId="0" xfId="0" applyNumberFormat="1" applyFont="1" applyAlignment="1" applyProtection="1">
      <alignment horizontal="left"/>
    </xf>
    <xf numFmtId="173" fontId="16" fillId="0" borderId="0" xfId="0" applyNumberFormat="1" applyFont="1" applyAlignment="1" applyProtection="1">
      <alignment horizontal="centerContinuous"/>
    </xf>
    <xf numFmtId="0" fontId="16" fillId="0" borderId="0" xfId="0" applyFont="1" applyAlignment="1" applyProtection="1">
      <alignment horizontal="centerContinuous"/>
    </xf>
    <xf numFmtId="0" fontId="16" fillId="0" borderId="4" xfId="0" applyFont="1" applyBorder="1" applyProtection="1"/>
    <xf numFmtId="3" fontId="16" fillId="0" borderId="6" xfId="0" applyNumberFormat="1" applyFont="1" applyBorder="1" applyAlignment="1" applyProtection="1"/>
    <xf numFmtId="3" fontId="16" fillId="0" borderId="4" xfId="0" applyNumberFormat="1" applyFont="1" applyBorder="1" applyAlignment="1" applyProtection="1"/>
    <xf numFmtId="0" fontId="16" fillId="0" borderId="7" xfId="0" applyFont="1" applyBorder="1" applyProtection="1"/>
    <xf numFmtId="3" fontId="16" fillId="0" borderId="9" xfId="0" applyNumberFormat="1" applyFont="1" applyBorder="1" applyAlignment="1" applyProtection="1"/>
    <xf numFmtId="3" fontId="16" fillId="0" borderId="7" xfId="0" applyNumberFormat="1" applyFont="1" applyBorder="1" applyAlignment="1" applyProtection="1"/>
    <xf numFmtId="0" fontId="16" fillId="0" borderId="12" xfId="0" applyFont="1" applyBorder="1" applyProtection="1"/>
    <xf numFmtId="3" fontId="16" fillId="2" borderId="11" xfId="0" applyNumberFormat="1" applyFont="1" applyFill="1" applyBorder="1" applyAlignment="1" applyProtection="1">
      <protection locked="0"/>
    </xf>
    <xf numFmtId="3" fontId="16" fillId="2" borderId="12" xfId="0" applyNumberFormat="1" applyFont="1" applyFill="1" applyBorder="1" applyAlignment="1" applyProtection="1">
      <protection locked="0"/>
    </xf>
    <xf numFmtId="0" fontId="16" fillId="0" borderId="13" xfId="0" applyFont="1" applyBorder="1" applyProtection="1"/>
    <xf numFmtId="173" fontId="16" fillId="0" borderId="2" xfId="0" applyNumberFormat="1" applyFont="1" applyBorder="1" applyAlignment="1" applyProtection="1">
      <alignment horizontal="center"/>
    </xf>
    <xf numFmtId="3" fontId="16" fillId="2" borderId="3" xfId="0" applyNumberFormat="1" applyFont="1" applyFill="1" applyBorder="1" applyAlignment="1" applyProtection="1">
      <protection locked="0"/>
    </xf>
    <xf numFmtId="3" fontId="16" fillId="2" borderId="13" xfId="0" applyNumberFormat="1" applyFont="1" applyFill="1" applyBorder="1" applyAlignment="1" applyProtection="1">
      <protection locked="0"/>
    </xf>
    <xf numFmtId="3" fontId="16" fillId="0" borderId="15" xfId="0" applyNumberFormat="1" applyFont="1" applyBorder="1" applyAlignment="1" applyProtection="1"/>
    <xf numFmtId="3" fontId="16" fillId="2" borderId="1" xfId="0" applyNumberFormat="1" applyFont="1" applyFill="1" applyBorder="1" applyAlignment="1" applyProtection="1">
      <protection locked="0"/>
    </xf>
    <xf numFmtId="3" fontId="16" fillId="2" borderId="14" xfId="0" applyNumberFormat="1" applyFont="1" applyFill="1" applyBorder="1" applyAlignment="1" applyProtection="1">
      <protection locked="0"/>
    </xf>
    <xf numFmtId="3" fontId="16" fillId="2" borderId="15" xfId="0" applyNumberFormat="1" applyFont="1" applyFill="1" applyBorder="1" applyAlignment="1" applyProtection="1">
      <protection locked="0"/>
    </xf>
    <xf numFmtId="3" fontId="16" fillId="2" borderId="6" xfId="0" applyNumberFormat="1" applyFont="1" applyFill="1" applyBorder="1" applyAlignment="1" applyProtection="1">
      <protection locked="0"/>
    </xf>
    <xf numFmtId="3" fontId="16" fillId="0" borderId="0" xfId="0" applyNumberFormat="1" applyFont="1" applyBorder="1" applyAlignment="1" applyProtection="1"/>
    <xf numFmtId="1" fontId="16" fillId="0" borderId="4" xfId="0" applyNumberFormat="1" applyFont="1" applyBorder="1" applyAlignment="1" applyProtection="1">
      <alignment horizontal="left"/>
    </xf>
    <xf numFmtId="1" fontId="16" fillId="0" borderId="7" xfId="0" applyNumberFormat="1" applyFont="1" applyBorder="1" applyAlignment="1" applyProtection="1">
      <alignment horizontal="left"/>
    </xf>
    <xf numFmtId="1" fontId="16" fillId="0" borderId="12" xfId="0" applyNumberFormat="1" applyFont="1" applyBorder="1" applyAlignment="1" applyProtection="1">
      <alignment horizontal="left"/>
    </xf>
    <xf numFmtId="1" fontId="16" fillId="0" borderId="13" xfId="0" applyNumberFormat="1" applyFont="1" applyBorder="1" applyAlignment="1" applyProtection="1">
      <alignment horizontal="left"/>
    </xf>
    <xf numFmtId="0" fontId="30" fillId="0" borderId="0" xfId="0" applyFont="1" applyBorder="1" applyProtection="1"/>
    <xf numFmtId="173" fontId="16" fillId="0" borderId="15" xfId="0" applyNumberFormat="1" applyFont="1" applyFill="1" applyBorder="1" applyAlignment="1" applyProtection="1">
      <alignment horizontal="center"/>
    </xf>
    <xf numFmtId="3" fontId="16" fillId="0" borderId="6" xfId="0" applyNumberFormat="1" applyFont="1" applyFill="1" applyBorder="1" applyAlignment="1" applyProtection="1"/>
    <xf numFmtId="3" fontId="16" fillId="0" borderId="4" xfId="0" applyNumberFormat="1" applyFont="1" applyFill="1" applyBorder="1" applyAlignment="1" applyProtection="1"/>
    <xf numFmtId="173" fontId="16" fillId="0" borderId="0" xfId="0" applyNumberFormat="1" applyFont="1" applyFill="1" applyBorder="1" applyAlignment="1" applyProtection="1">
      <alignment horizontal="center"/>
    </xf>
    <xf numFmtId="3" fontId="16" fillId="0" borderId="7" xfId="0" applyNumberFormat="1" applyFont="1" applyFill="1" applyBorder="1" applyAlignment="1" applyProtection="1"/>
    <xf numFmtId="3" fontId="16" fillId="2" borderId="9" xfId="0" applyNumberFormat="1" applyFont="1" applyFill="1" applyBorder="1" applyAlignment="1" applyProtection="1">
      <protection locked="0"/>
    </xf>
    <xf numFmtId="3" fontId="16" fillId="2" borderId="7" xfId="0" applyNumberFormat="1" applyFont="1" applyFill="1" applyBorder="1" applyAlignment="1" applyProtection="1">
      <protection locked="0"/>
    </xf>
    <xf numFmtId="173" fontId="16" fillId="0" borderId="8" xfId="0" applyNumberFormat="1" applyFont="1" applyFill="1" applyBorder="1" applyAlignment="1" applyProtection="1">
      <alignment horizontal="center"/>
    </xf>
    <xf numFmtId="3" fontId="16" fillId="2" borderId="0" xfId="0" applyNumberFormat="1" applyFont="1" applyFill="1" applyBorder="1" applyAlignment="1" applyProtection="1">
      <protection locked="0"/>
    </xf>
    <xf numFmtId="173" fontId="16" fillId="0" borderId="5" xfId="0" applyNumberFormat="1" applyFont="1" applyFill="1" applyBorder="1" applyAlignment="1" applyProtection="1">
      <alignment horizontal="center"/>
    </xf>
    <xf numFmtId="173" fontId="16" fillId="0" borderId="1" xfId="0" applyNumberFormat="1" applyFont="1" applyFill="1" applyBorder="1" applyAlignment="1" applyProtection="1">
      <alignment horizontal="center"/>
    </xf>
    <xf numFmtId="173" fontId="16" fillId="0" borderId="2" xfId="0" applyNumberFormat="1" applyFont="1" applyFill="1" applyBorder="1" applyAlignment="1" applyProtection="1">
      <alignment horizontal="center"/>
    </xf>
    <xf numFmtId="3" fontId="16" fillId="0" borderId="0" xfId="0" applyNumberFormat="1" applyFont="1" applyFill="1" applyBorder="1" applyAlignment="1" applyProtection="1"/>
    <xf numFmtId="0" fontId="16" fillId="0" borderId="0" xfId="0" applyFont="1" applyBorder="1" applyAlignment="1" applyProtection="1">
      <alignment horizontal="left"/>
    </xf>
    <xf numFmtId="173" fontId="16" fillId="0" borderId="0" xfId="0" applyNumberFormat="1" applyFont="1" applyAlignment="1" applyProtection="1">
      <alignment horizontal="right"/>
    </xf>
    <xf numFmtId="173" fontId="16" fillId="0" borderId="10" xfId="0" applyNumberFormat="1" applyFont="1" applyFill="1" applyBorder="1" applyAlignment="1" applyProtection="1">
      <alignment horizontal="center"/>
    </xf>
    <xf numFmtId="173" fontId="16" fillId="3" borderId="2" xfId="0" applyNumberFormat="1" applyFont="1" applyFill="1" applyBorder="1" applyAlignment="1" applyProtection="1">
      <alignment horizontal="center"/>
    </xf>
    <xf numFmtId="0" fontId="0" fillId="0" borderId="0" xfId="0" applyAlignment="1"/>
    <xf numFmtId="0" fontId="16" fillId="0" borderId="0" xfId="0" applyFont="1" applyAlignment="1" applyProtection="1">
      <alignment horizontal="left"/>
    </xf>
    <xf numFmtId="0" fontId="16" fillId="0" borderId="0" xfId="0" applyFont="1" applyAlignment="1" applyProtection="1">
      <alignment horizontal="centerContinuous"/>
      <protection locked="0"/>
    </xf>
    <xf numFmtId="173" fontId="30" fillId="0" borderId="0" xfId="0" applyNumberFormat="1" applyFont="1" applyAlignment="1" applyProtection="1">
      <alignment horizontal="center"/>
    </xf>
    <xf numFmtId="0" fontId="8" fillId="0" borderId="0" xfId="40" applyFont="1" applyAlignment="1" applyProtection="1">
      <alignment horizontal="right"/>
    </xf>
    <xf numFmtId="1" fontId="8" fillId="0" borderId="0" xfId="40" applyNumberFormat="1" applyFont="1" applyAlignment="1" applyProtection="1">
      <alignment horizontal="center"/>
    </xf>
    <xf numFmtId="0" fontId="8" fillId="0" borderId="0" xfId="40" applyFont="1" applyProtection="1"/>
    <xf numFmtId="0" fontId="8" fillId="0" borderId="0" xfId="40" applyFont="1" applyProtection="1">
      <protection locked="0"/>
    </xf>
    <xf numFmtId="0" fontId="22" fillId="0" borderId="0" xfId="40" applyFont="1" applyProtection="1">
      <protection locked="0"/>
    </xf>
    <xf numFmtId="0" fontId="8" fillId="0" borderId="0" xfId="40" applyFont="1" applyAlignment="1" applyProtection="1">
      <alignment horizontal="center"/>
    </xf>
    <xf numFmtId="0" fontId="12" fillId="0" borderId="0" xfId="40" applyFont="1" applyAlignment="1" applyProtection="1">
      <alignment horizontal="center"/>
    </xf>
    <xf numFmtId="1" fontId="8" fillId="0" borderId="4" xfId="40" applyNumberFormat="1" applyFont="1" applyBorder="1" applyAlignment="1" applyProtection="1">
      <alignment horizontal="center"/>
    </xf>
    <xf numFmtId="0" fontId="8" fillId="0" borderId="4" xfId="40" applyFont="1" applyBorder="1" applyAlignment="1" applyProtection="1">
      <alignment horizontal="center"/>
    </xf>
    <xf numFmtId="0" fontId="32" fillId="0" borderId="0" xfId="40" applyFont="1" applyProtection="1"/>
    <xf numFmtId="173" fontId="8" fillId="0" borderId="7" xfId="40" applyNumberFormat="1" applyFont="1" applyBorder="1" applyAlignment="1" applyProtection="1">
      <alignment horizontal="center"/>
    </xf>
    <xf numFmtId="0" fontId="8" fillId="0" borderId="7" xfId="40" applyFont="1" applyBorder="1" applyAlignment="1" applyProtection="1">
      <alignment horizontal="center"/>
    </xf>
    <xf numFmtId="167" fontId="8" fillId="0" borderId="0" xfId="40" applyNumberFormat="1" applyFont="1" applyProtection="1"/>
    <xf numFmtId="0" fontId="8" fillId="0" borderId="1" xfId="40" applyFont="1" applyBorder="1" applyProtection="1"/>
    <xf numFmtId="1" fontId="8" fillId="0" borderId="12" xfId="40" applyNumberFormat="1" applyFont="1" applyBorder="1" applyAlignment="1" applyProtection="1">
      <alignment horizontal="center"/>
    </xf>
    <xf numFmtId="172" fontId="8" fillId="0" borderId="12" xfId="40" applyNumberFormat="1" applyFont="1" applyBorder="1" applyAlignment="1" applyProtection="1">
      <alignment horizontal="center"/>
    </xf>
    <xf numFmtId="0" fontId="8" fillId="0" borderId="4" xfId="40" applyFont="1" applyBorder="1" applyProtection="1"/>
    <xf numFmtId="173" fontId="8" fillId="0" borderId="2" xfId="40" applyNumberFormat="1" applyFont="1" applyBorder="1" applyAlignment="1" applyProtection="1">
      <alignment horizontal="center"/>
    </xf>
    <xf numFmtId="3" fontId="8" fillId="2" borderId="14" xfId="40" applyNumberFormat="1" applyFont="1" applyFill="1" applyBorder="1" applyAlignment="1" applyProtection="1">
      <protection locked="0"/>
    </xf>
    <xf numFmtId="3" fontId="8" fillId="0" borderId="14" xfId="40" applyNumberFormat="1" applyFont="1" applyFill="1" applyBorder="1" applyAlignment="1" applyProtection="1"/>
    <xf numFmtId="173" fontId="8" fillId="0" borderId="10" xfId="40" applyNumberFormat="1" applyFont="1" applyBorder="1" applyAlignment="1" applyProtection="1">
      <alignment horizontal="center"/>
    </xf>
    <xf numFmtId="3" fontId="8" fillId="2" borderId="1" xfId="40" applyNumberFormat="1" applyFont="1" applyFill="1" applyBorder="1" applyAlignment="1" applyProtection="1">
      <protection locked="0"/>
    </xf>
    <xf numFmtId="0" fontId="12" fillId="0" borderId="4" xfId="40" applyFont="1" applyBorder="1" applyProtection="1"/>
    <xf numFmtId="1" fontId="8" fillId="0" borderId="8" xfId="40" applyNumberFormat="1" applyFont="1" applyBorder="1" applyAlignment="1" applyProtection="1">
      <alignment horizontal="center"/>
    </xf>
    <xf numFmtId="3" fontId="8" fillId="0" borderId="15" xfId="40" applyNumberFormat="1" applyFont="1" applyBorder="1" applyAlignment="1" applyProtection="1"/>
    <xf numFmtId="3" fontId="8" fillId="0" borderId="0" xfId="40" applyNumberFormat="1" applyFont="1" applyBorder="1" applyAlignment="1" applyProtection="1"/>
    <xf numFmtId="0" fontId="8" fillId="0" borderId="7" xfId="40" applyFont="1" applyBorder="1" applyProtection="1"/>
    <xf numFmtId="0" fontId="8" fillId="0" borderId="12" xfId="40" applyFont="1" applyBorder="1" applyProtection="1"/>
    <xf numFmtId="1" fontId="8" fillId="0" borderId="2" xfId="40" applyNumberFormat="1" applyFont="1" applyBorder="1" applyAlignment="1" applyProtection="1">
      <alignment horizontal="center"/>
    </xf>
    <xf numFmtId="3" fontId="8" fillId="0" borderId="0" xfId="40" applyNumberFormat="1" applyFont="1" applyProtection="1"/>
    <xf numFmtId="1" fontId="8" fillId="0" borderId="5" xfId="40" applyNumberFormat="1" applyFont="1" applyBorder="1" applyAlignment="1" applyProtection="1">
      <alignment horizontal="center"/>
    </xf>
    <xf numFmtId="3" fontId="8" fillId="0" borderId="1" xfId="40" applyNumberFormat="1" applyFont="1" applyFill="1" applyBorder="1" applyAlignment="1" applyProtection="1"/>
    <xf numFmtId="0" fontId="8" fillId="0" borderId="13" xfId="40" applyFont="1" applyBorder="1" applyProtection="1"/>
    <xf numFmtId="1" fontId="8" fillId="0" borderId="10" xfId="40" applyNumberFormat="1" applyFont="1" applyBorder="1" applyAlignment="1" applyProtection="1">
      <alignment horizontal="center"/>
    </xf>
    <xf numFmtId="3" fontId="8" fillId="2" borderId="0" xfId="40" applyNumberFormat="1" applyFont="1" applyFill="1" applyBorder="1" applyAlignment="1" applyProtection="1">
      <protection locked="0"/>
    </xf>
    <xf numFmtId="0" fontId="8" fillId="0" borderId="0" xfId="40" applyFont="1" applyBorder="1" applyProtection="1">
      <protection locked="0"/>
    </xf>
    <xf numFmtId="3" fontId="8" fillId="0" borderId="15" xfId="40" applyNumberFormat="1" applyFont="1" applyFill="1" applyBorder="1" applyAlignment="1" applyProtection="1"/>
    <xf numFmtId="3" fontId="8" fillId="0" borderId="4" xfId="40" applyNumberFormat="1" applyFont="1" applyBorder="1" applyAlignment="1" applyProtection="1"/>
    <xf numFmtId="1" fontId="8" fillId="0" borderId="7" xfId="40" applyNumberFormat="1" applyFont="1" applyBorder="1" applyAlignment="1" applyProtection="1"/>
    <xf numFmtId="169" fontId="8" fillId="0" borderId="0" xfId="40" applyNumberFormat="1" applyFont="1" applyBorder="1" applyAlignment="1" applyProtection="1"/>
    <xf numFmtId="3" fontId="8" fillId="0" borderId="7" xfId="40" applyNumberFormat="1" applyFont="1" applyBorder="1" applyAlignment="1" applyProtection="1"/>
    <xf numFmtId="0" fontId="8" fillId="0" borderId="0" xfId="40" applyFont="1" applyFill="1" applyProtection="1">
      <protection locked="0"/>
    </xf>
    <xf numFmtId="3" fontId="8" fillId="0" borderId="7" xfId="40" applyNumberFormat="1" applyFont="1" applyBorder="1" applyProtection="1"/>
    <xf numFmtId="1" fontId="8" fillId="0" borderId="0" xfId="40" applyNumberFormat="1" applyFont="1" applyProtection="1">
      <protection locked="0"/>
    </xf>
    <xf numFmtId="3" fontId="8" fillId="0" borderId="7" xfId="40" applyNumberFormat="1" applyFont="1" applyFill="1" applyBorder="1" applyAlignment="1" applyProtection="1"/>
    <xf numFmtId="0" fontId="8" fillId="0" borderId="2" xfId="40" applyFont="1" applyBorder="1" applyAlignment="1" applyProtection="1">
      <alignment horizontal="center"/>
    </xf>
    <xf numFmtId="3" fontId="8" fillId="0" borderId="12" xfId="40" applyNumberFormat="1" applyFont="1" applyFill="1" applyBorder="1" applyAlignment="1" applyProtection="1"/>
    <xf numFmtId="0" fontId="8" fillId="0" borderId="5" xfId="40" applyFont="1" applyBorder="1" applyAlignment="1" applyProtection="1">
      <alignment horizontal="center"/>
    </xf>
    <xf numFmtId="0" fontId="8" fillId="0" borderId="8" xfId="40" applyFont="1" applyBorder="1" applyAlignment="1" applyProtection="1">
      <alignment horizontal="center"/>
    </xf>
    <xf numFmtId="0" fontId="8" fillId="0" borderId="10" xfId="40" applyFont="1" applyBorder="1" applyAlignment="1" applyProtection="1">
      <alignment horizontal="center"/>
    </xf>
    <xf numFmtId="3" fontId="8" fillId="2" borderId="12" xfId="40" applyNumberFormat="1" applyFont="1" applyFill="1" applyBorder="1" applyAlignment="1" applyProtection="1">
      <protection locked="0"/>
    </xf>
    <xf numFmtId="3" fontId="8" fillId="2" borderId="13" xfId="40" applyNumberFormat="1" applyFont="1" applyFill="1" applyBorder="1" applyAlignment="1" applyProtection="1">
      <protection locked="0"/>
    </xf>
    <xf numFmtId="3" fontId="8" fillId="2" borderId="15" xfId="40" applyNumberFormat="1" applyFont="1" applyFill="1" applyBorder="1" applyAlignment="1" applyProtection="1">
      <protection locked="0"/>
    </xf>
    <xf numFmtId="0" fontId="8" fillId="0" borderId="0" xfId="40" applyFont="1" applyAlignment="1" applyProtection="1">
      <alignment horizontal="centerContinuous"/>
    </xf>
    <xf numFmtId="1" fontId="8" fillId="0" borderId="4" xfId="40" applyNumberFormat="1" applyFont="1" applyBorder="1" applyAlignment="1" applyProtection="1">
      <alignment horizontal="left"/>
    </xf>
    <xf numFmtId="1" fontId="8" fillId="0" borderId="7" xfId="40" applyNumberFormat="1" applyFont="1" applyBorder="1" applyAlignment="1" applyProtection="1">
      <alignment horizontal="left"/>
    </xf>
    <xf numFmtId="1" fontId="8" fillId="0" borderId="12" xfId="40" applyNumberFormat="1" applyFont="1" applyBorder="1" applyAlignment="1" applyProtection="1">
      <alignment horizontal="left"/>
    </xf>
    <xf numFmtId="1" fontId="8" fillId="0" borderId="13" xfId="40" applyNumberFormat="1" applyFont="1" applyBorder="1" applyAlignment="1" applyProtection="1">
      <alignment horizontal="left"/>
    </xf>
    <xf numFmtId="1" fontId="8" fillId="0" borderId="4" xfId="40" applyNumberFormat="1" applyFont="1" applyBorder="1" applyAlignment="1" applyProtection="1">
      <alignment horizontal="left" vertical="top"/>
    </xf>
    <xf numFmtId="1" fontId="8" fillId="0" borderId="5" xfId="40" applyNumberFormat="1" applyFont="1" applyBorder="1" applyAlignment="1" applyProtection="1">
      <alignment horizontal="center" vertical="top"/>
    </xf>
    <xf numFmtId="3" fontId="8" fillId="0" borderId="15" xfId="40" applyNumberFormat="1" applyFont="1" applyBorder="1" applyAlignment="1" applyProtection="1">
      <alignment vertical="top"/>
    </xf>
    <xf numFmtId="0" fontId="8" fillId="0" borderId="0" xfId="40" applyFont="1" applyAlignment="1" applyProtection="1">
      <alignment vertical="top"/>
    </xf>
    <xf numFmtId="0" fontId="8" fillId="0" borderId="0" xfId="40" applyFont="1" applyAlignment="1" applyProtection="1">
      <alignment vertical="top"/>
      <protection locked="0"/>
    </xf>
    <xf numFmtId="0" fontId="22" fillId="0" borderId="0" xfId="40" applyFont="1" applyAlignment="1" applyProtection="1">
      <alignment vertical="top"/>
      <protection locked="0"/>
    </xf>
    <xf numFmtId="1" fontId="8" fillId="0" borderId="12" xfId="40" applyNumberFormat="1" applyFont="1" applyBorder="1" applyAlignment="1" applyProtection="1">
      <alignment horizontal="left" vertical="top"/>
    </xf>
    <xf numFmtId="1" fontId="8" fillId="0" borderId="10" xfId="40" applyNumberFormat="1" applyFont="1" applyBorder="1" applyAlignment="1" applyProtection="1">
      <alignment horizontal="center" vertical="top"/>
    </xf>
    <xf numFmtId="3" fontId="8" fillId="2" borderId="1" xfId="40" applyNumberFormat="1" applyFont="1" applyFill="1" applyBorder="1" applyAlignment="1" applyProtection="1">
      <alignment vertical="top"/>
      <protection locked="0"/>
    </xf>
    <xf numFmtId="1" fontId="8" fillId="0" borderId="13" xfId="40" applyNumberFormat="1" applyFont="1" applyBorder="1" applyAlignment="1" applyProtection="1">
      <alignment horizontal="left" vertical="top"/>
    </xf>
    <xf numFmtId="1" fontId="8" fillId="0" borderId="2" xfId="40" applyNumberFormat="1" applyFont="1" applyBorder="1" applyAlignment="1" applyProtection="1">
      <alignment horizontal="center" vertical="top"/>
    </xf>
    <xf numFmtId="3" fontId="8" fillId="2" borderId="14" xfId="40" applyNumberFormat="1" applyFont="1" applyFill="1" applyBorder="1" applyAlignment="1" applyProtection="1">
      <alignment vertical="top"/>
      <protection locked="0"/>
    </xf>
    <xf numFmtId="1" fontId="8" fillId="0" borderId="7" xfId="40" applyNumberFormat="1" applyFont="1" applyBorder="1" applyAlignment="1" applyProtection="1">
      <alignment horizontal="left" vertical="top"/>
    </xf>
    <xf numFmtId="1" fontId="8" fillId="0" borderId="8" xfId="40" applyNumberFormat="1" applyFont="1" applyBorder="1" applyAlignment="1" applyProtection="1">
      <alignment horizontal="center" vertical="top"/>
    </xf>
    <xf numFmtId="3" fontId="8" fillId="0" borderId="0" xfId="40" applyNumberFormat="1" applyFont="1" applyBorder="1" applyAlignment="1" applyProtection="1">
      <alignment vertical="top"/>
    </xf>
    <xf numFmtId="3" fontId="8" fillId="2" borderId="13" xfId="40" applyNumberFormat="1" applyFont="1" applyFill="1" applyBorder="1" applyAlignment="1" applyProtection="1">
      <alignment vertical="top"/>
      <protection locked="0"/>
    </xf>
    <xf numFmtId="0" fontId="8" fillId="0" borderId="4" xfId="40" applyFont="1" applyBorder="1" applyAlignment="1" applyProtection="1">
      <alignment vertical="top"/>
    </xf>
    <xf numFmtId="3" fontId="8" fillId="2" borderId="15" xfId="40" applyNumberFormat="1" applyFont="1" applyFill="1" applyBorder="1" applyAlignment="1" applyProtection="1">
      <alignment vertical="top"/>
      <protection locked="0"/>
    </xf>
    <xf numFmtId="3" fontId="8" fillId="2" borderId="0" xfId="40" applyNumberFormat="1" applyFont="1" applyFill="1" applyBorder="1" applyAlignment="1" applyProtection="1">
      <alignment vertical="top"/>
      <protection locked="0"/>
    </xf>
    <xf numFmtId="0" fontId="8" fillId="0" borderId="0" xfId="40" applyFont="1" applyAlignment="1" applyProtection="1">
      <alignment horizontal="centerContinuous" vertical="top"/>
      <protection locked="0"/>
    </xf>
    <xf numFmtId="0" fontId="22" fillId="0" borderId="0" xfId="40" applyFont="1" applyAlignment="1" applyProtection="1">
      <alignment vertical="top"/>
    </xf>
    <xf numFmtId="1" fontId="8" fillId="0" borderId="0" xfId="40" applyNumberFormat="1" applyFont="1" applyAlignment="1" applyProtection="1">
      <alignment horizontal="center" vertical="top"/>
    </xf>
    <xf numFmtId="1" fontId="8" fillId="0" borderId="0" xfId="40" applyNumberFormat="1" applyFont="1" applyAlignment="1" applyProtection="1">
      <alignment horizontal="centerContinuous"/>
    </xf>
    <xf numFmtId="0" fontId="8" fillId="0" borderId="0" xfId="40" applyFont="1"/>
    <xf numFmtId="0" fontId="8" fillId="0" borderId="0" xfId="40" applyFont="1" applyAlignment="1" applyProtection="1">
      <alignment horizontal="centerContinuous"/>
      <protection locked="0"/>
    </xf>
    <xf numFmtId="0" fontId="20" fillId="0" borderId="0" xfId="40" applyFont="1" applyProtection="1"/>
    <xf numFmtId="1" fontId="20" fillId="0" borderId="0" xfId="40" applyNumberFormat="1" applyFont="1" applyAlignment="1" applyProtection="1">
      <alignment horizontal="center"/>
    </xf>
    <xf numFmtId="0" fontId="20" fillId="0" borderId="0" xfId="40" applyFont="1" applyProtection="1">
      <protection locked="0"/>
    </xf>
    <xf numFmtId="0" fontId="8" fillId="0" borderId="0" xfId="9" applyFont="1" applyAlignment="1" applyProtection="1">
      <alignment horizontal="right"/>
    </xf>
    <xf numFmtId="1" fontId="8" fillId="0" borderId="0" xfId="9" applyNumberFormat="1" applyFont="1" applyAlignment="1" applyProtection="1">
      <alignment horizontal="left"/>
    </xf>
    <xf numFmtId="0" fontId="8" fillId="0" borderId="0" xfId="9" applyFont="1" applyProtection="1"/>
    <xf numFmtId="0" fontId="8" fillId="0" borderId="0" xfId="9" applyFont="1" applyProtection="1">
      <protection locked="0"/>
    </xf>
    <xf numFmtId="0" fontId="20" fillId="0" borderId="0" xfId="9" applyFont="1" applyProtection="1">
      <protection locked="0"/>
    </xf>
    <xf numFmtId="173" fontId="8" fillId="0" borderId="0" xfId="9" applyNumberFormat="1" applyFont="1" applyAlignment="1" applyProtection="1">
      <alignment horizontal="center"/>
    </xf>
    <xf numFmtId="0" fontId="8" fillId="0" borderId="0" xfId="9" applyFont="1" applyAlignment="1" applyProtection="1">
      <alignment horizontal="center"/>
    </xf>
    <xf numFmtId="173" fontId="8" fillId="0" borderId="4" xfId="9" applyNumberFormat="1" applyFont="1" applyBorder="1" applyAlignment="1" applyProtection="1">
      <alignment horizontal="center"/>
    </xf>
    <xf numFmtId="0" fontId="8" fillId="0" borderId="4" xfId="9" applyFont="1" applyBorder="1" applyAlignment="1" applyProtection="1">
      <alignment horizontal="center"/>
    </xf>
    <xf numFmtId="0" fontId="32" fillId="0" borderId="0" xfId="9" applyFont="1" applyProtection="1"/>
    <xf numFmtId="0" fontId="12" fillId="0" borderId="0" xfId="9" applyFont="1" applyAlignment="1" applyProtection="1">
      <alignment horizontal="center"/>
    </xf>
    <xf numFmtId="173" fontId="8" fillId="0" borderId="7" xfId="9" applyNumberFormat="1" applyFont="1" applyBorder="1" applyAlignment="1" applyProtection="1">
      <alignment horizontal="center"/>
    </xf>
    <xf numFmtId="0" fontId="8" fillId="0" borderId="7" xfId="9" applyFont="1" applyBorder="1" applyAlignment="1" applyProtection="1">
      <alignment horizontal="center"/>
    </xf>
    <xf numFmtId="167" fontId="8" fillId="0" borderId="0" xfId="9" applyNumberFormat="1" applyFont="1" applyProtection="1"/>
    <xf numFmtId="0" fontId="8" fillId="0" borderId="1" xfId="9" applyFont="1" applyBorder="1" applyProtection="1"/>
    <xf numFmtId="173" fontId="8" fillId="0" borderId="12" xfId="9" applyNumberFormat="1" applyFont="1" applyBorder="1" applyAlignment="1" applyProtection="1">
      <alignment horizontal="center"/>
    </xf>
    <xf numFmtId="172" fontId="8" fillId="0" borderId="12" xfId="9" applyNumberFormat="1" applyFont="1" applyBorder="1" applyAlignment="1" applyProtection="1">
      <alignment horizontal="center"/>
    </xf>
    <xf numFmtId="173" fontId="8" fillId="0" borderId="13" xfId="9" applyNumberFormat="1" applyFont="1" applyBorder="1" applyAlignment="1" applyProtection="1">
      <alignment horizontal="left"/>
    </xf>
    <xf numFmtId="173" fontId="8" fillId="0" borderId="2" xfId="9" applyNumberFormat="1" applyFont="1" applyBorder="1" applyAlignment="1" applyProtection="1">
      <alignment horizontal="center"/>
    </xf>
    <xf numFmtId="3" fontId="8" fillId="2" borderId="14" xfId="9" applyNumberFormat="1" applyFont="1" applyFill="1" applyBorder="1" applyAlignment="1" applyProtection="1">
      <protection locked="0"/>
    </xf>
    <xf numFmtId="3" fontId="8" fillId="0" borderId="14" xfId="9" applyNumberFormat="1" applyFont="1" applyFill="1" applyBorder="1" applyAlignment="1" applyProtection="1"/>
    <xf numFmtId="3" fontId="8" fillId="0" borderId="13" xfId="9" applyNumberFormat="1" applyFont="1" applyFill="1" applyBorder="1" applyAlignment="1" applyProtection="1"/>
    <xf numFmtId="173" fontId="8" fillId="0" borderId="12" xfId="9" applyNumberFormat="1" applyFont="1" applyBorder="1" applyAlignment="1" applyProtection="1">
      <alignment horizontal="left"/>
    </xf>
    <xf numFmtId="173" fontId="8" fillId="0" borderId="10" xfId="9" applyNumberFormat="1" applyFont="1" applyBorder="1" applyAlignment="1" applyProtection="1">
      <alignment horizontal="center"/>
    </xf>
    <xf numFmtId="3" fontId="8" fillId="2" borderId="1" xfId="9" applyNumberFormat="1" applyFont="1" applyFill="1" applyBorder="1" applyAlignment="1" applyProtection="1">
      <protection locked="0"/>
    </xf>
    <xf numFmtId="3" fontId="8" fillId="0" borderId="7" xfId="9" applyNumberFormat="1" applyFont="1" applyBorder="1" applyAlignment="1" applyProtection="1"/>
    <xf numFmtId="173" fontId="8" fillId="0" borderId="7" xfId="9" applyNumberFormat="1" applyFont="1" applyBorder="1" applyAlignment="1" applyProtection="1">
      <alignment horizontal="left"/>
    </xf>
    <xf numFmtId="173" fontId="8" fillId="0" borderId="8" xfId="9" applyNumberFormat="1" applyFont="1" applyBorder="1" applyAlignment="1" applyProtection="1">
      <alignment horizontal="center"/>
    </xf>
    <xf numFmtId="3" fontId="8" fillId="0" borderId="15" xfId="9" applyNumberFormat="1" applyFont="1" applyBorder="1" applyAlignment="1" applyProtection="1"/>
    <xf numFmtId="3" fontId="8" fillId="0" borderId="0" xfId="9" applyNumberFormat="1" applyFont="1" applyBorder="1" applyAlignment="1" applyProtection="1"/>
    <xf numFmtId="0" fontId="8" fillId="0" borderId="8" xfId="9" applyFont="1" applyBorder="1" applyAlignment="1" applyProtection="1">
      <alignment horizontal="left"/>
    </xf>
    <xf numFmtId="0" fontId="8" fillId="0" borderId="8" xfId="9" applyFont="1" applyBorder="1" applyAlignment="1" applyProtection="1">
      <alignment horizontal="center"/>
    </xf>
    <xf numFmtId="3" fontId="8" fillId="0" borderId="0" xfId="9" applyNumberFormat="1" applyFont="1" applyBorder="1" applyAlignment="1" applyProtection="1">
      <protection locked="0"/>
    </xf>
    <xf numFmtId="0" fontId="8" fillId="0" borderId="9" xfId="9" applyFont="1" applyBorder="1"/>
    <xf numFmtId="3" fontId="8" fillId="0" borderId="0" xfId="9" applyNumberFormat="1" applyFont="1" applyProtection="1"/>
    <xf numFmtId="3" fontId="8" fillId="0" borderId="1" xfId="9" applyNumberFormat="1" applyFont="1" applyFill="1" applyBorder="1" applyAlignment="1" applyProtection="1"/>
    <xf numFmtId="3" fontId="8" fillId="0" borderId="7" xfId="9" applyNumberFormat="1" applyFont="1" applyFill="1" applyBorder="1" applyAlignment="1" applyProtection="1"/>
    <xf numFmtId="3" fontId="8" fillId="0" borderId="0" xfId="9" applyNumberFormat="1" applyFont="1" applyProtection="1">
      <protection locked="0"/>
    </xf>
    <xf numFmtId="3" fontId="8" fillId="2" borderId="0" xfId="9" applyNumberFormat="1" applyFont="1" applyFill="1" applyBorder="1" applyAlignment="1" applyProtection="1">
      <protection locked="0"/>
    </xf>
    <xf numFmtId="3" fontId="8" fillId="2" borderId="13" xfId="9" applyNumberFormat="1" applyFont="1" applyFill="1" applyBorder="1" applyAlignment="1" applyProtection="1">
      <protection locked="0"/>
    </xf>
    <xf numFmtId="3" fontId="8" fillId="0" borderId="12" xfId="9" applyNumberFormat="1" applyFont="1" applyFill="1" applyBorder="1" applyAlignment="1" applyProtection="1"/>
    <xf numFmtId="173" fontId="8" fillId="0" borderId="5" xfId="9" applyNumberFormat="1" applyFont="1" applyBorder="1" applyAlignment="1" applyProtection="1">
      <alignment horizontal="center"/>
    </xf>
    <xf numFmtId="173" fontId="8" fillId="0" borderId="4" xfId="9" applyNumberFormat="1" applyFont="1" applyBorder="1" applyAlignment="1" applyProtection="1">
      <alignment horizontal="left"/>
    </xf>
    <xf numFmtId="3" fontId="8" fillId="0" borderId="4" xfId="9" applyNumberFormat="1" applyFont="1" applyFill="1" applyBorder="1" applyAlignment="1" applyProtection="1"/>
    <xf numFmtId="0" fontId="8" fillId="0" borderId="0" xfId="9" applyFont="1" applyBorder="1" applyProtection="1"/>
    <xf numFmtId="3" fontId="8" fillId="0" borderId="4" xfId="9" applyNumberFormat="1" applyFont="1" applyBorder="1" applyAlignment="1" applyProtection="1"/>
    <xf numFmtId="0" fontId="8" fillId="0" borderId="12" xfId="9" applyFont="1" applyBorder="1" applyAlignment="1" applyProtection="1">
      <alignment horizontal="left"/>
    </xf>
    <xf numFmtId="0" fontId="8" fillId="0" borderId="10" xfId="9" applyFont="1" applyBorder="1" applyAlignment="1" applyProtection="1">
      <alignment horizontal="center"/>
    </xf>
    <xf numFmtId="0" fontId="8" fillId="0" borderId="13" xfId="9" applyFont="1" applyBorder="1" applyAlignment="1" applyProtection="1">
      <alignment horizontal="left"/>
    </xf>
    <xf numFmtId="0" fontId="8" fillId="0" borderId="2" xfId="9" applyFont="1" applyBorder="1" applyAlignment="1" applyProtection="1">
      <alignment horizontal="center"/>
    </xf>
    <xf numFmtId="0" fontId="8" fillId="0" borderId="4" xfId="9" applyFont="1" applyBorder="1" applyAlignment="1" applyProtection="1">
      <alignment horizontal="left"/>
    </xf>
    <xf numFmtId="0" fontId="8" fillId="0" borderId="5" xfId="9" applyFont="1" applyBorder="1" applyAlignment="1" applyProtection="1">
      <alignment horizontal="center"/>
    </xf>
    <xf numFmtId="0" fontId="8" fillId="0" borderId="13" xfId="9" applyFont="1" applyFill="1" applyBorder="1" applyAlignment="1" applyProtection="1">
      <alignment horizontal="left"/>
    </xf>
    <xf numFmtId="0" fontId="8" fillId="0" borderId="2" xfId="9" applyFont="1" applyFill="1" applyBorder="1" applyAlignment="1" applyProtection="1">
      <alignment horizontal="center"/>
    </xf>
    <xf numFmtId="0" fontId="8" fillId="0" borderId="15" xfId="9" applyFont="1" applyBorder="1" applyProtection="1"/>
    <xf numFmtId="3" fontId="8" fillId="2" borderId="13" xfId="9" applyNumberFormat="1" applyFont="1" applyFill="1" applyBorder="1" applyProtection="1">
      <protection locked="0"/>
    </xf>
    <xf numFmtId="0" fontId="8" fillId="0" borderId="4" xfId="9" applyFont="1" applyBorder="1" applyProtection="1"/>
    <xf numFmtId="3" fontId="8" fillId="0" borderId="1" xfId="9" applyNumberFormat="1" applyFont="1" applyFill="1" applyBorder="1" applyProtection="1"/>
    <xf numFmtId="3" fontId="8" fillId="3" borderId="13" xfId="9" applyNumberFormat="1" applyFont="1" applyFill="1" applyBorder="1" applyAlignment="1" applyProtection="1"/>
    <xf numFmtId="0" fontId="12" fillId="3" borderId="13" xfId="9" applyFont="1" applyFill="1" applyBorder="1" applyAlignment="1" applyProtection="1">
      <alignment horizontal="left"/>
    </xf>
    <xf numFmtId="0" fontId="12" fillId="0" borderId="2" xfId="9" applyFont="1" applyBorder="1" applyAlignment="1" applyProtection="1">
      <alignment horizontal="center"/>
    </xf>
    <xf numFmtId="0" fontId="8" fillId="0" borderId="13" xfId="9" applyFont="1" applyBorder="1" applyProtection="1"/>
    <xf numFmtId="3" fontId="8" fillId="3" borderId="14" xfId="9" applyNumberFormat="1" applyFont="1" applyFill="1" applyBorder="1" applyAlignment="1" applyProtection="1"/>
    <xf numFmtId="3" fontId="8" fillId="0" borderId="14" xfId="9" applyNumberFormat="1" applyFont="1" applyFill="1" applyBorder="1" applyProtection="1"/>
    <xf numFmtId="0" fontId="8" fillId="0" borderId="0" xfId="9" applyFont="1" applyAlignment="1" applyProtection="1">
      <alignment horizontal="centerContinuous"/>
    </xf>
    <xf numFmtId="0" fontId="8" fillId="0" borderId="0" xfId="9" applyFont="1"/>
    <xf numFmtId="3" fontId="8" fillId="2" borderId="12" xfId="9" applyNumberFormat="1" applyFont="1" applyFill="1" applyBorder="1" applyAlignment="1" applyProtection="1">
      <protection locked="0"/>
    </xf>
    <xf numFmtId="3" fontId="8" fillId="2" borderId="15" xfId="9" applyNumberFormat="1" applyFont="1" applyFill="1" applyBorder="1" applyAlignment="1" applyProtection="1">
      <protection locked="0"/>
    </xf>
    <xf numFmtId="0" fontId="8" fillId="0" borderId="7" xfId="9" applyFont="1" applyBorder="1" applyAlignment="1" applyProtection="1">
      <alignment horizontal="left"/>
    </xf>
    <xf numFmtId="0" fontId="8" fillId="0" borderId="0" xfId="9" applyFont="1" applyAlignment="1" applyProtection="1">
      <alignment horizontal="centerContinuous"/>
      <protection locked="0"/>
    </xf>
    <xf numFmtId="0" fontId="8" fillId="0" borderId="0" xfId="9" applyFont="1" applyAlignment="1" applyProtection="1">
      <alignment vertical="top"/>
    </xf>
    <xf numFmtId="173" fontId="8" fillId="0" borderId="0" xfId="9" applyNumberFormat="1" applyFont="1" applyAlignment="1" applyProtection="1">
      <alignment horizontal="center" vertical="top"/>
    </xf>
    <xf numFmtId="0" fontId="8" fillId="0" borderId="0" xfId="9" applyFont="1" applyAlignment="1" applyProtection="1">
      <alignment horizontal="center" vertical="top"/>
    </xf>
    <xf numFmtId="173" fontId="8" fillId="0" borderId="4" xfId="9" applyNumberFormat="1" applyFont="1" applyBorder="1" applyAlignment="1" applyProtection="1">
      <alignment horizontal="center" vertical="top"/>
    </xf>
    <xf numFmtId="173" fontId="8" fillId="0" borderId="7" xfId="9" applyNumberFormat="1" applyFont="1" applyBorder="1" applyAlignment="1" applyProtection="1">
      <alignment horizontal="center" vertical="top"/>
    </xf>
    <xf numFmtId="0" fontId="8" fillId="0" borderId="7" xfId="9" applyFont="1" applyBorder="1" applyAlignment="1" applyProtection="1">
      <alignment horizontal="center" vertical="top"/>
    </xf>
    <xf numFmtId="0" fontId="8" fillId="0" borderId="1" xfId="9" applyFont="1" applyBorder="1" applyAlignment="1" applyProtection="1">
      <alignment vertical="top"/>
    </xf>
    <xf numFmtId="173" fontId="8" fillId="0" borderId="12" xfId="9" applyNumberFormat="1" applyFont="1" applyBorder="1" applyAlignment="1" applyProtection="1">
      <alignment horizontal="center" vertical="top"/>
    </xf>
    <xf numFmtId="172" fontId="8" fillId="0" borderId="12" xfId="9" applyNumberFormat="1" applyFont="1" applyBorder="1" applyAlignment="1" applyProtection="1">
      <alignment horizontal="center" vertical="top"/>
    </xf>
    <xf numFmtId="0" fontId="8" fillId="0" borderId="4" xfId="9" applyFont="1" applyBorder="1" applyAlignment="1" applyProtection="1">
      <alignment vertical="top"/>
    </xf>
    <xf numFmtId="0" fontId="8" fillId="0" borderId="5" xfId="9" applyFont="1" applyBorder="1" applyAlignment="1" applyProtection="1">
      <alignment horizontal="center" vertical="top"/>
    </xf>
    <xf numFmtId="3" fontId="8" fillId="0" borderId="4" xfId="9" applyNumberFormat="1" applyFont="1" applyBorder="1" applyAlignment="1" applyProtection="1">
      <alignment vertical="top"/>
    </xf>
    <xf numFmtId="3" fontId="8" fillId="0" borderId="0" xfId="9" applyNumberFormat="1" applyFont="1" applyAlignment="1" applyProtection="1">
      <alignment vertical="top"/>
    </xf>
    <xf numFmtId="0" fontId="8" fillId="0" borderId="7" xfId="9" applyFont="1" applyBorder="1" applyAlignment="1" applyProtection="1">
      <alignment vertical="top"/>
    </xf>
    <xf numFmtId="0" fontId="8" fillId="0" borderId="8" xfId="9" applyFont="1" applyBorder="1" applyAlignment="1" applyProtection="1">
      <alignment horizontal="center" vertical="top"/>
    </xf>
    <xf numFmtId="3" fontId="8" fillId="0" borderId="7" xfId="9" applyNumberFormat="1" applyFont="1" applyBorder="1" applyAlignment="1" applyProtection="1">
      <alignment vertical="top"/>
    </xf>
    <xf numFmtId="0" fontId="8" fillId="0" borderId="12" xfId="9" applyFont="1" applyBorder="1" applyAlignment="1" applyProtection="1">
      <alignment vertical="top"/>
    </xf>
    <xf numFmtId="0" fontId="8" fillId="0" borderId="10" xfId="9" applyFont="1" applyBorder="1" applyAlignment="1" applyProtection="1">
      <alignment horizontal="center" vertical="top"/>
    </xf>
    <xf numFmtId="3" fontId="8" fillId="2" borderId="12" xfId="9" applyNumberFormat="1" applyFont="1" applyFill="1" applyBorder="1" applyAlignment="1" applyProtection="1">
      <alignment vertical="top"/>
      <protection locked="0"/>
    </xf>
    <xf numFmtId="0" fontId="8" fillId="0" borderId="13" xfId="9" applyFont="1" applyBorder="1" applyAlignment="1" applyProtection="1">
      <alignment vertical="top"/>
    </xf>
    <xf numFmtId="0" fontId="8" fillId="0" borderId="2" xfId="9" applyFont="1" applyBorder="1" applyAlignment="1" applyProtection="1">
      <alignment horizontal="center" vertical="top"/>
    </xf>
    <xf numFmtId="3" fontId="8" fillId="2" borderId="13" xfId="9" applyNumberFormat="1" applyFont="1" applyFill="1" applyBorder="1" applyAlignment="1" applyProtection="1">
      <alignment vertical="top"/>
      <protection locked="0"/>
    </xf>
    <xf numFmtId="3" fontId="8" fillId="0" borderId="15" xfId="9" applyNumberFormat="1" applyFont="1" applyBorder="1" applyAlignment="1" applyProtection="1">
      <alignment vertical="top"/>
    </xf>
    <xf numFmtId="3" fontId="8" fillId="2" borderId="1" xfId="9" applyNumberFormat="1" applyFont="1" applyFill="1" applyBorder="1" applyAlignment="1" applyProtection="1">
      <alignment vertical="top"/>
      <protection locked="0"/>
    </xf>
    <xf numFmtId="3" fontId="8" fillId="2" borderId="14" xfId="9" applyNumberFormat="1" applyFont="1" applyFill="1" applyBorder="1" applyAlignment="1" applyProtection="1">
      <alignment vertical="top"/>
      <protection locked="0"/>
    </xf>
    <xf numFmtId="3" fontId="8" fillId="2" borderId="15" xfId="9" applyNumberFormat="1" applyFont="1" applyFill="1" applyBorder="1" applyAlignment="1" applyProtection="1">
      <alignment vertical="top"/>
      <protection locked="0"/>
    </xf>
    <xf numFmtId="3" fontId="8" fillId="0" borderId="0" xfId="9" applyNumberFormat="1" applyFont="1" applyBorder="1" applyAlignment="1" applyProtection="1">
      <alignment vertical="top"/>
    </xf>
    <xf numFmtId="0" fontId="8" fillId="3" borderId="2" xfId="9" applyFont="1" applyFill="1" applyBorder="1" applyAlignment="1" applyProtection="1">
      <alignment horizontal="center" vertical="top"/>
    </xf>
    <xf numFmtId="3" fontId="8" fillId="0" borderId="14" xfId="9" applyNumberFormat="1" applyFont="1" applyFill="1" applyBorder="1" applyAlignment="1" applyProtection="1">
      <alignment vertical="top"/>
    </xf>
    <xf numFmtId="0" fontId="8" fillId="0" borderId="0" xfId="9" applyFont="1" applyAlignment="1" applyProtection="1">
      <alignment horizontal="centerContinuous" vertical="top"/>
      <protection locked="0"/>
    </xf>
    <xf numFmtId="0" fontId="8" fillId="0" borderId="0" xfId="9" applyFont="1" applyAlignment="1" applyProtection="1">
      <alignment vertical="top"/>
      <protection locked="0"/>
    </xf>
    <xf numFmtId="0" fontId="8" fillId="0" borderId="0" xfId="9" applyFont="1" applyAlignment="1" applyProtection="1">
      <alignment horizontal="centerContinuous" vertical="top"/>
    </xf>
    <xf numFmtId="0" fontId="20" fillId="0" borderId="0" xfId="9" applyFont="1" applyProtection="1"/>
    <xf numFmtId="173" fontId="20" fillId="0" borderId="0" xfId="9" applyNumberFormat="1" applyFont="1" applyAlignment="1" applyProtection="1">
      <alignment horizontal="center"/>
    </xf>
    <xf numFmtId="0" fontId="8" fillId="0" borderId="0" xfId="10" applyFont="1" applyProtection="1"/>
    <xf numFmtId="173" fontId="8" fillId="0" borderId="0" xfId="10" applyNumberFormat="1" applyFont="1" applyAlignment="1" applyProtection="1">
      <alignment horizontal="center"/>
    </xf>
    <xf numFmtId="0" fontId="8" fillId="0" borderId="0" xfId="10" applyFont="1" applyAlignment="1" applyProtection="1">
      <alignment horizontal="left"/>
    </xf>
    <xf numFmtId="0" fontId="8" fillId="0" borderId="0" xfId="10" applyFont="1" applyAlignment="1" applyProtection="1">
      <alignment horizontal="right"/>
    </xf>
    <xf numFmtId="0" fontId="20" fillId="0" borderId="0" xfId="10" applyFont="1" applyProtection="1"/>
    <xf numFmtId="0" fontId="20" fillId="0" borderId="0" xfId="10" applyFont="1" applyProtection="1">
      <protection locked="0"/>
    </xf>
    <xf numFmtId="0" fontId="8" fillId="0" borderId="0" xfId="10" applyFont="1" applyAlignment="1" applyProtection="1">
      <alignment horizontal="center"/>
    </xf>
    <xf numFmtId="0" fontId="12" fillId="0" borderId="0" xfId="10" applyFont="1" applyAlignment="1" applyProtection="1">
      <alignment horizontal="center"/>
    </xf>
    <xf numFmtId="173" fontId="8" fillId="0" borderId="4" xfId="10" applyNumberFormat="1" applyFont="1" applyBorder="1" applyAlignment="1" applyProtection="1">
      <alignment horizontal="center"/>
    </xf>
    <xf numFmtId="0" fontId="8" fillId="0" borderId="4" xfId="10" applyFont="1" applyBorder="1" applyAlignment="1" applyProtection="1">
      <alignment horizontal="center"/>
    </xf>
    <xf numFmtId="0" fontId="23" fillId="0" borderId="0" xfId="10" applyFont="1" applyProtection="1"/>
    <xf numFmtId="173" fontId="8" fillId="0" borderId="7" xfId="10" applyNumberFormat="1" applyFont="1" applyBorder="1" applyAlignment="1" applyProtection="1">
      <alignment horizontal="center"/>
    </xf>
    <xf numFmtId="0" fontId="8" fillId="0" borderId="7" xfId="10" applyFont="1" applyBorder="1" applyAlignment="1" applyProtection="1">
      <alignment horizontal="center"/>
    </xf>
    <xf numFmtId="167" fontId="20" fillId="0" borderId="0" xfId="10" applyNumberFormat="1" applyFont="1" applyProtection="1"/>
    <xf numFmtId="0" fontId="8" fillId="0" borderId="1" xfId="10" applyFont="1" applyBorder="1" applyProtection="1"/>
    <xf numFmtId="173" fontId="8" fillId="0" borderId="12" xfId="10" applyNumberFormat="1" applyFont="1" applyBorder="1" applyAlignment="1" applyProtection="1">
      <alignment horizontal="center"/>
    </xf>
    <xf numFmtId="172" fontId="8" fillId="0" borderId="12" xfId="10" applyNumberFormat="1" applyFont="1" applyBorder="1" applyAlignment="1" applyProtection="1">
      <alignment horizontal="center"/>
    </xf>
    <xf numFmtId="0" fontId="8" fillId="0" borderId="10" xfId="10" applyFont="1" applyBorder="1" applyProtection="1"/>
    <xf numFmtId="173" fontId="8" fillId="0" borderId="10" xfId="10" applyNumberFormat="1" applyFont="1" applyBorder="1" applyAlignment="1" applyProtection="1">
      <alignment horizontal="center"/>
    </xf>
    <xf numFmtId="3" fontId="8" fillId="2" borderId="1" xfId="10" applyNumberFormat="1" applyFont="1" applyFill="1" applyBorder="1" applyAlignment="1" applyProtection="1">
      <protection locked="0"/>
    </xf>
    <xf numFmtId="3" fontId="8" fillId="0" borderId="15" xfId="10" applyNumberFormat="1" applyFont="1" applyFill="1" applyBorder="1" applyAlignment="1" applyProtection="1"/>
    <xf numFmtId="0" fontId="8" fillId="0" borderId="8" xfId="10" applyFont="1" applyBorder="1" applyProtection="1"/>
    <xf numFmtId="173" fontId="8" fillId="0" borderId="8" xfId="10" applyNumberFormat="1" applyFont="1" applyBorder="1" applyAlignment="1" applyProtection="1">
      <alignment horizontal="center"/>
    </xf>
    <xf numFmtId="3" fontId="8" fillId="2" borderId="15" xfId="10" applyNumberFormat="1" applyFont="1" applyFill="1" applyBorder="1" applyAlignment="1" applyProtection="1">
      <protection locked="0"/>
    </xf>
    <xf numFmtId="0" fontId="12" fillId="0" borderId="4" xfId="10" applyFont="1" applyBorder="1" applyProtection="1"/>
    <xf numFmtId="173" fontId="8" fillId="0" borderId="5" xfId="10" applyNumberFormat="1" applyFont="1" applyBorder="1" applyAlignment="1" applyProtection="1">
      <alignment horizontal="center"/>
    </xf>
    <xf numFmtId="3" fontId="12" fillId="0" borderId="15" xfId="10" applyNumberFormat="1" applyFont="1" applyBorder="1" applyAlignment="1" applyProtection="1"/>
    <xf numFmtId="0" fontId="8" fillId="0" borderId="7" xfId="10" applyFont="1" applyBorder="1" applyProtection="1"/>
    <xf numFmtId="3" fontId="8" fillId="0" borderId="0" xfId="10" applyNumberFormat="1" applyFont="1" applyBorder="1" applyAlignment="1" applyProtection="1"/>
    <xf numFmtId="0" fontId="8" fillId="0" borderId="12" xfId="10" applyFont="1" applyBorder="1" applyProtection="1"/>
    <xf numFmtId="0" fontId="8" fillId="0" borderId="4" xfId="10" applyFont="1" applyBorder="1" applyProtection="1"/>
    <xf numFmtId="173" fontId="8" fillId="0" borderId="2" xfId="10" applyNumberFormat="1" applyFont="1" applyBorder="1" applyAlignment="1" applyProtection="1">
      <alignment horizontal="center"/>
    </xf>
    <xf numFmtId="3" fontId="20" fillId="0" borderId="0" xfId="10" applyNumberFormat="1" applyFont="1" applyProtection="1"/>
    <xf numFmtId="3" fontId="8" fillId="0" borderId="15" xfId="10" applyNumberFormat="1" applyFont="1" applyBorder="1" applyAlignment="1" applyProtection="1"/>
    <xf numFmtId="0" fontId="8" fillId="0" borderId="13" xfId="10" applyFont="1" applyBorder="1" applyProtection="1"/>
    <xf numFmtId="3" fontId="8" fillId="2" borderId="14" xfId="10" applyNumberFormat="1" applyFont="1" applyFill="1" applyBorder="1" applyAlignment="1" applyProtection="1">
      <protection locked="0"/>
    </xf>
    <xf numFmtId="3" fontId="8" fillId="0" borderId="1" xfId="10" applyNumberFormat="1" applyFont="1" applyFill="1" applyBorder="1" applyAlignment="1" applyProtection="1"/>
    <xf numFmtId="3" fontId="8" fillId="0" borderId="14" xfId="10" applyNumberFormat="1" applyFont="1" applyFill="1" applyBorder="1" applyAlignment="1" applyProtection="1"/>
    <xf numFmtId="0" fontId="33" fillId="0" borderId="0" xfId="10" applyFont="1" applyProtection="1">
      <protection locked="0"/>
    </xf>
    <xf numFmtId="0" fontId="12" fillId="3" borderId="13" xfId="10" applyFont="1" applyFill="1" applyBorder="1" applyProtection="1"/>
    <xf numFmtId="173" fontId="12" fillId="0" borderId="2" xfId="10" applyNumberFormat="1" applyFont="1" applyBorder="1" applyAlignment="1" applyProtection="1">
      <alignment horizontal="center"/>
    </xf>
    <xf numFmtId="0" fontId="34" fillId="0" borderId="0" xfId="10" applyFont="1" applyProtection="1"/>
    <xf numFmtId="0" fontId="8" fillId="0" borderId="0" xfId="10" applyFont="1" applyAlignment="1" applyProtection="1">
      <alignment horizontal="centerContinuous"/>
    </xf>
    <xf numFmtId="173" fontId="8" fillId="0" borderId="4" xfId="10" applyNumberFormat="1" applyFont="1" applyBorder="1" applyAlignment="1" applyProtection="1">
      <alignment horizontal="left"/>
    </xf>
    <xf numFmtId="3" fontId="8" fillId="0" borderId="4" xfId="10" applyNumberFormat="1" applyFont="1" applyBorder="1" applyAlignment="1" applyProtection="1"/>
    <xf numFmtId="173" fontId="8" fillId="0" borderId="7" xfId="10" applyNumberFormat="1" applyFont="1" applyBorder="1" applyAlignment="1" applyProtection="1">
      <alignment horizontal="left"/>
    </xf>
    <xf numFmtId="3" fontId="8" fillId="0" borderId="7" xfId="10" applyNumberFormat="1" applyFont="1" applyBorder="1" applyAlignment="1" applyProtection="1"/>
    <xf numFmtId="173" fontId="8" fillId="0" borderId="12" xfId="10" applyNumberFormat="1" applyFont="1" applyBorder="1" applyAlignment="1" applyProtection="1">
      <alignment horizontal="left"/>
    </xf>
    <xf numFmtId="3" fontId="8" fillId="2" borderId="12" xfId="10" applyNumberFormat="1" applyFont="1" applyFill="1" applyBorder="1" applyAlignment="1" applyProtection="1">
      <protection locked="0"/>
    </xf>
    <xf numFmtId="173" fontId="8" fillId="0" borderId="13" xfId="10" applyNumberFormat="1" applyFont="1" applyBorder="1" applyAlignment="1" applyProtection="1">
      <alignment horizontal="left"/>
    </xf>
    <xf numFmtId="3" fontId="8" fillId="2" borderId="13" xfId="10" applyNumberFormat="1" applyFont="1" applyFill="1" applyBorder="1" applyAlignment="1" applyProtection="1">
      <protection locked="0"/>
    </xf>
    <xf numFmtId="173" fontId="8" fillId="0" borderId="0" xfId="10" applyNumberFormat="1" applyFont="1" applyAlignment="1" applyProtection="1">
      <alignment horizontal="left"/>
    </xf>
    <xf numFmtId="38" fontId="8" fillId="0" borderId="0" xfId="10" applyNumberFormat="1" applyFont="1" applyAlignment="1" applyProtection="1">
      <alignment horizontal="center"/>
      <protection locked="0"/>
    </xf>
    <xf numFmtId="0" fontId="8" fillId="0" borderId="0" xfId="10" applyFont="1" applyAlignment="1" applyProtection="1">
      <alignment horizontal="centerContinuous"/>
      <protection locked="0"/>
    </xf>
    <xf numFmtId="173" fontId="8" fillId="0" borderId="4" xfId="10" applyNumberFormat="1" applyFont="1" applyBorder="1" applyAlignment="1" applyProtection="1">
      <alignment horizontal="left" vertical="top"/>
    </xf>
    <xf numFmtId="173" fontId="8" fillId="0" borderId="5" xfId="10" applyNumberFormat="1" applyFont="1" applyBorder="1" applyAlignment="1" applyProtection="1">
      <alignment horizontal="center" vertical="top"/>
    </xf>
    <xf numFmtId="3" fontId="8" fillId="0" borderId="4" xfId="10" applyNumberFormat="1" applyFont="1" applyBorder="1" applyAlignment="1" applyProtection="1">
      <alignment vertical="top"/>
    </xf>
    <xf numFmtId="173" fontId="8" fillId="0" borderId="7" xfId="10" applyNumberFormat="1" applyFont="1" applyBorder="1" applyAlignment="1" applyProtection="1">
      <alignment horizontal="left" vertical="top"/>
    </xf>
    <xf numFmtId="173" fontId="8" fillId="0" borderId="8" xfId="10" applyNumberFormat="1" applyFont="1" applyBorder="1" applyAlignment="1" applyProtection="1">
      <alignment horizontal="center" vertical="top"/>
    </xf>
    <xf numFmtId="3" fontId="8" fillId="0" borderId="7" xfId="10" applyNumberFormat="1" applyFont="1" applyBorder="1" applyAlignment="1" applyProtection="1">
      <alignment vertical="top"/>
    </xf>
    <xf numFmtId="173" fontId="8" fillId="0" borderId="12" xfId="10" applyNumberFormat="1" applyFont="1" applyBorder="1" applyAlignment="1" applyProtection="1">
      <alignment horizontal="left" vertical="top"/>
    </xf>
    <xf numFmtId="173" fontId="8" fillId="0" borderId="10" xfId="10" applyNumberFormat="1" applyFont="1" applyBorder="1" applyAlignment="1" applyProtection="1">
      <alignment horizontal="center" vertical="top"/>
    </xf>
    <xf numFmtId="3" fontId="8" fillId="2" borderId="12" xfId="10" applyNumberFormat="1" applyFont="1" applyFill="1" applyBorder="1" applyAlignment="1" applyProtection="1">
      <alignment vertical="top"/>
      <protection locked="0"/>
    </xf>
    <xf numFmtId="173" fontId="8" fillId="0" borderId="13" xfId="10" applyNumberFormat="1" applyFont="1" applyBorder="1" applyAlignment="1" applyProtection="1">
      <alignment horizontal="left" vertical="top"/>
    </xf>
    <xf numFmtId="173" fontId="8" fillId="0" borderId="2" xfId="10" applyNumberFormat="1" applyFont="1" applyBorder="1" applyAlignment="1" applyProtection="1">
      <alignment horizontal="center" vertical="top"/>
    </xf>
    <xf numFmtId="3" fontId="8" fillId="2" borderId="13" xfId="10" applyNumberFormat="1" applyFont="1" applyFill="1" applyBorder="1" applyAlignment="1" applyProtection="1">
      <alignment vertical="top"/>
      <protection locked="0"/>
    </xf>
    <xf numFmtId="3" fontId="8" fillId="0" borderId="15" xfId="10" applyNumberFormat="1" applyFont="1" applyBorder="1" applyAlignment="1" applyProtection="1">
      <alignment vertical="top"/>
    </xf>
    <xf numFmtId="3" fontId="8" fillId="2" borderId="1" xfId="10" applyNumberFormat="1" applyFont="1" applyFill="1" applyBorder="1" applyAlignment="1" applyProtection="1">
      <alignment vertical="top"/>
      <protection locked="0"/>
    </xf>
    <xf numFmtId="3" fontId="8" fillId="2" borderId="14" xfId="10" applyNumberFormat="1" applyFont="1" applyFill="1" applyBorder="1" applyAlignment="1" applyProtection="1">
      <alignment vertical="top"/>
      <protection locked="0"/>
    </xf>
    <xf numFmtId="3" fontId="8" fillId="2" borderId="15" xfId="10" applyNumberFormat="1" applyFont="1" applyFill="1" applyBorder="1" applyAlignment="1" applyProtection="1">
      <alignment vertical="top"/>
      <protection locked="0"/>
    </xf>
    <xf numFmtId="3" fontId="8" fillId="0" borderId="0" xfId="10" applyNumberFormat="1" applyFont="1" applyBorder="1" applyAlignment="1" applyProtection="1">
      <alignment vertical="top"/>
    </xf>
    <xf numFmtId="173" fontId="8" fillId="3" borderId="2" xfId="10" applyNumberFormat="1" applyFont="1" applyFill="1" applyBorder="1" applyAlignment="1" applyProtection="1">
      <alignment horizontal="center" vertical="top"/>
    </xf>
    <xf numFmtId="173" fontId="8" fillId="0" borderId="0" xfId="10" applyNumberFormat="1" applyFont="1" applyAlignment="1" applyProtection="1">
      <alignment horizontal="left" vertical="top"/>
    </xf>
    <xf numFmtId="173" fontId="8" fillId="0" borderId="0" xfId="10" applyNumberFormat="1" applyFont="1" applyAlignment="1" applyProtection="1">
      <alignment horizontal="center" vertical="top"/>
    </xf>
    <xf numFmtId="3" fontId="8" fillId="0" borderId="0" xfId="10" applyNumberFormat="1" applyFont="1" applyAlignment="1" applyProtection="1">
      <alignment vertical="top"/>
    </xf>
    <xf numFmtId="0" fontId="8" fillId="0" borderId="0" xfId="10" applyFont="1" applyProtection="1">
      <protection locked="0"/>
    </xf>
    <xf numFmtId="173" fontId="8" fillId="0" borderId="0" xfId="10" applyNumberFormat="1" applyFont="1" applyBorder="1" applyAlignment="1" applyProtection="1">
      <alignment horizontal="center" vertical="top"/>
      <protection locked="0"/>
    </xf>
    <xf numFmtId="173" fontId="20" fillId="0" borderId="0" xfId="10" applyNumberFormat="1" applyFont="1" applyAlignment="1" applyProtection="1">
      <alignment horizontal="center"/>
    </xf>
    <xf numFmtId="0" fontId="8" fillId="0" borderId="0" xfId="11" applyFont="1" applyProtection="1"/>
    <xf numFmtId="173" fontId="8" fillId="0" borderId="0" xfId="11" applyNumberFormat="1" applyFont="1" applyAlignment="1" applyProtection="1">
      <alignment horizontal="center"/>
    </xf>
    <xf numFmtId="0" fontId="8" fillId="0" borderId="0" xfId="11" applyFont="1" applyAlignment="1" applyProtection="1">
      <alignment horizontal="left"/>
    </xf>
    <xf numFmtId="0" fontId="8" fillId="0" borderId="0" xfId="11" applyFont="1" applyAlignment="1" applyProtection="1">
      <alignment horizontal="right"/>
    </xf>
    <xf numFmtId="0" fontId="20" fillId="0" borderId="0" xfId="11" applyFont="1" applyProtection="1">
      <protection locked="0"/>
    </xf>
    <xf numFmtId="0" fontId="8" fillId="0" borderId="0" xfId="11" applyFont="1" applyAlignment="1" applyProtection="1">
      <alignment horizontal="center"/>
    </xf>
    <xf numFmtId="0" fontId="12" fillId="0" borderId="0" xfId="11" applyFont="1" applyAlignment="1" applyProtection="1">
      <alignment horizontal="center"/>
    </xf>
    <xf numFmtId="173" fontId="8" fillId="0" borderId="4" xfId="11" applyNumberFormat="1" applyFont="1" applyBorder="1" applyAlignment="1" applyProtection="1">
      <alignment horizontal="center"/>
    </xf>
    <xf numFmtId="0" fontId="8" fillId="0" borderId="4" xfId="11" applyFont="1" applyBorder="1" applyAlignment="1" applyProtection="1">
      <alignment horizontal="center"/>
    </xf>
    <xf numFmtId="0" fontId="20" fillId="0" borderId="0" xfId="11" applyFont="1" applyProtection="1"/>
    <xf numFmtId="0" fontId="23" fillId="0" borderId="0" xfId="11" applyFont="1" applyProtection="1"/>
    <xf numFmtId="173" fontId="8" fillId="0" borderId="7" xfId="11" applyNumberFormat="1" applyFont="1" applyBorder="1" applyAlignment="1" applyProtection="1">
      <alignment horizontal="center"/>
    </xf>
    <xf numFmtId="0" fontId="8" fillId="0" borderId="7" xfId="11" applyFont="1" applyBorder="1" applyAlignment="1" applyProtection="1">
      <alignment horizontal="center"/>
    </xf>
    <xf numFmtId="167" fontId="20" fillId="0" borderId="0" xfId="11" applyNumberFormat="1" applyFont="1" applyProtection="1"/>
    <xf numFmtId="0" fontId="8" fillId="0" borderId="1" xfId="11" applyFont="1" applyBorder="1" applyProtection="1"/>
    <xf numFmtId="173" fontId="8" fillId="0" borderId="12" xfId="11" applyNumberFormat="1" applyFont="1" applyBorder="1" applyAlignment="1" applyProtection="1">
      <alignment horizontal="center"/>
    </xf>
    <xf numFmtId="172" fontId="8" fillId="0" borderId="12" xfId="11" applyNumberFormat="1" applyFont="1" applyBorder="1" applyAlignment="1" applyProtection="1">
      <alignment horizontal="center"/>
    </xf>
    <xf numFmtId="173" fontId="8" fillId="0" borderId="4" xfId="11" applyNumberFormat="1" applyFont="1" applyBorder="1" applyAlignment="1" applyProtection="1">
      <alignment horizontal="left"/>
    </xf>
    <xf numFmtId="173" fontId="8" fillId="0" borderId="2" xfId="11" applyNumberFormat="1" applyFont="1" applyBorder="1" applyAlignment="1" applyProtection="1">
      <alignment horizontal="center"/>
    </xf>
    <xf numFmtId="3" fontId="8" fillId="2" borderId="14" xfId="11" applyNumberFormat="1" applyFont="1" applyFill="1" applyBorder="1" applyAlignment="1" applyProtection="1">
      <protection locked="0"/>
    </xf>
    <xf numFmtId="3" fontId="8" fillId="2" borderId="1" xfId="11" applyNumberFormat="1" applyFont="1" applyFill="1" applyBorder="1" applyAlignment="1" applyProtection="1">
      <protection locked="0"/>
    </xf>
    <xf numFmtId="173" fontId="8" fillId="0" borderId="8" xfId="11" applyNumberFormat="1" applyFont="1" applyBorder="1" applyAlignment="1" applyProtection="1">
      <alignment horizontal="center"/>
    </xf>
    <xf numFmtId="3" fontId="8" fillId="0" borderId="0" xfId="11" applyNumberFormat="1" applyFont="1" applyBorder="1" applyAlignment="1" applyProtection="1"/>
    <xf numFmtId="173" fontId="8" fillId="0" borderId="7" xfId="11" applyNumberFormat="1" applyFont="1" applyBorder="1" applyAlignment="1" applyProtection="1">
      <alignment horizontal="left"/>
    </xf>
    <xf numFmtId="166" fontId="20" fillId="0" borderId="0" xfId="11" applyNumberFormat="1" applyFont="1" applyProtection="1"/>
    <xf numFmtId="173" fontId="8" fillId="0" borderId="12" xfId="11" applyNumberFormat="1" applyFont="1" applyBorder="1" applyAlignment="1" applyProtection="1">
      <alignment horizontal="left"/>
    </xf>
    <xf numFmtId="173" fontId="8" fillId="0" borderId="10" xfId="11" applyNumberFormat="1" applyFont="1" applyBorder="1" applyAlignment="1" applyProtection="1">
      <alignment horizontal="center"/>
    </xf>
    <xf numFmtId="0" fontId="8" fillId="0" borderId="0" xfId="11" applyFont="1" applyProtection="1">
      <protection locked="0"/>
    </xf>
    <xf numFmtId="173" fontId="8" fillId="0" borderId="13" xfId="11" applyNumberFormat="1" applyFont="1" applyBorder="1" applyAlignment="1" applyProtection="1">
      <alignment horizontal="left"/>
    </xf>
    <xf numFmtId="173" fontId="8" fillId="0" borderId="5" xfId="11" applyNumberFormat="1" applyFont="1" applyBorder="1" applyAlignment="1" applyProtection="1">
      <alignment horizontal="center"/>
    </xf>
    <xf numFmtId="3" fontId="8" fillId="0" borderId="15" xfId="11" applyNumberFormat="1" applyFont="1" applyBorder="1" applyAlignment="1" applyProtection="1"/>
    <xf numFmtId="3" fontId="20" fillId="0" borderId="0" xfId="11" applyNumberFormat="1" applyFont="1" applyProtection="1"/>
    <xf numFmtId="3" fontId="8" fillId="0" borderId="1" xfId="11" applyNumberFormat="1" applyFont="1" applyFill="1" applyBorder="1" applyAlignment="1" applyProtection="1"/>
    <xf numFmtId="3" fontId="8" fillId="0" borderId="14" xfId="11" applyNumberFormat="1" applyFont="1" applyFill="1" applyBorder="1" applyAlignment="1" applyProtection="1"/>
    <xf numFmtId="173" fontId="12" fillId="3" borderId="13" xfId="11" applyNumberFormat="1" applyFont="1" applyFill="1" applyBorder="1" applyAlignment="1" applyProtection="1">
      <alignment horizontal="left"/>
    </xf>
    <xf numFmtId="173" fontId="12" fillId="0" borderId="2" xfId="11" applyNumberFormat="1" applyFont="1" applyBorder="1" applyAlignment="1" applyProtection="1">
      <alignment horizontal="center"/>
    </xf>
    <xf numFmtId="173" fontId="8" fillId="0" borderId="13" xfId="11" applyNumberFormat="1" applyFont="1" applyFill="1" applyBorder="1" applyAlignment="1" applyProtection="1">
      <alignment horizontal="left"/>
    </xf>
    <xf numFmtId="3" fontId="8" fillId="0" borderId="4" xfId="11" applyNumberFormat="1" applyFont="1" applyBorder="1" applyAlignment="1" applyProtection="1"/>
    <xf numFmtId="3" fontId="8" fillId="0" borderId="7" xfId="11" applyNumberFormat="1" applyFont="1" applyBorder="1" applyAlignment="1" applyProtection="1"/>
    <xf numFmtId="3" fontId="8" fillId="2" borderId="12" xfId="11" applyNumberFormat="1" applyFont="1" applyFill="1" applyBorder="1" applyAlignment="1" applyProtection="1">
      <protection locked="0"/>
    </xf>
    <xf numFmtId="3" fontId="8" fillId="2" borderId="13" xfId="11" applyNumberFormat="1" applyFont="1" applyFill="1" applyBorder="1" applyAlignment="1" applyProtection="1">
      <protection locked="0"/>
    </xf>
    <xf numFmtId="3" fontId="8" fillId="2" borderId="15" xfId="11" applyNumberFormat="1" applyFont="1" applyFill="1" applyBorder="1" applyAlignment="1" applyProtection="1">
      <protection locked="0"/>
    </xf>
    <xf numFmtId="173" fontId="8" fillId="0" borderId="0" xfId="11" applyNumberFormat="1" applyFont="1" applyAlignment="1" applyProtection="1">
      <alignment horizontal="centerContinuous"/>
    </xf>
    <xf numFmtId="40" fontId="8" fillId="0" borderId="0" xfId="11" applyNumberFormat="1" applyFont="1" applyAlignment="1" applyProtection="1">
      <alignment horizontal="centerContinuous"/>
      <protection locked="0"/>
    </xf>
    <xf numFmtId="0" fontId="8" fillId="0" borderId="0" xfId="11" applyFont="1" applyAlignment="1" applyProtection="1">
      <alignment horizontal="centerContinuous"/>
      <protection locked="0"/>
    </xf>
    <xf numFmtId="40" fontId="8" fillId="0" borderId="0" xfId="11" applyNumberFormat="1" applyFont="1" applyAlignment="1" applyProtection="1">
      <alignment horizontal="centerContinuous"/>
    </xf>
    <xf numFmtId="0" fontId="8" fillId="0" borderId="4" xfId="11" applyFont="1" applyBorder="1" applyAlignment="1" applyProtection="1">
      <alignment horizontal="left" vertical="center"/>
    </xf>
    <xf numFmtId="0" fontId="8" fillId="0" borderId="5" xfId="11" applyFont="1" applyBorder="1" applyAlignment="1" applyProtection="1">
      <alignment horizontal="center" vertical="center"/>
    </xf>
    <xf numFmtId="0" fontId="8" fillId="0" borderId="12" xfId="11" applyFont="1" applyBorder="1" applyAlignment="1" applyProtection="1">
      <alignment horizontal="left" vertical="center"/>
    </xf>
    <xf numFmtId="0" fontId="8" fillId="0" borderId="10" xfId="11" applyFont="1" applyBorder="1" applyAlignment="1" applyProtection="1">
      <alignment horizontal="center" vertical="center"/>
    </xf>
    <xf numFmtId="0" fontId="8" fillId="0" borderId="13" xfId="11" applyFont="1" applyBorder="1" applyAlignment="1" applyProtection="1">
      <alignment horizontal="left" vertical="center"/>
    </xf>
    <xf numFmtId="0" fontId="8" fillId="0" borderId="2" xfId="11" applyFont="1" applyBorder="1" applyAlignment="1" applyProtection="1">
      <alignment horizontal="center" vertical="center"/>
    </xf>
    <xf numFmtId="0" fontId="8" fillId="0" borderId="7" xfId="11" applyFont="1" applyBorder="1" applyAlignment="1" applyProtection="1">
      <alignment horizontal="left" vertical="center"/>
    </xf>
    <xf numFmtId="0" fontId="8" fillId="0" borderId="8" xfId="11" applyFont="1" applyBorder="1" applyAlignment="1" applyProtection="1">
      <alignment horizontal="center" vertical="center"/>
    </xf>
    <xf numFmtId="0" fontId="8" fillId="0" borderId="0" xfId="11" applyFont="1" applyAlignment="1" applyProtection="1">
      <alignment horizontal="centerContinuous"/>
    </xf>
    <xf numFmtId="173" fontId="20" fillId="0" borderId="0" xfId="11" applyNumberFormat="1" applyFont="1" applyAlignment="1" applyProtection="1">
      <alignment horizontal="center"/>
    </xf>
    <xf numFmtId="0" fontId="8" fillId="0" borderId="0" xfId="12" applyFont="1" applyProtection="1"/>
    <xf numFmtId="173" fontId="8" fillId="0" borderId="0" xfId="12" applyNumberFormat="1" applyFont="1" applyAlignment="1" applyProtection="1">
      <alignment horizontal="center"/>
    </xf>
    <xf numFmtId="0" fontId="8" fillId="0" borderId="0" xfId="12" applyFont="1" applyAlignment="1" applyProtection="1">
      <alignment horizontal="left"/>
    </xf>
    <xf numFmtId="0" fontId="8" fillId="0" borderId="0" xfId="12" applyFont="1" applyAlignment="1" applyProtection="1">
      <alignment horizontal="right"/>
    </xf>
    <xf numFmtId="0" fontId="20" fillId="0" borderId="0" xfId="12" applyFont="1" applyProtection="1">
      <protection locked="0"/>
    </xf>
    <xf numFmtId="0" fontId="8" fillId="0" borderId="0" xfId="12" applyFont="1" applyAlignment="1" applyProtection="1">
      <alignment horizontal="center"/>
    </xf>
    <xf numFmtId="173" fontId="8" fillId="0" borderId="4" xfId="12" applyNumberFormat="1" applyFont="1" applyBorder="1" applyAlignment="1" applyProtection="1">
      <alignment horizontal="center"/>
    </xf>
    <xf numFmtId="0" fontId="8" fillId="0" borderId="4" xfId="12" applyFont="1" applyBorder="1" applyAlignment="1" applyProtection="1">
      <alignment horizontal="center"/>
    </xf>
    <xf numFmtId="0" fontId="20" fillId="0" borderId="0" xfId="12" applyFont="1" applyProtection="1"/>
    <xf numFmtId="0" fontId="12" fillId="0" borderId="0" xfId="12" applyFont="1" applyAlignment="1" applyProtection="1">
      <alignment horizontal="center"/>
    </xf>
    <xf numFmtId="173" fontId="8" fillId="0" borderId="7" xfId="12" applyNumberFormat="1" applyFont="1" applyBorder="1" applyAlignment="1" applyProtection="1">
      <alignment horizontal="center"/>
    </xf>
    <xf numFmtId="0" fontId="8" fillId="0" borderId="7" xfId="12" applyFont="1" applyBorder="1" applyAlignment="1" applyProtection="1">
      <alignment horizontal="center"/>
    </xf>
    <xf numFmtId="0" fontId="8" fillId="0" borderId="1" xfId="12" applyFont="1" applyBorder="1" applyProtection="1"/>
    <xf numFmtId="173" fontId="8" fillId="0" borderId="12" xfId="12" applyNumberFormat="1" applyFont="1" applyBorder="1" applyAlignment="1" applyProtection="1">
      <alignment horizontal="center"/>
    </xf>
    <xf numFmtId="172" fontId="8" fillId="0" borderId="12" xfId="12" applyNumberFormat="1" applyFont="1" applyBorder="1" applyAlignment="1" applyProtection="1">
      <alignment horizontal="center"/>
    </xf>
    <xf numFmtId="173" fontId="8" fillId="0" borderId="13" xfId="12" applyNumberFormat="1" applyFont="1" applyBorder="1" applyAlignment="1" applyProtection="1">
      <alignment horizontal="left"/>
    </xf>
    <xf numFmtId="173" fontId="8" fillId="0" borderId="13" xfId="12" applyNumberFormat="1" applyFont="1" applyBorder="1" applyAlignment="1" applyProtection="1">
      <alignment horizontal="center"/>
    </xf>
    <xf numFmtId="3" fontId="8" fillId="2" borderId="13" xfId="12" applyNumberFormat="1" applyFont="1" applyFill="1" applyBorder="1" applyAlignment="1" applyProtection="1">
      <protection locked="0"/>
    </xf>
    <xf numFmtId="3" fontId="8" fillId="0" borderId="13" xfId="12" applyNumberFormat="1" applyFont="1" applyFill="1" applyBorder="1" applyAlignment="1" applyProtection="1"/>
    <xf numFmtId="173" fontId="8" fillId="0" borderId="12" xfId="12" applyNumberFormat="1" applyFont="1" applyBorder="1" applyAlignment="1" applyProtection="1">
      <alignment horizontal="left"/>
    </xf>
    <xf numFmtId="3" fontId="8" fillId="2" borderId="12" xfId="12" applyNumberFormat="1" applyFont="1" applyFill="1" applyBorder="1" applyAlignment="1" applyProtection="1">
      <protection locked="0"/>
    </xf>
    <xf numFmtId="3" fontId="8" fillId="0" borderId="7" xfId="12" applyNumberFormat="1" applyFont="1" applyBorder="1" applyAlignment="1" applyProtection="1"/>
    <xf numFmtId="173" fontId="8" fillId="0" borderId="7" xfId="12" applyNumberFormat="1" applyFont="1" applyBorder="1" applyAlignment="1" applyProtection="1">
      <alignment horizontal="left"/>
    </xf>
    <xf numFmtId="3" fontId="8" fillId="0" borderId="7" xfId="12" applyNumberFormat="1" applyFont="1" applyFill="1" applyBorder="1" applyAlignment="1" applyProtection="1"/>
    <xf numFmtId="0" fontId="8" fillId="0" borderId="8" xfId="12" applyFont="1" applyBorder="1" applyAlignment="1" applyProtection="1">
      <alignment horizontal="left"/>
    </xf>
    <xf numFmtId="3" fontId="8" fillId="2" borderId="7" xfId="12" applyNumberFormat="1" applyFont="1" applyFill="1" applyBorder="1" applyAlignment="1" applyProtection="1">
      <protection locked="0"/>
    </xf>
    <xf numFmtId="3" fontId="8" fillId="0" borderId="4" xfId="12" applyNumberFormat="1" applyFont="1" applyBorder="1" applyAlignment="1" applyProtection="1"/>
    <xf numFmtId="3" fontId="8" fillId="0" borderId="4" xfId="12" applyNumberFormat="1" applyFont="1" applyBorder="1" applyAlignment="1" applyProtection="1">
      <protection locked="0"/>
    </xf>
    <xf numFmtId="3" fontId="8" fillId="0" borderId="12" xfId="12" applyNumberFormat="1" applyFont="1" applyFill="1" applyBorder="1" applyAlignment="1" applyProtection="1"/>
    <xf numFmtId="3" fontId="8" fillId="0" borderId="4" xfId="12" applyNumberFormat="1" applyFont="1" applyFill="1" applyBorder="1" applyAlignment="1" applyProtection="1"/>
    <xf numFmtId="173" fontId="8" fillId="0" borderId="4" xfId="12" applyNumberFormat="1" applyFont="1" applyBorder="1" applyAlignment="1" applyProtection="1">
      <alignment horizontal="left"/>
    </xf>
    <xf numFmtId="0" fontId="8" fillId="0" borderId="12" xfId="12" applyFont="1" applyBorder="1" applyAlignment="1" applyProtection="1">
      <alignment horizontal="left"/>
    </xf>
    <xf numFmtId="0" fontId="8" fillId="0" borderId="12" xfId="12" applyFont="1" applyBorder="1" applyAlignment="1" applyProtection="1">
      <alignment horizontal="center"/>
    </xf>
    <xf numFmtId="0" fontId="8" fillId="0" borderId="13" xfId="12" applyFont="1" applyBorder="1" applyAlignment="1" applyProtection="1">
      <alignment horizontal="left"/>
    </xf>
    <xf numFmtId="0" fontId="8" fillId="0" borderId="13" xfId="12" applyFont="1" applyBorder="1" applyAlignment="1" applyProtection="1">
      <alignment horizontal="center"/>
    </xf>
    <xf numFmtId="0" fontId="8" fillId="0" borderId="4" xfId="12" applyFont="1" applyBorder="1" applyAlignment="1" applyProtection="1">
      <alignment horizontal="left"/>
    </xf>
    <xf numFmtId="0" fontId="12" fillId="3" borderId="13" xfId="12" applyFont="1" applyFill="1" applyBorder="1" applyAlignment="1" applyProtection="1">
      <alignment horizontal="left"/>
    </xf>
    <xf numFmtId="0" fontId="12" fillId="0" borderId="13" xfId="12" applyFont="1" applyBorder="1" applyAlignment="1" applyProtection="1">
      <alignment horizontal="center"/>
    </xf>
    <xf numFmtId="3" fontId="8" fillId="3" borderId="13" xfId="12" applyNumberFormat="1" applyFont="1" applyFill="1" applyBorder="1" applyAlignment="1" applyProtection="1"/>
    <xf numFmtId="0" fontId="8" fillId="0" borderId="0" xfId="12" applyFont="1" applyProtection="1">
      <protection locked="0"/>
    </xf>
    <xf numFmtId="0" fontId="8" fillId="0" borderId="0" xfId="12" applyFont="1" applyAlignment="1" applyProtection="1">
      <alignment horizontal="centerContinuous"/>
    </xf>
    <xf numFmtId="0" fontId="8" fillId="0" borderId="0" xfId="12" applyFont="1"/>
    <xf numFmtId="0" fontId="8" fillId="0" borderId="7" xfId="12" applyFont="1" applyBorder="1" applyAlignment="1" applyProtection="1">
      <alignment horizontal="left"/>
    </xf>
    <xf numFmtId="0" fontId="8" fillId="3" borderId="13" xfId="12" applyFont="1" applyFill="1" applyBorder="1" applyAlignment="1" applyProtection="1">
      <alignment horizontal="center"/>
    </xf>
    <xf numFmtId="0" fontId="8" fillId="0" borderId="0" xfId="12" applyFont="1" applyAlignment="1" applyProtection="1">
      <alignment horizontal="centerContinuous"/>
      <protection locked="0"/>
    </xf>
    <xf numFmtId="173" fontId="20" fillId="0" borderId="0" xfId="12" applyNumberFormat="1" applyFont="1" applyAlignment="1" applyProtection="1">
      <alignment horizontal="center"/>
    </xf>
    <xf numFmtId="0" fontId="8" fillId="0" borderId="0" xfId="13" applyFont="1" applyAlignment="1" applyProtection="1">
      <alignment horizontal="right"/>
    </xf>
    <xf numFmtId="173" fontId="8" fillId="0" borderId="0" xfId="13" applyNumberFormat="1" applyFont="1" applyAlignment="1" applyProtection="1">
      <alignment horizontal="center"/>
    </xf>
    <xf numFmtId="0" fontId="8" fillId="0" borderId="0" xfId="13" applyFont="1" applyProtection="1"/>
    <xf numFmtId="0" fontId="8" fillId="0" borderId="0" xfId="13" applyFont="1" applyProtection="1">
      <protection locked="0"/>
    </xf>
    <xf numFmtId="0" fontId="20" fillId="0" borderId="0" xfId="13" applyFont="1" applyProtection="1">
      <protection locked="0"/>
    </xf>
    <xf numFmtId="0" fontId="8" fillId="0" borderId="0" xfId="13" applyFont="1" applyAlignment="1" applyProtection="1">
      <alignment horizontal="center"/>
    </xf>
    <xf numFmtId="0" fontId="12" fillId="0" borderId="0" xfId="13" applyFont="1" applyAlignment="1" applyProtection="1">
      <alignment horizontal="center"/>
    </xf>
    <xf numFmtId="173" fontId="8" fillId="0" borderId="4" xfId="13" applyNumberFormat="1" applyFont="1" applyBorder="1" applyAlignment="1" applyProtection="1">
      <alignment horizontal="center"/>
    </xf>
    <xf numFmtId="0" fontId="8" fillId="0" borderId="4" xfId="13" applyFont="1" applyBorder="1" applyAlignment="1" applyProtection="1">
      <alignment horizontal="center"/>
    </xf>
    <xf numFmtId="0" fontId="20" fillId="0" borderId="0" xfId="13" applyFont="1" applyProtection="1"/>
    <xf numFmtId="0" fontId="23" fillId="0" borderId="0" xfId="13" applyFont="1" applyProtection="1"/>
    <xf numFmtId="173" fontId="8" fillId="0" borderId="7" xfId="13" applyNumberFormat="1" applyFont="1" applyBorder="1" applyAlignment="1" applyProtection="1">
      <alignment horizontal="center"/>
    </xf>
    <xf numFmtId="0" fontId="8" fillId="0" borderId="7" xfId="13" applyFont="1" applyBorder="1" applyAlignment="1" applyProtection="1">
      <alignment horizontal="center"/>
    </xf>
    <xf numFmtId="167" fontId="20" fillId="0" borderId="0" xfId="13" applyNumberFormat="1" applyFont="1" applyProtection="1"/>
    <xf numFmtId="0" fontId="8" fillId="0" borderId="1" xfId="13" applyFont="1" applyBorder="1" applyProtection="1"/>
    <xf numFmtId="173" fontId="8" fillId="0" borderId="12" xfId="13" applyNumberFormat="1" applyFont="1" applyBorder="1" applyAlignment="1" applyProtection="1">
      <alignment horizontal="center"/>
    </xf>
    <xf numFmtId="172" fontId="8" fillId="0" borderId="12" xfId="13" applyNumberFormat="1" applyFont="1" applyBorder="1" applyAlignment="1" applyProtection="1">
      <alignment horizontal="center"/>
    </xf>
    <xf numFmtId="173" fontId="8" fillId="0" borderId="12" xfId="13" applyNumberFormat="1" applyFont="1" applyBorder="1" applyAlignment="1" applyProtection="1">
      <alignment horizontal="left"/>
    </xf>
    <xf numFmtId="173" fontId="8" fillId="0" borderId="10" xfId="13" applyNumberFormat="1" applyFont="1" applyBorder="1" applyAlignment="1" applyProtection="1">
      <alignment horizontal="center"/>
    </xf>
    <xf numFmtId="3" fontId="8" fillId="2" borderId="1" xfId="13" applyNumberFormat="1" applyFont="1" applyFill="1" applyBorder="1" applyAlignment="1" applyProtection="1">
      <protection locked="0"/>
    </xf>
    <xf numFmtId="3" fontId="8" fillId="0" borderId="1" xfId="13" applyNumberFormat="1" applyFont="1" applyFill="1" applyBorder="1" applyAlignment="1" applyProtection="1"/>
    <xf numFmtId="173" fontId="8" fillId="0" borderId="7" xfId="13" applyNumberFormat="1" applyFont="1" applyBorder="1" applyAlignment="1" applyProtection="1">
      <alignment horizontal="left"/>
    </xf>
    <xf numFmtId="173" fontId="8" fillId="0" borderId="8" xfId="13" applyNumberFormat="1" applyFont="1" applyBorder="1" applyAlignment="1" applyProtection="1">
      <alignment horizontal="center"/>
    </xf>
    <xf numFmtId="3" fontId="8" fillId="2" borderId="0" xfId="13" applyNumberFormat="1" applyFont="1" applyFill="1" applyBorder="1" applyAlignment="1" applyProtection="1">
      <protection locked="0"/>
    </xf>
    <xf numFmtId="173" fontId="8" fillId="0" borderId="4" xfId="13" applyNumberFormat="1" applyFont="1" applyBorder="1" applyAlignment="1" applyProtection="1">
      <alignment horizontal="left"/>
    </xf>
    <xf numFmtId="173" fontId="8" fillId="0" borderId="5" xfId="13" applyNumberFormat="1" applyFont="1" applyBorder="1" applyAlignment="1" applyProtection="1">
      <alignment horizontal="center"/>
    </xf>
    <xf numFmtId="3" fontId="8" fillId="0" borderId="15" xfId="13" applyNumberFormat="1" applyFont="1" applyBorder="1" applyAlignment="1" applyProtection="1"/>
    <xf numFmtId="3" fontId="20" fillId="0" borderId="0" xfId="13" applyNumberFormat="1" applyFont="1" applyProtection="1"/>
    <xf numFmtId="173" fontId="8" fillId="0" borderId="13" xfId="13" applyNumberFormat="1" applyFont="1" applyBorder="1" applyAlignment="1" applyProtection="1">
      <alignment horizontal="left"/>
    </xf>
    <xf numFmtId="173" fontId="8" fillId="0" borderId="2" xfId="13" applyNumberFormat="1" applyFont="1" applyBorder="1" applyAlignment="1" applyProtection="1">
      <alignment horizontal="center"/>
    </xf>
    <xf numFmtId="3" fontId="8" fillId="0" borderId="14" xfId="13" applyNumberFormat="1" applyFont="1" applyFill="1" applyBorder="1" applyAlignment="1" applyProtection="1"/>
    <xf numFmtId="173" fontId="12" fillId="3" borderId="12" xfId="13" applyNumberFormat="1" applyFont="1" applyFill="1" applyBorder="1" applyAlignment="1" applyProtection="1">
      <alignment horizontal="left"/>
    </xf>
    <xf numFmtId="173" fontId="12" fillId="0" borderId="10" xfId="13" applyNumberFormat="1" applyFont="1" applyBorder="1" applyAlignment="1" applyProtection="1">
      <alignment horizontal="center"/>
    </xf>
    <xf numFmtId="0" fontId="33" fillId="0" borderId="0" xfId="13" applyFont="1" applyProtection="1">
      <protection locked="0"/>
    </xf>
    <xf numFmtId="3" fontId="8" fillId="0" borderId="4" xfId="13" applyNumberFormat="1" applyFont="1" applyBorder="1" applyAlignment="1" applyProtection="1"/>
    <xf numFmtId="3" fontId="8" fillId="0" borderId="7" xfId="13" applyNumberFormat="1" applyFont="1" applyBorder="1" applyAlignment="1" applyProtection="1"/>
    <xf numFmtId="3" fontId="8" fillId="2" borderId="12" xfId="13" applyNumberFormat="1" applyFont="1" applyFill="1" applyBorder="1" applyAlignment="1" applyProtection="1">
      <protection locked="0"/>
    </xf>
    <xf numFmtId="3" fontId="8" fillId="2" borderId="13" xfId="13" applyNumberFormat="1" applyFont="1" applyFill="1" applyBorder="1" applyAlignment="1" applyProtection="1">
      <protection locked="0"/>
    </xf>
    <xf numFmtId="3" fontId="8" fillId="2" borderId="14" xfId="13" applyNumberFormat="1" applyFont="1" applyFill="1" applyBorder="1" applyAlignment="1" applyProtection="1">
      <protection locked="0"/>
    </xf>
    <xf numFmtId="3" fontId="8" fillId="2" borderId="15" xfId="13" applyNumberFormat="1" applyFont="1" applyFill="1" applyBorder="1" applyAlignment="1" applyProtection="1">
      <protection locked="0"/>
    </xf>
    <xf numFmtId="3" fontId="8" fillId="0" borderId="0" xfId="13" applyNumberFormat="1" applyFont="1" applyBorder="1" applyAlignment="1" applyProtection="1"/>
    <xf numFmtId="173" fontId="8" fillId="0" borderId="0" xfId="13" applyNumberFormat="1" applyFont="1" applyAlignment="1" applyProtection="1">
      <alignment horizontal="centerContinuous"/>
    </xf>
    <xf numFmtId="3" fontId="8" fillId="0" borderId="0" xfId="13" applyNumberFormat="1" applyFont="1" applyAlignment="1" applyProtection="1">
      <alignment horizontal="centerContinuous"/>
    </xf>
    <xf numFmtId="0" fontId="8" fillId="0" borderId="0" xfId="13" applyFont="1" applyAlignment="1" applyProtection="1">
      <alignment horizontal="centerContinuous"/>
      <protection locked="0"/>
    </xf>
    <xf numFmtId="0" fontId="8" fillId="0" borderId="4" xfId="13" applyFont="1" applyBorder="1" applyAlignment="1" applyProtection="1">
      <alignment horizontal="left" vertical="center"/>
    </xf>
    <xf numFmtId="0" fontId="8" fillId="0" borderId="5" xfId="13" applyFont="1" applyBorder="1" applyAlignment="1" applyProtection="1">
      <alignment horizontal="center" vertical="center"/>
    </xf>
    <xf numFmtId="0" fontId="8" fillId="0" borderId="12" xfId="13" applyFont="1" applyBorder="1" applyAlignment="1" applyProtection="1">
      <alignment horizontal="left" vertical="center"/>
    </xf>
    <xf numFmtId="0" fontId="8" fillId="0" borderId="10" xfId="13" applyFont="1" applyBorder="1" applyAlignment="1" applyProtection="1">
      <alignment horizontal="center" vertical="center"/>
    </xf>
    <xf numFmtId="0" fontId="8" fillId="0" borderId="13" xfId="13" applyFont="1" applyBorder="1" applyAlignment="1" applyProtection="1">
      <alignment horizontal="left" vertical="center"/>
    </xf>
    <xf numFmtId="0" fontId="8" fillId="0" borderId="2" xfId="13" applyFont="1" applyBorder="1" applyAlignment="1" applyProtection="1">
      <alignment horizontal="center" vertical="center"/>
    </xf>
    <xf numFmtId="0" fontId="8" fillId="0" borderId="7" xfId="13" applyFont="1" applyBorder="1" applyAlignment="1" applyProtection="1">
      <alignment horizontal="left" vertical="center"/>
    </xf>
    <xf numFmtId="0" fontId="8" fillId="0" borderId="8" xfId="13" applyFont="1" applyBorder="1" applyAlignment="1" applyProtection="1">
      <alignment horizontal="center" vertical="center"/>
    </xf>
    <xf numFmtId="0" fontId="8" fillId="0" borderId="13" xfId="13" applyFont="1" applyBorder="1" applyAlignment="1" applyProtection="1">
      <alignment horizontal="left"/>
    </xf>
    <xf numFmtId="3" fontId="8" fillId="0" borderId="0" xfId="13" applyNumberFormat="1" applyFont="1" applyAlignment="1" applyProtection="1">
      <alignment horizontal="centerContinuous"/>
      <protection locked="0"/>
    </xf>
    <xf numFmtId="0" fontId="8" fillId="0" borderId="0" xfId="13" applyFont="1" applyAlignment="1" applyProtection="1">
      <alignment horizontal="centerContinuous"/>
    </xf>
    <xf numFmtId="173" fontId="20" fillId="0" borderId="0" xfId="13" applyNumberFormat="1" applyFont="1" applyAlignment="1" applyProtection="1">
      <alignment horizontal="center"/>
    </xf>
    <xf numFmtId="0" fontId="8" fillId="0" borderId="0" xfId="15" applyFont="1" applyAlignment="1" applyProtection="1">
      <alignment horizontal="right"/>
    </xf>
    <xf numFmtId="164" fontId="8" fillId="0" borderId="0" xfId="15" applyNumberFormat="1" applyFont="1" applyAlignment="1" applyProtection="1">
      <alignment horizontal="center"/>
    </xf>
    <xf numFmtId="0" fontId="8" fillId="0" borderId="0" xfId="15" applyFont="1" applyProtection="1"/>
    <xf numFmtId="0" fontId="20" fillId="0" borderId="0" xfId="15" applyFont="1" applyProtection="1">
      <protection locked="0"/>
    </xf>
    <xf numFmtId="173" fontId="8" fillId="0" borderId="0" xfId="15" applyNumberFormat="1" applyFont="1" applyAlignment="1" applyProtection="1">
      <alignment horizontal="center"/>
    </xf>
    <xf numFmtId="0" fontId="8" fillId="0" borderId="0" xfId="15" applyFont="1" applyAlignment="1" applyProtection="1">
      <alignment horizontal="center"/>
    </xf>
    <xf numFmtId="0" fontId="12" fillId="0" borderId="0" xfId="15" applyFont="1" applyAlignment="1" applyProtection="1">
      <alignment horizontal="center"/>
    </xf>
    <xf numFmtId="173" fontId="8" fillId="0" borderId="4" xfId="15" applyNumberFormat="1" applyFont="1" applyBorder="1" applyAlignment="1" applyProtection="1">
      <alignment horizontal="center"/>
    </xf>
    <xf numFmtId="0" fontId="8" fillId="0" borderId="4" xfId="15" applyFont="1" applyBorder="1" applyAlignment="1" applyProtection="1">
      <alignment horizontal="center"/>
    </xf>
    <xf numFmtId="0" fontId="20" fillId="0" borderId="0" xfId="15" applyFont="1" applyProtection="1"/>
    <xf numFmtId="0" fontId="23" fillId="0" borderId="0" xfId="15" applyFont="1" applyProtection="1"/>
    <xf numFmtId="173" fontId="8" fillId="0" borderId="7" xfId="15" applyNumberFormat="1" applyFont="1" applyBorder="1" applyAlignment="1" applyProtection="1">
      <alignment horizontal="center"/>
    </xf>
    <xf numFmtId="0" fontId="8" fillId="0" borderId="7" xfId="15" applyFont="1" applyBorder="1" applyAlignment="1" applyProtection="1">
      <alignment horizontal="center"/>
    </xf>
    <xf numFmtId="167" fontId="20" fillId="0" borderId="0" xfId="15" applyNumberFormat="1" applyFont="1" applyProtection="1"/>
    <xf numFmtId="0" fontId="8" fillId="0" borderId="1" xfId="15" applyFont="1" applyBorder="1" applyProtection="1"/>
    <xf numFmtId="173" fontId="8" fillId="0" borderId="12" xfId="15" applyNumberFormat="1" applyFont="1" applyBorder="1" applyAlignment="1" applyProtection="1">
      <alignment horizontal="center"/>
    </xf>
    <xf numFmtId="172" fontId="8" fillId="0" borderId="12" xfId="15" applyNumberFormat="1" applyFont="1" applyBorder="1" applyAlignment="1" applyProtection="1">
      <alignment horizontal="center"/>
    </xf>
    <xf numFmtId="173" fontId="8" fillId="0" borderId="12" xfId="15" applyNumberFormat="1" applyFont="1" applyBorder="1" applyAlignment="1" applyProtection="1">
      <alignment horizontal="left"/>
    </xf>
    <xf numFmtId="173" fontId="8" fillId="0" borderId="10" xfId="15" applyNumberFormat="1" applyFont="1" applyBorder="1" applyAlignment="1" applyProtection="1">
      <alignment horizontal="center"/>
    </xf>
    <xf numFmtId="3" fontId="8" fillId="2" borderId="1" xfId="15" applyNumberFormat="1" applyFont="1" applyFill="1" applyBorder="1" applyAlignment="1" applyProtection="1">
      <protection locked="0"/>
    </xf>
    <xf numFmtId="3" fontId="8" fillId="0" borderId="1" xfId="15" applyNumberFormat="1" applyFont="1" applyFill="1" applyBorder="1" applyAlignment="1" applyProtection="1"/>
    <xf numFmtId="0" fontId="8" fillId="0" borderId="0" xfId="15" applyFont="1" applyProtection="1">
      <protection locked="0"/>
    </xf>
    <xf numFmtId="173" fontId="8" fillId="0" borderId="7" xfId="15" applyNumberFormat="1" applyFont="1" applyBorder="1" applyAlignment="1" applyProtection="1">
      <alignment horizontal="left"/>
    </xf>
    <xf numFmtId="173" fontId="8" fillId="0" borderId="8" xfId="15" applyNumberFormat="1" applyFont="1" applyBorder="1" applyAlignment="1" applyProtection="1">
      <alignment horizontal="center"/>
    </xf>
    <xf numFmtId="173" fontId="8" fillId="0" borderId="4" xfId="15" applyNumberFormat="1" applyFont="1" applyBorder="1" applyAlignment="1" applyProtection="1">
      <alignment horizontal="left"/>
    </xf>
    <xf numFmtId="173" fontId="8" fillId="0" borderId="5" xfId="15" applyNumberFormat="1" applyFont="1" applyBorder="1" applyAlignment="1" applyProtection="1">
      <alignment horizontal="center"/>
    </xf>
    <xf numFmtId="3" fontId="8" fillId="0" borderId="0" xfId="15" applyNumberFormat="1" applyFont="1" applyBorder="1" applyAlignment="1" applyProtection="1"/>
    <xf numFmtId="0" fontId="20" fillId="0" borderId="0" xfId="15" applyFont="1" applyFill="1" applyProtection="1">
      <protection locked="0"/>
    </xf>
    <xf numFmtId="173" fontId="8" fillId="0" borderId="13" xfId="15" applyNumberFormat="1" applyFont="1" applyBorder="1" applyAlignment="1" applyProtection="1">
      <alignment horizontal="left"/>
    </xf>
    <xf numFmtId="173" fontId="8" fillId="0" borderId="2" xfId="15" applyNumberFormat="1" applyFont="1" applyBorder="1" applyAlignment="1" applyProtection="1">
      <alignment horizontal="center"/>
    </xf>
    <xf numFmtId="3" fontId="20" fillId="0" borderId="0" xfId="15" applyNumberFormat="1" applyFont="1" applyProtection="1"/>
    <xf numFmtId="173" fontId="12" fillId="3" borderId="12" xfId="15" applyNumberFormat="1" applyFont="1" applyFill="1" applyBorder="1" applyAlignment="1" applyProtection="1">
      <alignment horizontal="left"/>
    </xf>
    <xf numFmtId="173" fontId="12" fillId="0" borderId="10" xfId="15" applyNumberFormat="1" applyFont="1" applyBorder="1" applyAlignment="1" applyProtection="1">
      <alignment horizontal="center"/>
    </xf>
    <xf numFmtId="0" fontId="33" fillId="0" borderId="0" xfId="15" applyFont="1" applyProtection="1">
      <protection locked="0"/>
    </xf>
    <xf numFmtId="3" fontId="8" fillId="0" borderId="14" xfId="15" applyNumberFormat="1" applyFont="1" applyFill="1" applyBorder="1" applyAlignment="1" applyProtection="1"/>
    <xf numFmtId="3" fontId="8" fillId="0" borderId="4" xfId="15" applyNumberFormat="1" applyFont="1" applyBorder="1" applyAlignment="1" applyProtection="1"/>
    <xf numFmtId="3" fontId="8" fillId="0" borderId="7" xfId="15" applyNumberFormat="1" applyFont="1" applyBorder="1" applyAlignment="1" applyProtection="1"/>
    <xf numFmtId="3" fontId="8" fillId="2" borderId="12" xfId="15" applyNumberFormat="1" applyFont="1" applyFill="1" applyBorder="1" applyAlignment="1" applyProtection="1">
      <protection locked="0"/>
    </xf>
    <xf numFmtId="3" fontId="8" fillId="2" borderId="13" xfId="15" applyNumberFormat="1" applyFont="1" applyFill="1" applyBorder="1" applyAlignment="1" applyProtection="1">
      <protection locked="0"/>
    </xf>
    <xf numFmtId="3" fontId="8" fillId="2" borderId="14" xfId="15" applyNumberFormat="1" applyFont="1" applyFill="1" applyBorder="1" applyAlignment="1" applyProtection="1">
      <protection locked="0"/>
    </xf>
    <xf numFmtId="3" fontId="8" fillId="2" borderId="15" xfId="15" applyNumberFormat="1" applyFont="1" applyFill="1" applyBorder="1" applyAlignment="1" applyProtection="1">
      <protection locked="0"/>
    </xf>
    <xf numFmtId="3" fontId="8" fillId="0" borderId="15" xfId="15" applyNumberFormat="1" applyFont="1" applyBorder="1" applyAlignment="1" applyProtection="1"/>
    <xf numFmtId="173" fontId="8" fillId="0" borderId="0" xfId="15" applyNumberFormat="1" applyFont="1" applyAlignment="1" applyProtection="1">
      <alignment horizontal="centerContinuous"/>
    </xf>
    <xf numFmtId="3" fontId="8" fillId="0" borderId="0" xfId="15" applyNumberFormat="1" applyFont="1" applyAlignment="1" applyProtection="1">
      <alignment horizontal="centerContinuous"/>
    </xf>
    <xf numFmtId="0" fontId="8" fillId="0" borderId="0" xfId="15" applyFont="1" applyAlignment="1" applyProtection="1">
      <alignment horizontal="centerContinuous"/>
      <protection locked="0"/>
    </xf>
    <xf numFmtId="3" fontId="8" fillId="2" borderId="4" xfId="15" applyNumberFormat="1" applyFont="1" applyFill="1" applyBorder="1" applyAlignment="1" applyProtection="1">
      <protection locked="0"/>
    </xf>
    <xf numFmtId="0" fontId="8" fillId="0" borderId="4" xfId="15" applyFont="1" applyBorder="1" applyAlignment="1" applyProtection="1">
      <alignment horizontal="left" vertical="center"/>
    </xf>
    <xf numFmtId="0" fontId="8" fillId="0" borderId="5" xfId="15" applyFont="1" applyBorder="1" applyAlignment="1" applyProtection="1">
      <alignment horizontal="center" vertical="center"/>
    </xf>
    <xf numFmtId="3" fontId="8" fillId="0" borderId="15" xfId="15" applyNumberFormat="1" applyFont="1" applyBorder="1" applyAlignment="1" applyProtection="1">
      <alignment vertical="center"/>
    </xf>
    <xf numFmtId="0" fontId="8" fillId="0" borderId="12" xfId="15" applyFont="1" applyBorder="1" applyAlignment="1" applyProtection="1">
      <alignment horizontal="left" vertical="center"/>
    </xf>
    <xf numFmtId="0" fontId="8" fillId="0" borderId="10" xfId="15" applyFont="1" applyBorder="1" applyAlignment="1" applyProtection="1">
      <alignment horizontal="center" vertical="center"/>
    </xf>
    <xf numFmtId="3" fontId="8" fillId="2" borderId="1" xfId="15" applyNumberFormat="1" applyFont="1" applyFill="1" applyBorder="1" applyAlignment="1" applyProtection="1">
      <alignment vertical="center"/>
      <protection locked="0"/>
    </xf>
    <xf numFmtId="0" fontId="8" fillId="0" borderId="7" xfId="15" applyFont="1" applyBorder="1" applyAlignment="1" applyProtection="1">
      <alignment horizontal="left" vertical="center"/>
    </xf>
    <xf numFmtId="0" fontId="8" fillId="0" borderId="8" xfId="15" applyFont="1" applyBorder="1" applyAlignment="1" applyProtection="1">
      <alignment horizontal="center" vertical="center"/>
    </xf>
    <xf numFmtId="3" fontId="8" fillId="0" borderId="0" xfId="15" applyNumberFormat="1" applyFont="1" applyBorder="1" applyAlignment="1" applyProtection="1">
      <alignment vertical="center"/>
    </xf>
    <xf numFmtId="0" fontId="8" fillId="0" borderId="13" xfId="15" applyFont="1" applyBorder="1" applyAlignment="1" applyProtection="1">
      <alignment horizontal="left" vertical="center"/>
    </xf>
    <xf numFmtId="0" fontId="8" fillId="0" borderId="2" xfId="15" applyFont="1" applyBorder="1" applyAlignment="1" applyProtection="1">
      <alignment horizontal="center" vertical="center"/>
    </xf>
    <xf numFmtId="0" fontId="8" fillId="0" borderId="4" xfId="15" applyFont="1" applyBorder="1" applyAlignment="1" applyProtection="1">
      <alignment horizontal="left" vertical="top"/>
    </xf>
    <xf numFmtId="0" fontId="8" fillId="0" borderId="7" xfId="15" applyFont="1" applyBorder="1" applyAlignment="1" applyProtection="1">
      <alignment horizontal="left" vertical="top"/>
    </xf>
    <xf numFmtId="0" fontId="8" fillId="0" borderId="12" xfId="15" applyFont="1" applyBorder="1" applyAlignment="1" applyProtection="1">
      <alignment horizontal="left" vertical="top"/>
    </xf>
    <xf numFmtId="0" fontId="8" fillId="0" borderId="13" xfId="15" applyFont="1" applyBorder="1" applyAlignment="1" applyProtection="1">
      <alignment horizontal="left" vertical="top"/>
    </xf>
    <xf numFmtId="173" fontId="8" fillId="0" borderId="13" xfId="15" applyNumberFormat="1" applyFont="1" applyBorder="1" applyAlignment="1" applyProtection="1">
      <alignment horizontal="left" vertical="top"/>
    </xf>
    <xf numFmtId="0" fontId="8" fillId="0" borderId="0" xfId="15" applyFont="1" applyAlignment="1" applyProtection="1">
      <alignment horizontal="centerContinuous"/>
    </xf>
    <xf numFmtId="173" fontId="20" fillId="0" borderId="0" xfId="15" applyNumberFormat="1" applyFont="1" applyAlignment="1" applyProtection="1">
      <alignment horizontal="center"/>
    </xf>
    <xf numFmtId="0" fontId="8" fillId="0" borderId="0" xfId="16" applyFont="1" applyAlignment="1" applyProtection="1">
      <alignment horizontal="right"/>
    </xf>
    <xf numFmtId="164" fontId="8" fillId="0" borderId="0" xfId="16" applyNumberFormat="1" applyFont="1" applyAlignment="1" applyProtection="1">
      <alignment horizontal="center"/>
    </xf>
    <xf numFmtId="0" fontId="8" fillId="0" borderId="0" xfId="16" applyFont="1" applyProtection="1"/>
    <xf numFmtId="0" fontId="8" fillId="0" borderId="0" xfId="16" applyFont="1" applyProtection="1">
      <protection locked="0"/>
    </xf>
    <xf numFmtId="0" fontId="20" fillId="0" borderId="0" xfId="16" applyFont="1" applyProtection="1">
      <protection locked="0"/>
    </xf>
    <xf numFmtId="173" fontId="8" fillId="0" borderId="0" xfId="16" applyNumberFormat="1" applyFont="1" applyAlignment="1" applyProtection="1">
      <alignment horizontal="center"/>
    </xf>
    <xf numFmtId="0" fontId="8" fillId="0" borderId="0" xfId="16" applyFont="1" applyAlignment="1" applyProtection="1">
      <alignment horizontal="center"/>
    </xf>
    <xf numFmtId="0" fontId="12" fillId="0" borderId="0" xfId="16" applyFont="1" applyAlignment="1" applyProtection="1">
      <alignment horizontal="center"/>
    </xf>
    <xf numFmtId="173" fontId="8" fillId="0" borderId="4" xfId="16" applyNumberFormat="1" applyFont="1" applyBorder="1" applyAlignment="1" applyProtection="1">
      <alignment horizontal="center"/>
    </xf>
    <xf numFmtId="0" fontId="8" fillId="0" borderId="4" xfId="16" applyFont="1" applyBorder="1" applyAlignment="1" applyProtection="1">
      <alignment horizontal="center"/>
    </xf>
    <xf numFmtId="0" fontId="20" fillId="0" borderId="0" xfId="16" applyFont="1" applyProtection="1"/>
    <xf numFmtId="0" fontId="23" fillId="0" borderId="0" xfId="16" applyFont="1" applyProtection="1"/>
    <xf numFmtId="173" fontId="8" fillId="0" borderId="7" xfId="16" applyNumberFormat="1" applyFont="1" applyBorder="1" applyAlignment="1" applyProtection="1">
      <alignment horizontal="center"/>
    </xf>
    <xf numFmtId="0" fontId="8" fillId="0" borderId="7" xfId="16" applyFont="1" applyBorder="1" applyAlignment="1" applyProtection="1">
      <alignment horizontal="center"/>
    </xf>
    <xf numFmtId="0" fontId="8" fillId="0" borderId="1" xfId="16" applyFont="1" applyBorder="1" applyProtection="1"/>
    <xf numFmtId="173" fontId="8" fillId="0" borderId="12" xfId="16" applyNumberFormat="1" applyFont="1" applyBorder="1" applyAlignment="1" applyProtection="1">
      <alignment horizontal="center"/>
    </xf>
    <xf numFmtId="172" fontId="8" fillId="0" borderId="12" xfId="16" applyNumberFormat="1" applyFont="1" applyBorder="1" applyAlignment="1" applyProtection="1">
      <alignment horizontal="center"/>
    </xf>
    <xf numFmtId="173" fontId="8" fillId="0" borderId="12" xfId="16" applyNumberFormat="1" applyFont="1" applyBorder="1" applyAlignment="1" applyProtection="1">
      <alignment horizontal="left"/>
    </xf>
    <xf numFmtId="173" fontId="8" fillId="0" borderId="10" xfId="16" applyNumberFormat="1" applyFont="1" applyBorder="1" applyAlignment="1" applyProtection="1">
      <alignment horizontal="center"/>
    </xf>
    <xf numFmtId="3" fontId="8" fillId="2" borderId="1" xfId="16" applyNumberFormat="1" applyFont="1" applyFill="1" applyBorder="1" applyAlignment="1" applyProtection="1">
      <protection locked="0"/>
    </xf>
    <xf numFmtId="3" fontId="8" fillId="0" borderId="1" xfId="16" applyNumberFormat="1" applyFont="1" applyFill="1" applyBorder="1" applyAlignment="1" applyProtection="1"/>
    <xf numFmtId="173" fontId="8" fillId="0" borderId="7" xfId="16" applyNumberFormat="1" applyFont="1" applyBorder="1" applyAlignment="1" applyProtection="1">
      <alignment horizontal="left"/>
    </xf>
    <xf numFmtId="173" fontId="8" fillId="0" borderId="8" xfId="16" applyNumberFormat="1" applyFont="1" applyBorder="1" applyAlignment="1" applyProtection="1">
      <alignment horizontal="center"/>
    </xf>
    <xf numFmtId="3" fontId="8" fillId="2" borderId="0" xfId="16" applyNumberFormat="1" applyFont="1" applyFill="1" applyBorder="1" applyAlignment="1" applyProtection="1">
      <protection locked="0"/>
    </xf>
    <xf numFmtId="167" fontId="20" fillId="0" borderId="0" xfId="16" applyNumberFormat="1" applyFont="1" applyProtection="1"/>
    <xf numFmtId="173" fontId="8" fillId="0" borderId="4" xfId="16" applyNumberFormat="1" applyFont="1" applyBorder="1" applyAlignment="1" applyProtection="1">
      <alignment horizontal="left"/>
    </xf>
    <xf numFmtId="173" fontId="8" fillId="0" borderId="5" xfId="16" applyNumberFormat="1" applyFont="1" applyBorder="1" applyAlignment="1" applyProtection="1">
      <alignment horizontal="center"/>
    </xf>
    <xf numFmtId="3" fontId="8" fillId="0" borderId="15" xfId="16" applyNumberFormat="1" applyFont="1" applyBorder="1" applyAlignment="1" applyProtection="1"/>
    <xf numFmtId="3" fontId="8" fillId="0" borderId="0" xfId="16" applyNumberFormat="1" applyFont="1" applyBorder="1" applyAlignment="1" applyProtection="1"/>
    <xf numFmtId="173" fontId="8" fillId="0" borderId="13" xfId="16" applyNumberFormat="1" applyFont="1" applyBorder="1" applyAlignment="1" applyProtection="1">
      <alignment horizontal="left"/>
    </xf>
    <xf numFmtId="173" fontId="8" fillId="0" borderId="2" xfId="16" applyNumberFormat="1" applyFont="1" applyBorder="1" applyAlignment="1" applyProtection="1">
      <alignment horizontal="center"/>
    </xf>
    <xf numFmtId="3" fontId="8" fillId="2" borderId="14" xfId="16" applyNumberFormat="1" applyFont="1" applyFill="1" applyBorder="1" applyAlignment="1" applyProtection="1">
      <protection locked="0"/>
    </xf>
    <xf numFmtId="3" fontId="8" fillId="2" borderId="15" xfId="16" applyNumberFormat="1" applyFont="1" applyFill="1" applyBorder="1" applyAlignment="1" applyProtection="1">
      <protection locked="0"/>
    </xf>
    <xf numFmtId="3" fontId="20" fillId="0" borderId="0" xfId="16" applyNumberFormat="1" applyFont="1" applyProtection="1"/>
    <xf numFmtId="0" fontId="8" fillId="0" borderId="4" xfId="16" applyFont="1" applyBorder="1" applyAlignment="1" applyProtection="1">
      <alignment horizontal="left"/>
    </xf>
    <xf numFmtId="0" fontId="8" fillId="0" borderId="5" xfId="16" applyFont="1" applyBorder="1" applyAlignment="1" applyProtection="1">
      <alignment horizontal="center"/>
    </xf>
    <xf numFmtId="0" fontId="8" fillId="0" borderId="12" xfId="16" applyFont="1" applyBorder="1" applyAlignment="1" applyProtection="1">
      <alignment horizontal="left"/>
    </xf>
    <xf numFmtId="0" fontId="8" fillId="0" borderId="10" xfId="16" applyFont="1" applyBorder="1" applyAlignment="1" applyProtection="1">
      <alignment horizontal="center"/>
    </xf>
    <xf numFmtId="0" fontId="8" fillId="0" borderId="13" xfId="16" applyFont="1" applyBorder="1" applyAlignment="1" applyProtection="1">
      <alignment horizontal="left"/>
    </xf>
    <xf numFmtId="0" fontId="8" fillId="0" borderId="2" xfId="16" applyFont="1" applyBorder="1" applyAlignment="1" applyProtection="1">
      <alignment horizontal="center"/>
    </xf>
    <xf numFmtId="3" fontId="8" fillId="0" borderId="14" xfId="16" applyNumberFormat="1" applyFont="1" applyFill="1" applyBorder="1" applyAlignment="1" applyProtection="1"/>
    <xf numFmtId="0" fontId="12" fillId="3" borderId="13" xfId="16" applyFont="1" applyFill="1" applyBorder="1" applyAlignment="1" applyProtection="1">
      <alignment horizontal="left"/>
    </xf>
    <xf numFmtId="0" fontId="33" fillId="0" borderId="0" xfId="16" applyFont="1" applyProtection="1">
      <protection locked="0"/>
    </xf>
    <xf numFmtId="0" fontId="8" fillId="0" borderId="0" xfId="16" applyFont="1" applyAlignment="1" applyProtection="1">
      <alignment horizontal="centerContinuous"/>
    </xf>
    <xf numFmtId="3" fontId="8" fillId="0" borderId="4" xfId="16" applyNumberFormat="1" applyFont="1" applyBorder="1" applyAlignment="1" applyProtection="1"/>
    <xf numFmtId="3" fontId="8" fillId="0" borderId="7" xfId="16" applyNumberFormat="1" applyFont="1" applyBorder="1" applyAlignment="1" applyProtection="1"/>
    <xf numFmtId="3" fontId="8" fillId="2" borderId="12" xfId="16" applyNumberFormat="1" applyFont="1" applyFill="1" applyBorder="1" applyAlignment="1" applyProtection="1">
      <protection locked="0"/>
    </xf>
    <xf numFmtId="0" fontId="8" fillId="0" borderId="5" xfId="16" applyFont="1" applyBorder="1" applyAlignment="1" applyProtection="1">
      <alignment horizontal="left"/>
    </xf>
    <xf numFmtId="0" fontId="8" fillId="0" borderId="8" xfId="16" applyFont="1" applyBorder="1" applyAlignment="1" applyProtection="1">
      <alignment horizontal="left"/>
    </xf>
    <xf numFmtId="0" fontId="8" fillId="0" borderId="8" xfId="16" applyFont="1" applyBorder="1" applyAlignment="1" applyProtection="1">
      <alignment horizontal="center"/>
    </xf>
    <xf numFmtId="0" fontId="8" fillId="0" borderId="10" xfId="16" applyFont="1" applyBorder="1" applyAlignment="1" applyProtection="1">
      <alignment horizontal="left"/>
    </xf>
    <xf numFmtId="3" fontId="8" fillId="2" borderId="13" xfId="16" applyNumberFormat="1" applyFont="1" applyFill="1" applyBorder="1" applyAlignment="1" applyProtection="1">
      <protection locked="0"/>
    </xf>
    <xf numFmtId="0" fontId="8" fillId="3" borderId="2" xfId="16" applyFont="1" applyFill="1" applyBorder="1" applyAlignment="1" applyProtection="1">
      <alignment horizontal="center"/>
    </xf>
    <xf numFmtId="173" fontId="20" fillId="0" borderId="0" xfId="16" applyNumberFormat="1" applyFont="1" applyAlignment="1" applyProtection="1">
      <alignment horizontal="center"/>
    </xf>
    <xf numFmtId="0" fontId="8" fillId="0" borderId="0" xfId="17" applyFont="1" applyAlignment="1" applyProtection="1">
      <alignment horizontal="right"/>
    </xf>
    <xf numFmtId="164" fontId="8" fillId="0" borderId="0" xfId="17" applyNumberFormat="1" applyFont="1" applyAlignment="1" applyProtection="1">
      <alignment horizontal="center"/>
    </xf>
    <xf numFmtId="0" fontId="8" fillId="0" borderId="0" xfId="17" applyFont="1" applyProtection="1"/>
    <xf numFmtId="0" fontId="8" fillId="0" borderId="0" xfId="17" applyFont="1" applyProtection="1">
      <protection locked="0"/>
    </xf>
    <xf numFmtId="0" fontId="20" fillId="0" borderId="0" xfId="17" applyFont="1" applyProtection="1">
      <protection locked="0"/>
    </xf>
    <xf numFmtId="173" fontId="8" fillId="0" borderId="0" xfId="17" applyNumberFormat="1" applyFont="1" applyAlignment="1" applyProtection="1">
      <alignment horizontal="center"/>
    </xf>
    <xf numFmtId="0" fontId="8" fillId="0" borderId="0" xfId="17" applyFont="1" applyAlignment="1" applyProtection="1">
      <alignment horizontal="center"/>
    </xf>
    <xf numFmtId="0" fontId="12" fillId="0" borderId="0" xfId="17" applyFont="1" applyAlignment="1" applyProtection="1">
      <alignment horizontal="center"/>
    </xf>
    <xf numFmtId="173" fontId="8" fillId="0" borderId="4" xfId="17" applyNumberFormat="1" applyFont="1" applyBorder="1" applyAlignment="1" applyProtection="1">
      <alignment horizontal="center"/>
    </xf>
    <xf numFmtId="0" fontId="8" fillId="0" borderId="4" xfId="17" applyFont="1" applyBorder="1" applyAlignment="1" applyProtection="1">
      <alignment horizontal="center"/>
    </xf>
    <xf numFmtId="0" fontId="20" fillId="0" borderId="0" xfId="17" applyFont="1" applyProtection="1"/>
    <xf numFmtId="173" fontId="8" fillId="0" borderId="7" xfId="17" applyNumberFormat="1" applyFont="1" applyBorder="1" applyAlignment="1" applyProtection="1">
      <alignment horizontal="center"/>
    </xf>
    <xf numFmtId="0" fontId="8" fillId="0" borderId="7" xfId="17" applyFont="1" applyBorder="1" applyAlignment="1" applyProtection="1">
      <alignment horizontal="center"/>
    </xf>
    <xf numFmtId="167" fontId="20" fillId="0" borderId="0" xfId="17" applyNumberFormat="1" applyFont="1" applyProtection="1"/>
    <xf numFmtId="0" fontId="8" fillId="0" borderId="1" xfId="17" applyFont="1" applyBorder="1" applyProtection="1"/>
    <xf numFmtId="173" fontId="8" fillId="0" borderId="12" xfId="17" applyNumberFormat="1" applyFont="1" applyBorder="1" applyAlignment="1" applyProtection="1">
      <alignment horizontal="center"/>
    </xf>
    <xf numFmtId="172" fontId="8" fillId="0" borderId="12" xfId="17" applyNumberFormat="1" applyFont="1" applyBorder="1" applyAlignment="1" applyProtection="1">
      <alignment horizontal="center"/>
    </xf>
    <xf numFmtId="173" fontId="8" fillId="0" borderId="12" xfId="17" applyNumberFormat="1" applyFont="1" applyBorder="1" applyAlignment="1" applyProtection="1">
      <alignment horizontal="left" vertical="top"/>
    </xf>
    <xf numFmtId="173" fontId="8" fillId="0" borderId="10" xfId="17" applyNumberFormat="1" applyFont="1" applyBorder="1" applyAlignment="1" applyProtection="1">
      <alignment horizontal="center" vertical="top"/>
    </xf>
    <xf numFmtId="3" fontId="8" fillId="2" borderId="1" xfId="17" applyNumberFormat="1" applyFont="1" applyFill="1" applyBorder="1" applyAlignment="1" applyProtection="1">
      <alignment vertical="top"/>
      <protection locked="0"/>
    </xf>
    <xf numFmtId="3" fontId="8" fillId="0" borderId="1" xfId="17" applyNumberFormat="1" applyFont="1" applyFill="1" applyBorder="1" applyAlignment="1" applyProtection="1">
      <alignment vertical="top"/>
    </xf>
    <xf numFmtId="173" fontId="8" fillId="0" borderId="7" xfId="17" applyNumberFormat="1" applyFont="1" applyBorder="1" applyAlignment="1" applyProtection="1">
      <alignment horizontal="left" vertical="top"/>
    </xf>
    <xf numFmtId="173" fontId="8" fillId="0" borderId="8" xfId="17" applyNumberFormat="1" applyFont="1" applyBorder="1" applyAlignment="1" applyProtection="1">
      <alignment horizontal="center" vertical="top"/>
    </xf>
    <xf numFmtId="3" fontId="8" fillId="2" borderId="0" xfId="17" applyNumberFormat="1" applyFont="1" applyFill="1" applyBorder="1" applyAlignment="1" applyProtection="1">
      <alignment vertical="top"/>
      <protection locked="0"/>
    </xf>
    <xf numFmtId="173" fontId="8" fillId="0" borderId="4" xfId="17" applyNumberFormat="1" applyFont="1" applyBorder="1" applyAlignment="1" applyProtection="1">
      <alignment horizontal="left" vertical="top"/>
    </xf>
    <xf numFmtId="173" fontId="8" fillId="0" borderId="5" xfId="17" applyNumberFormat="1" applyFont="1" applyBorder="1" applyAlignment="1" applyProtection="1">
      <alignment horizontal="center" vertical="top"/>
    </xf>
    <xf numFmtId="3" fontId="8" fillId="0" borderId="15" xfId="17" applyNumberFormat="1" applyFont="1" applyBorder="1" applyAlignment="1" applyProtection="1">
      <alignment vertical="top"/>
    </xf>
    <xf numFmtId="3" fontId="8" fillId="0" borderId="0" xfId="17" applyNumberFormat="1" applyFont="1" applyBorder="1" applyAlignment="1" applyProtection="1">
      <alignment vertical="top"/>
    </xf>
    <xf numFmtId="173" fontId="8" fillId="0" borderId="13" xfId="17" applyNumberFormat="1" applyFont="1" applyBorder="1" applyAlignment="1" applyProtection="1">
      <alignment horizontal="left" vertical="top"/>
    </xf>
    <xf numFmtId="173" fontId="8" fillId="0" borderId="2" xfId="17" applyNumberFormat="1" applyFont="1" applyBorder="1" applyAlignment="1" applyProtection="1">
      <alignment horizontal="center" vertical="top"/>
    </xf>
    <xf numFmtId="3" fontId="8" fillId="2" borderId="14" xfId="17" applyNumberFormat="1" applyFont="1" applyFill="1" applyBorder="1" applyAlignment="1" applyProtection="1">
      <alignment vertical="top"/>
      <protection locked="0"/>
    </xf>
    <xf numFmtId="3" fontId="20" fillId="0" borderId="0" xfId="17" applyNumberFormat="1" applyFont="1" applyProtection="1"/>
    <xf numFmtId="3" fontId="8" fillId="0" borderId="14" xfId="17" applyNumberFormat="1" applyFont="1" applyFill="1" applyBorder="1" applyAlignment="1" applyProtection="1">
      <alignment vertical="top"/>
    </xf>
    <xf numFmtId="173" fontId="12" fillId="3" borderId="13" xfId="17" applyNumberFormat="1" applyFont="1" applyFill="1" applyBorder="1" applyAlignment="1" applyProtection="1">
      <alignment horizontal="left" vertical="top"/>
    </xf>
    <xf numFmtId="3" fontId="8" fillId="0" borderId="15" xfId="17" applyNumberFormat="1" applyFont="1" applyFill="1" applyBorder="1" applyAlignment="1" applyProtection="1">
      <alignment vertical="top"/>
    </xf>
    <xf numFmtId="0" fontId="8" fillId="0" borderId="7" xfId="17" applyFont="1" applyBorder="1" applyAlignment="1" applyProtection="1">
      <alignment horizontal="left" vertical="top"/>
    </xf>
    <xf numFmtId="0" fontId="8" fillId="0" borderId="8" xfId="17" applyFont="1" applyBorder="1" applyAlignment="1" applyProtection="1">
      <alignment horizontal="center" vertical="top"/>
    </xf>
    <xf numFmtId="0" fontId="8" fillId="0" borderId="12" xfId="17" applyFont="1" applyBorder="1" applyAlignment="1" applyProtection="1">
      <alignment horizontal="left" vertical="top"/>
    </xf>
    <xf numFmtId="0" fontId="8" fillId="0" borderId="10" xfId="17" applyFont="1" applyBorder="1" applyAlignment="1" applyProtection="1">
      <alignment horizontal="center" vertical="top"/>
    </xf>
    <xf numFmtId="0" fontId="8" fillId="0" borderId="13" xfId="17" applyFont="1" applyBorder="1" applyAlignment="1" applyProtection="1">
      <alignment horizontal="left" vertical="top"/>
    </xf>
    <xf numFmtId="0" fontId="8" fillId="0" borderId="2" xfId="17" applyFont="1" applyBorder="1" applyAlignment="1" applyProtection="1">
      <alignment horizontal="center" vertical="top"/>
    </xf>
    <xf numFmtId="3" fontId="8" fillId="2" borderId="13" xfId="17" applyNumberFormat="1" applyFont="1" applyFill="1" applyBorder="1" applyAlignment="1" applyProtection="1">
      <alignment vertical="top"/>
      <protection locked="0"/>
    </xf>
    <xf numFmtId="0" fontId="8" fillId="0" borderId="4" xfId="17" applyFont="1" applyBorder="1" applyAlignment="1" applyProtection="1">
      <alignment horizontal="left" vertical="top"/>
    </xf>
    <xf numFmtId="0" fontId="8" fillId="0" borderId="5" xfId="17" applyFont="1" applyBorder="1" applyAlignment="1" applyProtection="1">
      <alignment horizontal="center" vertical="top"/>
    </xf>
    <xf numFmtId="3" fontId="8" fillId="2" borderId="15" xfId="17" applyNumberFormat="1" applyFont="1" applyFill="1" applyBorder="1" applyAlignment="1" applyProtection="1">
      <alignment vertical="top"/>
      <protection locked="0"/>
    </xf>
    <xf numFmtId="3" fontId="8" fillId="0" borderId="0" xfId="17" applyNumberFormat="1" applyFont="1" applyProtection="1"/>
    <xf numFmtId="3" fontId="8" fillId="3" borderId="12" xfId="17" applyNumberFormat="1" applyFont="1" applyFill="1" applyBorder="1" applyAlignment="1" applyProtection="1">
      <alignment vertical="top"/>
    </xf>
    <xf numFmtId="0" fontId="8" fillId="0" borderId="0" xfId="17" applyFont="1" applyAlignment="1" applyProtection="1">
      <alignment horizontal="centerContinuous"/>
      <protection locked="0"/>
    </xf>
    <xf numFmtId="0" fontId="31" fillId="0" borderId="0" xfId="17" applyFont="1" applyProtection="1">
      <protection locked="0"/>
    </xf>
    <xf numFmtId="173" fontId="20" fillId="0" borderId="0" xfId="17" applyNumberFormat="1" applyFont="1" applyAlignment="1" applyProtection="1">
      <alignment horizontal="center"/>
    </xf>
    <xf numFmtId="0" fontId="8" fillId="0" borderId="0" xfId="18" applyFont="1" applyAlignment="1" applyProtection="1">
      <alignment horizontal="right"/>
    </xf>
    <xf numFmtId="164" fontId="8" fillId="0" borderId="0" xfId="18" applyNumberFormat="1" applyFont="1" applyAlignment="1" applyProtection="1">
      <alignment horizontal="center"/>
    </xf>
    <xf numFmtId="0" fontId="8" fillId="0" borderId="0" xfId="18" applyFont="1" applyProtection="1"/>
    <xf numFmtId="0" fontId="8" fillId="0" borderId="0" xfId="18" applyFont="1" applyProtection="1">
      <protection locked="0"/>
    </xf>
    <xf numFmtId="0" fontId="20" fillId="0" borderId="0" xfId="18" applyFont="1" applyProtection="1">
      <protection locked="0"/>
    </xf>
    <xf numFmtId="173" fontId="8" fillId="0" borderId="0" xfId="18" applyNumberFormat="1" applyFont="1" applyAlignment="1" applyProtection="1">
      <alignment horizontal="center"/>
    </xf>
    <xf numFmtId="0" fontId="8" fillId="0" borderId="0" xfId="18" applyFont="1" applyAlignment="1" applyProtection="1">
      <alignment horizontal="center"/>
    </xf>
    <xf numFmtId="0" fontId="12" fillId="0" borderId="0" xfId="18" applyFont="1" applyAlignment="1" applyProtection="1">
      <alignment horizontal="center"/>
    </xf>
    <xf numFmtId="173" fontId="8" fillId="0" borderId="4" xfId="18" applyNumberFormat="1" applyFont="1" applyBorder="1" applyAlignment="1" applyProtection="1">
      <alignment horizontal="center"/>
    </xf>
    <xf numFmtId="0" fontId="8" fillId="0" borderId="4" xfId="18" applyFont="1" applyBorder="1" applyAlignment="1" applyProtection="1">
      <alignment horizontal="center"/>
    </xf>
    <xf numFmtId="0" fontId="20" fillId="0" borderId="0" xfId="18" applyFont="1" applyProtection="1"/>
    <xf numFmtId="173" fontId="8" fillId="0" borderId="7" xfId="18" applyNumberFormat="1" applyFont="1" applyBorder="1" applyAlignment="1" applyProtection="1">
      <alignment horizontal="center"/>
    </xf>
    <xf numFmtId="0" fontId="8" fillId="0" borderId="7" xfId="18" applyFont="1" applyBorder="1" applyAlignment="1" applyProtection="1">
      <alignment horizontal="center"/>
    </xf>
    <xf numFmtId="167" fontId="20" fillId="0" borderId="0" xfId="18" applyNumberFormat="1" applyFont="1" applyProtection="1"/>
    <xf numFmtId="0" fontId="8" fillId="0" borderId="1" xfId="18" applyFont="1" applyBorder="1" applyProtection="1"/>
    <xf numFmtId="173" fontId="8" fillId="0" borderId="12" xfId="18" applyNumberFormat="1" applyFont="1" applyBorder="1" applyAlignment="1" applyProtection="1">
      <alignment horizontal="center"/>
    </xf>
    <xf numFmtId="172" fontId="8" fillId="0" borderId="12" xfId="18" applyNumberFormat="1" applyFont="1" applyBorder="1" applyAlignment="1" applyProtection="1">
      <alignment horizontal="center"/>
    </xf>
    <xf numFmtId="173" fontId="8" fillId="0" borderId="12" xfId="18" applyNumberFormat="1" applyFont="1" applyBorder="1" applyAlignment="1" applyProtection="1">
      <alignment horizontal="left"/>
    </xf>
    <xf numFmtId="173" fontId="8" fillId="0" borderId="10" xfId="18" applyNumberFormat="1" applyFont="1" applyBorder="1" applyAlignment="1" applyProtection="1">
      <alignment horizontal="center"/>
    </xf>
    <xf numFmtId="3" fontId="8" fillId="0" borderId="1" xfId="18" applyNumberFormat="1" applyFont="1" applyFill="1" applyBorder="1" applyAlignment="1" applyProtection="1"/>
    <xf numFmtId="173" fontId="8" fillId="0" borderId="7" xfId="18" applyNumberFormat="1" applyFont="1" applyBorder="1" applyAlignment="1" applyProtection="1">
      <alignment horizontal="left"/>
    </xf>
    <xf numFmtId="173" fontId="8" fillId="0" borderId="8" xfId="18" applyNumberFormat="1" applyFont="1" applyBorder="1" applyAlignment="1" applyProtection="1">
      <alignment horizontal="center"/>
    </xf>
    <xf numFmtId="3" fontId="8" fillId="2" borderId="1" xfId="18" applyNumberFormat="1" applyFont="1" applyFill="1" applyBorder="1" applyAlignment="1" applyProtection="1">
      <protection locked="0"/>
    </xf>
    <xf numFmtId="173" fontId="8" fillId="0" borderId="4" xfId="18" applyNumberFormat="1" applyFont="1" applyBorder="1" applyAlignment="1" applyProtection="1">
      <alignment horizontal="left"/>
    </xf>
    <xf numFmtId="173" fontId="8" fillId="0" borderId="5" xfId="18" applyNumberFormat="1" applyFont="1" applyBorder="1" applyAlignment="1" applyProtection="1">
      <alignment horizontal="center"/>
    </xf>
    <xf numFmtId="3" fontId="8" fillId="0" borderId="0" xfId="18" applyNumberFormat="1" applyFont="1" applyBorder="1" applyAlignment="1" applyProtection="1"/>
    <xf numFmtId="3" fontId="8" fillId="0" borderId="15" xfId="18" applyNumberFormat="1" applyFont="1" applyBorder="1" applyAlignment="1" applyProtection="1"/>
    <xf numFmtId="173" fontId="8" fillId="0" borderId="13" xfId="18" applyNumberFormat="1" applyFont="1" applyBorder="1" applyAlignment="1" applyProtection="1">
      <alignment horizontal="left"/>
    </xf>
    <xf numFmtId="173" fontId="8" fillId="0" borderId="2" xfId="18" applyNumberFormat="1" applyFont="1" applyBorder="1" applyAlignment="1" applyProtection="1">
      <alignment horizontal="center"/>
    </xf>
    <xf numFmtId="3" fontId="8" fillId="0" borderId="15" xfId="18" applyNumberFormat="1" applyFont="1" applyFill="1" applyBorder="1" applyAlignment="1" applyProtection="1"/>
    <xf numFmtId="3" fontId="20" fillId="0" borderId="0" xfId="18" applyNumberFormat="1" applyFont="1" applyProtection="1"/>
    <xf numFmtId="3" fontId="8" fillId="0" borderId="14" xfId="18" applyNumberFormat="1" applyFont="1" applyFill="1" applyBorder="1" applyAlignment="1" applyProtection="1"/>
    <xf numFmtId="173" fontId="12" fillId="3" borderId="13" xfId="18" applyNumberFormat="1" applyFont="1" applyFill="1" applyBorder="1" applyAlignment="1" applyProtection="1">
      <alignment horizontal="left"/>
    </xf>
    <xf numFmtId="0" fontId="33" fillId="0" borderId="0" xfId="18" applyFont="1" applyProtection="1">
      <protection locked="0"/>
    </xf>
    <xf numFmtId="0" fontId="8" fillId="0" borderId="13" xfId="18" applyFont="1" applyBorder="1" applyAlignment="1" applyProtection="1">
      <alignment horizontal="left"/>
    </xf>
    <xf numFmtId="0" fontId="8" fillId="0" borderId="2" xfId="18" applyFont="1" applyBorder="1" applyAlignment="1" applyProtection="1">
      <alignment horizontal="center"/>
    </xf>
    <xf numFmtId="173" fontId="8" fillId="0" borderId="4" xfId="18" applyNumberFormat="1" applyFont="1" applyBorder="1" applyAlignment="1" applyProtection="1">
      <alignment horizontal="left" vertical="top"/>
    </xf>
    <xf numFmtId="173" fontId="8" fillId="0" borderId="5" xfId="18" applyNumberFormat="1" applyFont="1" applyBorder="1" applyAlignment="1" applyProtection="1">
      <alignment horizontal="center" vertical="top"/>
    </xf>
    <xf numFmtId="3" fontId="8" fillId="0" borderId="4" xfId="18" applyNumberFormat="1" applyFont="1" applyBorder="1" applyAlignment="1" applyProtection="1">
      <alignment vertical="top"/>
    </xf>
    <xf numFmtId="173" fontId="8" fillId="0" borderId="7" xfId="18" applyNumberFormat="1" applyFont="1" applyBorder="1" applyAlignment="1" applyProtection="1">
      <alignment horizontal="left" vertical="top"/>
    </xf>
    <xf numFmtId="173" fontId="8" fillId="0" borderId="8" xfId="18" applyNumberFormat="1" applyFont="1" applyBorder="1" applyAlignment="1" applyProtection="1">
      <alignment horizontal="center" vertical="top"/>
    </xf>
    <xf numFmtId="3" fontId="8" fillId="0" borderId="7" xfId="18" applyNumberFormat="1" applyFont="1" applyBorder="1" applyAlignment="1" applyProtection="1">
      <alignment vertical="top"/>
    </xf>
    <xf numFmtId="0" fontId="8" fillId="0" borderId="7" xfId="18" applyFont="1" applyBorder="1" applyAlignment="1" applyProtection="1">
      <alignment horizontal="left" vertical="top"/>
    </xf>
    <xf numFmtId="0" fontId="8" fillId="0" borderId="8" xfId="18" applyFont="1" applyBorder="1" applyAlignment="1" applyProtection="1">
      <alignment horizontal="center" vertical="top"/>
    </xf>
    <xf numFmtId="0" fontId="8" fillId="0" borderId="12" xfId="18" applyFont="1" applyBorder="1" applyAlignment="1" applyProtection="1">
      <alignment horizontal="left" vertical="top"/>
    </xf>
    <xf numFmtId="0" fontId="8" fillId="0" borderId="10" xfId="18" applyFont="1" applyBorder="1" applyAlignment="1" applyProtection="1">
      <alignment horizontal="center" vertical="top"/>
    </xf>
    <xf numFmtId="3" fontId="8" fillId="2" borderId="12" xfId="18" applyNumberFormat="1" applyFont="1" applyFill="1" applyBorder="1" applyAlignment="1" applyProtection="1">
      <alignment vertical="top"/>
      <protection locked="0"/>
    </xf>
    <xf numFmtId="0" fontId="8" fillId="0" borderId="4" xfId="18" applyFont="1" applyBorder="1" applyAlignment="1" applyProtection="1">
      <alignment horizontal="left" vertical="top"/>
    </xf>
    <xf numFmtId="0" fontId="8" fillId="0" borderId="5" xfId="18" applyFont="1" applyBorder="1" applyAlignment="1" applyProtection="1">
      <alignment horizontal="center" vertical="top"/>
    </xf>
    <xf numFmtId="3" fontId="8" fillId="0" borderId="15" xfId="18" applyNumberFormat="1" applyFont="1" applyBorder="1" applyAlignment="1" applyProtection="1">
      <alignment vertical="top"/>
    </xf>
    <xf numFmtId="3" fontId="8" fillId="2" borderId="1" xfId="18" applyNumberFormat="1" applyFont="1" applyFill="1" applyBorder="1" applyAlignment="1" applyProtection="1">
      <alignment vertical="top"/>
      <protection locked="0"/>
    </xf>
    <xf numFmtId="0" fontId="8" fillId="0" borderId="13" xfId="18" applyFont="1" applyBorder="1" applyAlignment="1" applyProtection="1">
      <alignment horizontal="left" vertical="top"/>
    </xf>
    <xf numFmtId="0" fontId="8" fillId="0" borderId="2" xfId="18" applyFont="1" applyBorder="1" applyAlignment="1" applyProtection="1">
      <alignment horizontal="center" vertical="top"/>
    </xf>
    <xf numFmtId="3" fontId="8" fillId="2" borderId="14" xfId="18" applyNumberFormat="1" applyFont="1" applyFill="1" applyBorder="1" applyAlignment="1" applyProtection="1">
      <alignment vertical="top"/>
      <protection locked="0"/>
    </xf>
    <xf numFmtId="3" fontId="8" fillId="2" borderId="15" xfId="18" applyNumberFormat="1" applyFont="1" applyFill="1" applyBorder="1" applyAlignment="1" applyProtection="1">
      <alignment vertical="top"/>
      <protection locked="0"/>
    </xf>
    <xf numFmtId="3" fontId="8" fillId="2" borderId="0" xfId="18" applyNumberFormat="1" applyFont="1" applyFill="1" applyBorder="1" applyAlignment="1" applyProtection="1">
      <alignment vertical="top"/>
      <protection locked="0"/>
    </xf>
    <xf numFmtId="0" fontId="8" fillId="0" borderId="0" xfId="18" applyFont="1" applyAlignment="1" applyProtection="1">
      <alignment horizontal="centerContinuous"/>
    </xf>
    <xf numFmtId="0" fontId="8" fillId="0" borderId="0" xfId="18" applyFont="1" applyAlignment="1" applyProtection="1">
      <alignment horizontal="centerContinuous"/>
      <protection locked="0"/>
    </xf>
    <xf numFmtId="3" fontId="8" fillId="2" borderId="13" xfId="18" applyNumberFormat="1" applyFont="1" applyFill="1" applyBorder="1" applyAlignment="1" applyProtection="1">
      <alignment vertical="top"/>
      <protection locked="0"/>
    </xf>
    <xf numFmtId="3" fontId="8" fillId="0" borderId="0" xfId="18" applyNumberFormat="1" applyFont="1" applyBorder="1" applyAlignment="1" applyProtection="1">
      <alignment vertical="top"/>
    </xf>
    <xf numFmtId="0" fontId="8" fillId="0" borderId="0" xfId="18" applyFont="1" applyAlignment="1" applyProtection="1">
      <alignment horizontal="left" vertical="top"/>
    </xf>
    <xf numFmtId="0" fontId="8" fillId="0" borderId="0" xfId="18" applyFont="1" applyAlignment="1" applyProtection="1">
      <alignment horizontal="center" vertical="top"/>
    </xf>
    <xf numFmtId="3" fontId="8" fillId="0" borderId="0" xfId="18" applyNumberFormat="1" applyFont="1" applyAlignment="1" applyProtection="1">
      <alignment vertical="top"/>
    </xf>
    <xf numFmtId="0" fontId="8" fillId="0" borderId="0" xfId="18" applyFont="1"/>
    <xf numFmtId="173" fontId="20" fillId="0" borderId="0" xfId="18" applyNumberFormat="1" applyFont="1" applyAlignment="1" applyProtection="1">
      <alignment horizontal="center"/>
    </xf>
    <xf numFmtId="0" fontId="8" fillId="0" borderId="0" xfId="19" applyFont="1" applyAlignment="1" applyProtection="1">
      <alignment horizontal="right"/>
    </xf>
    <xf numFmtId="164" fontId="8" fillId="0" borderId="0" xfId="19" applyNumberFormat="1" applyFont="1" applyAlignment="1" applyProtection="1">
      <alignment horizontal="center"/>
    </xf>
    <xf numFmtId="0" fontId="8" fillId="0" borderId="0" xfId="19" applyFont="1" applyProtection="1"/>
    <xf numFmtId="0" fontId="20" fillId="0" borderId="0" xfId="19" applyFont="1" applyProtection="1">
      <protection locked="0"/>
    </xf>
    <xf numFmtId="173" fontId="8" fillId="0" borderId="0" xfId="19" applyNumberFormat="1" applyFont="1" applyAlignment="1" applyProtection="1">
      <alignment horizontal="center"/>
    </xf>
    <xf numFmtId="0" fontId="8" fillId="0" borderId="0" xfId="19" applyFont="1" applyAlignment="1" applyProtection="1">
      <alignment horizontal="center"/>
    </xf>
    <xf numFmtId="0" fontId="12" fillId="0" borderId="0" xfId="19" applyFont="1" applyAlignment="1" applyProtection="1">
      <alignment horizontal="center"/>
    </xf>
    <xf numFmtId="173" fontId="8" fillId="0" borderId="4" xfId="19" applyNumberFormat="1" applyFont="1" applyBorder="1" applyAlignment="1" applyProtection="1">
      <alignment horizontal="center"/>
    </xf>
    <xf numFmtId="0" fontId="8" fillId="0" borderId="4" xfId="19" applyFont="1" applyBorder="1" applyAlignment="1" applyProtection="1">
      <alignment horizontal="center"/>
    </xf>
    <xf numFmtId="0" fontId="20" fillId="0" borderId="0" xfId="19" applyFont="1" applyProtection="1"/>
    <xf numFmtId="0" fontId="23" fillId="0" borderId="0" xfId="19" applyFont="1" applyProtection="1"/>
    <xf numFmtId="173" fontId="8" fillId="0" borderId="7" xfId="19" applyNumberFormat="1" applyFont="1" applyBorder="1" applyAlignment="1" applyProtection="1">
      <alignment horizontal="center"/>
    </xf>
    <xf numFmtId="0" fontId="8" fillId="0" borderId="7" xfId="19" applyFont="1" applyBorder="1" applyAlignment="1" applyProtection="1">
      <alignment horizontal="center"/>
    </xf>
    <xf numFmtId="167" fontId="20" fillId="0" borderId="0" xfId="19" applyNumberFormat="1" applyFont="1" applyProtection="1"/>
    <xf numFmtId="0" fontId="8" fillId="0" borderId="1" xfId="19" applyFont="1" applyBorder="1" applyProtection="1"/>
    <xf numFmtId="173" fontId="8" fillId="0" borderId="12" xfId="19" applyNumberFormat="1" applyFont="1" applyBorder="1" applyAlignment="1" applyProtection="1">
      <alignment horizontal="center"/>
    </xf>
    <xf numFmtId="172" fontId="8" fillId="0" borderId="12" xfId="19" applyNumberFormat="1" applyFont="1" applyBorder="1" applyAlignment="1" applyProtection="1">
      <alignment horizontal="center"/>
    </xf>
    <xf numFmtId="173" fontId="8" fillId="0" borderId="12" xfId="19" applyNumberFormat="1" applyFont="1" applyBorder="1" applyAlignment="1" applyProtection="1">
      <alignment horizontal="left"/>
    </xf>
    <xf numFmtId="173" fontId="8" fillId="0" borderId="10" xfId="19" applyNumberFormat="1" applyFont="1" applyBorder="1" applyAlignment="1" applyProtection="1">
      <alignment horizontal="center"/>
    </xf>
    <xf numFmtId="3" fontId="8" fillId="2" borderId="14" xfId="19" applyNumberFormat="1" applyFont="1" applyFill="1" applyBorder="1" applyAlignment="1" applyProtection="1">
      <protection locked="0"/>
    </xf>
    <xf numFmtId="3" fontId="8" fillId="3" borderId="4" xfId="19" applyNumberFormat="1" applyFont="1" applyFill="1" applyBorder="1" applyAlignment="1" applyProtection="1"/>
    <xf numFmtId="3" fontId="8" fillId="0" borderId="14" xfId="19" applyNumberFormat="1" applyFont="1" applyFill="1" applyBorder="1" applyAlignment="1" applyProtection="1"/>
    <xf numFmtId="0" fontId="8" fillId="0" borderId="0" xfId="19" applyFont="1" applyProtection="1">
      <protection locked="0"/>
    </xf>
    <xf numFmtId="173" fontId="8" fillId="0" borderId="7" xfId="19" applyNumberFormat="1" applyFont="1" applyBorder="1" applyAlignment="1" applyProtection="1">
      <alignment horizontal="left"/>
    </xf>
    <xf numFmtId="173" fontId="8" fillId="0" borderId="8" xfId="19" applyNumberFormat="1" applyFont="1" applyBorder="1" applyAlignment="1" applyProtection="1">
      <alignment horizontal="center"/>
    </xf>
    <xf numFmtId="3" fontId="8" fillId="2" borderId="1" xfId="19" applyNumberFormat="1" applyFont="1" applyFill="1" applyBorder="1" applyAlignment="1" applyProtection="1">
      <protection locked="0"/>
    </xf>
    <xf numFmtId="173" fontId="8" fillId="0" borderId="4" xfId="19" applyNumberFormat="1" applyFont="1" applyBorder="1" applyAlignment="1" applyProtection="1">
      <alignment horizontal="left"/>
    </xf>
    <xf numFmtId="173" fontId="8" fillId="0" borderId="5" xfId="19" applyNumberFormat="1" applyFont="1" applyBorder="1" applyAlignment="1" applyProtection="1">
      <alignment horizontal="center"/>
    </xf>
    <xf numFmtId="3" fontId="8" fillId="0" borderId="0" xfId="19" applyNumberFormat="1" applyFont="1" applyBorder="1" applyAlignment="1" applyProtection="1"/>
    <xf numFmtId="173" fontId="8" fillId="0" borderId="2" xfId="19" applyNumberFormat="1" applyFont="1" applyBorder="1" applyAlignment="1" applyProtection="1">
      <alignment horizontal="center"/>
    </xf>
    <xf numFmtId="3" fontId="20" fillId="0" borderId="0" xfId="19" applyNumberFormat="1" applyFont="1" applyProtection="1"/>
    <xf numFmtId="3" fontId="8" fillId="2" borderId="15" xfId="19" applyNumberFormat="1" applyFont="1" applyFill="1" applyBorder="1" applyAlignment="1" applyProtection="1">
      <protection locked="0"/>
    </xf>
    <xf numFmtId="3" fontId="8" fillId="0" borderId="15" xfId="19" applyNumberFormat="1" applyFont="1" applyBorder="1" applyAlignment="1" applyProtection="1"/>
    <xf numFmtId="3" fontId="8" fillId="0" borderId="1" xfId="19" applyNumberFormat="1" applyFont="1" applyFill="1" applyBorder="1" applyAlignment="1" applyProtection="1"/>
    <xf numFmtId="3" fontId="8" fillId="0" borderId="15" xfId="19" applyNumberFormat="1" applyFont="1" applyFill="1" applyBorder="1" applyAlignment="1" applyProtection="1"/>
    <xf numFmtId="173" fontId="12" fillId="3" borderId="13" xfId="19" applyNumberFormat="1" applyFont="1" applyFill="1" applyBorder="1" applyAlignment="1" applyProtection="1">
      <alignment horizontal="left"/>
    </xf>
    <xf numFmtId="0" fontId="33" fillId="0" borderId="0" xfId="19" applyFont="1" applyProtection="1">
      <protection locked="0"/>
    </xf>
    <xf numFmtId="0" fontId="8" fillId="0" borderId="13" xfId="19" applyFont="1" applyBorder="1" applyAlignment="1" applyProtection="1">
      <alignment horizontal="left"/>
    </xf>
    <xf numFmtId="0" fontId="8" fillId="0" borderId="2" xfId="19" applyFont="1" applyBorder="1" applyAlignment="1" applyProtection="1">
      <alignment horizontal="center"/>
    </xf>
    <xf numFmtId="0" fontId="8" fillId="0" borderId="0" xfId="19" applyFont="1" applyAlignment="1" applyProtection="1">
      <alignment horizontal="centerContinuous"/>
    </xf>
    <xf numFmtId="0" fontId="8" fillId="0" borderId="0" xfId="19" applyFont="1" applyAlignment="1" applyProtection="1">
      <alignment vertical="top"/>
    </xf>
    <xf numFmtId="0" fontId="8" fillId="0" borderId="0" xfId="19" applyFont="1" applyAlignment="1" applyProtection="1">
      <alignment horizontal="center" vertical="top"/>
    </xf>
    <xf numFmtId="0" fontId="8" fillId="0" borderId="0" xfId="19" applyFont="1" applyAlignment="1" applyProtection="1">
      <alignment vertical="top"/>
      <protection locked="0"/>
    </xf>
    <xf numFmtId="173" fontId="8" fillId="0" borderId="0" xfId="19" applyNumberFormat="1" applyFont="1" applyAlignment="1" applyProtection="1">
      <alignment horizontal="center" vertical="top"/>
    </xf>
    <xf numFmtId="0" fontId="8" fillId="0" borderId="0" xfId="19" applyFont="1" applyAlignment="1" applyProtection="1">
      <alignment horizontal="center" vertical="top"/>
      <protection locked="0"/>
    </xf>
    <xf numFmtId="0" fontId="12" fillId="0" borderId="0" xfId="19" applyFont="1" applyAlignment="1" applyProtection="1">
      <alignment horizontal="center" vertical="top"/>
    </xf>
    <xf numFmtId="173" fontId="8" fillId="0" borderId="4" xfId="19" applyNumberFormat="1" applyFont="1" applyBorder="1" applyAlignment="1" applyProtection="1">
      <alignment horizontal="center" vertical="top"/>
    </xf>
    <xf numFmtId="173" fontId="8" fillId="0" borderId="7" xfId="19" applyNumberFormat="1" applyFont="1" applyBorder="1" applyAlignment="1" applyProtection="1">
      <alignment horizontal="center" vertical="top"/>
    </xf>
    <xf numFmtId="0" fontId="8" fillId="0" borderId="7" xfId="19" applyFont="1" applyBorder="1" applyAlignment="1" applyProtection="1">
      <alignment horizontal="center" vertical="top"/>
      <protection locked="0"/>
    </xf>
    <xf numFmtId="0" fontId="8" fillId="0" borderId="1" xfId="19" applyFont="1" applyBorder="1" applyAlignment="1" applyProtection="1">
      <alignment vertical="top"/>
    </xf>
    <xf numFmtId="173" fontId="8" fillId="0" borderId="12" xfId="19" applyNumberFormat="1" applyFont="1" applyBorder="1" applyAlignment="1" applyProtection="1">
      <alignment horizontal="center" vertical="top"/>
    </xf>
    <xf numFmtId="172" fontId="8" fillId="0" borderId="12" xfId="19" applyNumberFormat="1" applyFont="1" applyBorder="1" applyAlignment="1" applyProtection="1">
      <alignment horizontal="center" vertical="top"/>
      <protection locked="0"/>
    </xf>
    <xf numFmtId="173" fontId="8" fillId="0" borderId="4" xfId="19" applyNumberFormat="1" applyFont="1" applyBorder="1" applyAlignment="1" applyProtection="1">
      <alignment horizontal="left" vertical="top"/>
    </xf>
    <xf numFmtId="173" fontId="8" fillId="0" borderId="5" xfId="19" applyNumberFormat="1" applyFont="1" applyBorder="1" applyAlignment="1" applyProtection="1">
      <alignment horizontal="center" vertical="top"/>
    </xf>
    <xf numFmtId="3" fontId="8" fillId="0" borderId="0" xfId="19" applyNumberFormat="1" applyFont="1" applyBorder="1" applyAlignment="1" applyProtection="1">
      <alignment vertical="top"/>
    </xf>
    <xf numFmtId="3" fontId="8" fillId="0" borderId="4" xfId="19" applyNumberFormat="1" applyFont="1" applyBorder="1" applyAlignment="1" applyProtection="1">
      <alignment vertical="top"/>
    </xf>
    <xf numFmtId="173" fontId="8" fillId="0" borderId="7" xfId="19" applyNumberFormat="1" applyFont="1" applyBorder="1" applyAlignment="1" applyProtection="1">
      <alignment horizontal="left" vertical="top"/>
    </xf>
    <xf numFmtId="173" fontId="8" fillId="0" borderId="8" xfId="19" applyNumberFormat="1" applyFont="1" applyBorder="1" applyAlignment="1" applyProtection="1">
      <alignment horizontal="center" vertical="top"/>
    </xf>
    <xf numFmtId="3" fontId="8" fillId="0" borderId="7" xfId="19" applyNumberFormat="1" applyFont="1" applyBorder="1" applyAlignment="1" applyProtection="1">
      <alignment vertical="top"/>
    </xf>
    <xf numFmtId="0" fontId="8" fillId="0" borderId="12" xfId="19" applyFont="1" applyBorder="1" applyAlignment="1" applyProtection="1">
      <alignment horizontal="left" vertical="top"/>
    </xf>
    <xf numFmtId="0" fontId="8" fillId="0" borderId="10" xfId="19" applyFont="1" applyBorder="1" applyAlignment="1" applyProtection="1">
      <alignment horizontal="center" vertical="top"/>
    </xf>
    <xf numFmtId="3" fontId="8" fillId="2" borderId="12" xfId="19" applyNumberFormat="1" applyFont="1" applyFill="1" applyBorder="1" applyAlignment="1" applyProtection="1">
      <alignment vertical="top"/>
      <protection locked="0"/>
    </xf>
    <xf numFmtId="0" fontId="8" fillId="0" borderId="13" xfId="19" applyFont="1" applyBorder="1" applyAlignment="1" applyProtection="1">
      <alignment horizontal="left" vertical="top"/>
    </xf>
    <xf numFmtId="0" fontId="8" fillId="0" borderId="2" xfId="19" applyFont="1" applyBorder="1" applyAlignment="1" applyProtection="1">
      <alignment horizontal="center" vertical="top"/>
    </xf>
    <xf numFmtId="3" fontId="8" fillId="2" borderId="13" xfId="19" applyNumberFormat="1" applyFont="1" applyFill="1" applyBorder="1" applyAlignment="1" applyProtection="1">
      <alignment vertical="top"/>
      <protection locked="0"/>
    </xf>
    <xf numFmtId="0" fontId="8" fillId="0" borderId="4" xfId="19" applyFont="1" applyBorder="1" applyAlignment="1" applyProtection="1">
      <alignment horizontal="left" vertical="top"/>
    </xf>
    <xf numFmtId="0" fontId="8" fillId="0" borderId="5" xfId="19" applyFont="1" applyBorder="1" applyAlignment="1" applyProtection="1">
      <alignment horizontal="center" vertical="top"/>
    </xf>
    <xf numFmtId="3" fontId="8" fillId="0" borderId="15" xfId="19" applyNumberFormat="1" applyFont="1" applyBorder="1" applyAlignment="1" applyProtection="1">
      <alignment vertical="top"/>
    </xf>
    <xf numFmtId="3" fontId="8" fillId="2" borderId="1" xfId="19" applyNumberFormat="1" applyFont="1" applyFill="1" applyBorder="1" applyAlignment="1" applyProtection="1">
      <alignment vertical="top"/>
      <protection locked="0"/>
    </xf>
    <xf numFmtId="3" fontId="8" fillId="2" borderId="14" xfId="19" applyNumberFormat="1" applyFont="1" applyFill="1" applyBorder="1" applyAlignment="1" applyProtection="1">
      <alignment vertical="top"/>
      <protection locked="0"/>
    </xf>
    <xf numFmtId="0" fontId="8" fillId="0" borderId="7" xfId="19" applyFont="1" applyBorder="1" applyAlignment="1" applyProtection="1">
      <alignment horizontal="left" vertical="top"/>
    </xf>
    <xf numFmtId="0" fontId="8" fillId="0" borderId="8" xfId="19" applyFont="1" applyBorder="1" applyAlignment="1" applyProtection="1">
      <alignment horizontal="center" vertical="top"/>
    </xf>
    <xf numFmtId="0" fontId="8" fillId="0" borderId="0" xfId="19" applyFont="1" applyAlignment="1" applyProtection="1">
      <alignment horizontal="centerContinuous" vertical="top"/>
      <protection locked="0"/>
    </xf>
    <xf numFmtId="0" fontId="8" fillId="0" borderId="0" xfId="19" applyFont="1" applyAlignment="1" applyProtection="1">
      <alignment horizontal="right" vertical="top"/>
    </xf>
    <xf numFmtId="0" fontId="8" fillId="0" borderId="4" xfId="19" applyFont="1" applyBorder="1" applyAlignment="1" applyProtection="1">
      <alignment horizontal="center" vertical="top"/>
    </xf>
    <xf numFmtId="0" fontId="8" fillId="0" borderId="7" xfId="19" applyFont="1" applyBorder="1" applyAlignment="1" applyProtection="1">
      <alignment horizontal="center" vertical="top"/>
    </xf>
    <xf numFmtId="172" fontId="8" fillId="0" borderId="12" xfId="19" applyNumberFormat="1" applyFont="1" applyBorder="1" applyAlignment="1" applyProtection="1">
      <alignment horizontal="center" vertical="top"/>
    </xf>
    <xf numFmtId="173" fontId="8" fillId="0" borderId="12" xfId="19" applyNumberFormat="1" applyFont="1" applyBorder="1" applyAlignment="1" applyProtection="1">
      <alignment horizontal="left" vertical="top"/>
    </xf>
    <xf numFmtId="173" fontId="8" fillId="0" borderId="10" xfId="19" applyNumberFormat="1" applyFont="1" applyBorder="1" applyAlignment="1" applyProtection="1">
      <alignment horizontal="center" vertical="top"/>
    </xf>
    <xf numFmtId="173" fontId="8" fillId="0" borderId="13" xfId="19" applyNumberFormat="1" applyFont="1" applyBorder="1" applyAlignment="1" applyProtection="1">
      <alignment horizontal="left" vertical="top"/>
    </xf>
    <xf numFmtId="173" fontId="8" fillId="0" borderId="2" xfId="19" applyNumberFormat="1" applyFont="1" applyBorder="1" applyAlignment="1" applyProtection="1">
      <alignment horizontal="center" vertical="top"/>
    </xf>
    <xf numFmtId="3" fontId="8" fillId="2" borderId="0" xfId="19" applyNumberFormat="1" applyFont="1" applyFill="1" applyBorder="1" applyAlignment="1" applyProtection="1">
      <alignment vertical="top"/>
      <protection locked="0"/>
    </xf>
    <xf numFmtId="3" fontId="8" fillId="2" borderId="15" xfId="19" applyNumberFormat="1" applyFont="1" applyFill="1" applyBorder="1" applyAlignment="1" applyProtection="1">
      <alignment vertical="top"/>
      <protection locked="0"/>
    </xf>
    <xf numFmtId="0" fontId="8" fillId="0" borderId="0" xfId="19" applyFont="1" applyAlignment="1" applyProtection="1">
      <alignment horizontal="centerContinuous" vertical="top"/>
    </xf>
    <xf numFmtId="0" fontId="8" fillId="0" borderId="0" xfId="19" applyFont="1" applyAlignment="1" applyProtection="1">
      <alignment horizontal="centerContinuous"/>
      <protection locked="0"/>
    </xf>
    <xf numFmtId="173" fontId="20" fillId="0" borderId="0" xfId="19" applyNumberFormat="1" applyFont="1" applyAlignment="1" applyProtection="1">
      <alignment horizontal="center"/>
    </xf>
    <xf numFmtId="0" fontId="8" fillId="0" borderId="0" xfId="20" applyFont="1" applyBorder="1" applyAlignment="1" applyProtection="1">
      <alignment horizontal="right"/>
    </xf>
    <xf numFmtId="164" fontId="8" fillId="0" borderId="0" xfId="20" applyNumberFormat="1" applyFont="1" applyBorder="1" applyAlignment="1" applyProtection="1">
      <alignment horizontal="center"/>
    </xf>
    <xf numFmtId="0" fontId="8" fillId="0" borderId="0" xfId="20" applyFont="1" applyBorder="1" applyProtection="1"/>
    <xf numFmtId="0" fontId="8" fillId="0" borderId="0" xfId="20" applyFont="1" applyBorder="1" applyProtection="1">
      <protection locked="0"/>
    </xf>
    <xf numFmtId="0" fontId="20" fillId="0" borderId="0" xfId="20" applyFont="1" applyBorder="1" applyProtection="1">
      <protection locked="0"/>
    </xf>
    <xf numFmtId="173" fontId="8" fillId="0" borderId="0" xfId="20" applyNumberFormat="1" applyFont="1" applyBorder="1" applyAlignment="1" applyProtection="1">
      <alignment horizontal="center"/>
    </xf>
    <xf numFmtId="0" fontId="8" fillId="0" borderId="0" xfId="20" applyFont="1" applyBorder="1" applyAlignment="1" applyProtection="1">
      <alignment horizontal="center"/>
    </xf>
    <xf numFmtId="0" fontId="12" fillId="0" borderId="0" xfId="20" applyFont="1" applyBorder="1" applyAlignment="1" applyProtection="1">
      <alignment horizontal="center"/>
    </xf>
    <xf numFmtId="173" fontId="8" fillId="0" borderId="4" xfId="20" applyNumberFormat="1" applyFont="1" applyBorder="1" applyAlignment="1" applyProtection="1">
      <alignment horizontal="center"/>
    </xf>
    <xf numFmtId="0" fontId="8" fillId="0" borderId="4" xfId="20" applyFont="1" applyBorder="1" applyAlignment="1" applyProtection="1">
      <alignment horizontal="center"/>
    </xf>
    <xf numFmtId="0" fontId="20" fillId="0" borderId="0" xfId="20" applyFont="1" applyBorder="1" applyProtection="1"/>
    <xf numFmtId="173" fontId="8" fillId="0" borderId="7" xfId="20" applyNumberFormat="1" applyFont="1" applyBorder="1" applyAlignment="1" applyProtection="1">
      <alignment horizontal="center"/>
    </xf>
    <xf numFmtId="0" fontId="8" fillId="0" borderId="7" xfId="20" applyFont="1" applyBorder="1" applyAlignment="1" applyProtection="1">
      <alignment horizontal="center"/>
    </xf>
    <xf numFmtId="167" fontId="20" fillId="0" borderId="0" xfId="20" applyNumberFormat="1" applyFont="1" applyBorder="1" applyProtection="1"/>
    <xf numFmtId="172" fontId="8" fillId="0" borderId="7" xfId="20" applyNumberFormat="1" applyFont="1" applyBorder="1" applyAlignment="1" applyProtection="1">
      <alignment horizontal="center"/>
    </xf>
    <xf numFmtId="173" fontId="8" fillId="0" borderId="13" xfId="20" applyNumberFormat="1" applyFont="1" applyBorder="1" applyAlignment="1" applyProtection="1">
      <alignment horizontal="left"/>
    </xf>
    <xf numFmtId="173" fontId="8" fillId="0" borderId="2" xfId="20" applyNumberFormat="1" applyFont="1" applyBorder="1" applyAlignment="1" applyProtection="1">
      <alignment horizontal="center"/>
    </xf>
    <xf numFmtId="3" fontId="8" fillId="2" borderId="14" xfId="20" applyNumberFormat="1" applyFont="1" applyFill="1" applyBorder="1" applyAlignment="1" applyProtection="1">
      <protection locked="0"/>
    </xf>
    <xf numFmtId="3" fontId="8" fillId="0" borderId="14" xfId="20" applyNumberFormat="1" applyFont="1" applyFill="1" applyBorder="1" applyAlignment="1" applyProtection="1"/>
    <xf numFmtId="173" fontId="8" fillId="0" borderId="4" xfId="20" applyNumberFormat="1" applyFont="1" applyBorder="1" applyAlignment="1" applyProtection="1">
      <alignment horizontal="left"/>
    </xf>
    <xf numFmtId="173" fontId="8" fillId="0" borderId="5" xfId="20" applyNumberFormat="1" applyFont="1" applyBorder="1" applyAlignment="1" applyProtection="1">
      <alignment horizontal="center"/>
    </xf>
    <xf numFmtId="3" fontId="8" fillId="2" borderId="15" xfId="20" applyNumberFormat="1" applyFont="1" applyFill="1" applyBorder="1" applyAlignment="1" applyProtection="1">
      <protection locked="0"/>
    </xf>
    <xf numFmtId="3" fontId="8" fillId="3" borderId="7" xfId="20" applyNumberFormat="1" applyFont="1" applyFill="1" applyBorder="1" applyAlignment="1" applyProtection="1"/>
    <xf numFmtId="3" fontId="8" fillId="0" borderId="15" xfId="20" applyNumberFormat="1" applyFont="1" applyBorder="1" applyAlignment="1" applyProtection="1"/>
    <xf numFmtId="173" fontId="8" fillId="0" borderId="7" xfId="20" applyNumberFormat="1" applyFont="1" applyBorder="1" applyAlignment="1" applyProtection="1">
      <alignment horizontal="left"/>
    </xf>
    <xf numFmtId="173" fontId="8" fillId="0" borderId="8" xfId="20" applyNumberFormat="1" applyFont="1" applyBorder="1" applyAlignment="1" applyProtection="1">
      <alignment horizontal="center"/>
    </xf>
    <xf numFmtId="3" fontId="8" fillId="0" borderId="0" xfId="20" applyNumberFormat="1" applyFont="1" applyBorder="1" applyAlignment="1" applyProtection="1"/>
    <xf numFmtId="3" fontId="8" fillId="2" borderId="0" xfId="20" applyNumberFormat="1" applyFont="1" applyFill="1" applyBorder="1" applyAlignment="1" applyProtection="1">
      <protection locked="0"/>
    </xf>
    <xf numFmtId="3" fontId="20" fillId="0" borderId="0" xfId="20" applyNumberFormat="1" applyFont="1" applyBorder="1" applyProtection="1"/>
    <xf numFmtId="3" fontId="8" fillId="0" borderId="4" xfId="20" applyNumberFormat="1" applyFont="1" applyBorder="1" applyAlignment="1" applyProtection="1"/>
    <xf numFmtId="3" fontId="8" fillId="2" borderId="12" xfId="20" applyNumberFormat="1" applyFont="1" applyFill="1" applyBorder="1" applyAlignment="1" applyProtection="1">
      <protection locked="0"/>
    </xf>
    <xf numFmtId="173" fontId="8" fillId="0" borderId="12" xfId="20" applyNumberFormat="1" applyFont="1" applyBorder="1" applyAlignment="1" applyProtection="1">
      <alignment horizontal="left"/>
    </xf>
    <xf numFmtId="173" fontId="8" fillId="0" borderId="10" xfId="20" applyNumberFormat="1" applyFont="1" applyBorder="1" applyAlignment="1" applyProtection="1">
      <alignment horizontal="center"/>
    </xf>
    <xf numFmtId="3" fontId="8" fillId="2" borderId="1" xfId="20" applyNumberFormat="1" applyFont="1" applyFill="1" applyBorder="1" applyAlignment="1" applyProtection="1">
      <protection locked="0"/>
    </xf>
    <xf numFmtId="3" fontId="8" fillId="0" borderId="0" xfId="20" applyNumberFormat="1" applyFont="1" applyFill="1" applyBorder="1" applyAlignment="1" applyProtection="1"/>
    <xf numFmtId="3" fontId="8" fillId="0" borderId="15" xfId="20" applyNumberFormat="1" applyFont="1" applyFill="1" applyBorder="1" applyAlignment="1" applyProtection="1"/>
    <xf numFmtId="0" fontId="12" fillId="3" borderId="4" xfId="20" applyFont="1" applyFill="1" applyBorder="1" applyAlignment="1" applyProtection="1">
      <alignment horizontal="left"/>
    </xf>
    <xf numFmtId="0" fontId="12" fillId="0" borderId="5" xfId="20" applyFont="1" applyBorder="1" applyAlignment="1" applyProtection="1">
      <alignment horizontal="center"/>
    </xf>
    <xf numFmtId="0" fontId="8" fillId="0" borderId="4" xfId="20" applyFont="1" applyBorder="1" applyAlignment="1" applyProtection="1">
      <alignment horizontal="left"/>
    </xf>
    <xf numFmtId="0" fontId="8" fillId="0" borderId="5" xfId="20" applyFont="1" applyBorder="1" applyAlignment="1" applyProtection="1">
      <alignment horizontal="center"/>
    </xf>
    <xf numFmtId="0" fontId="33" fillId="0" borderId="0" xfId="20" applyFont="1" applyBorder="1" applyProtection="1">
      <protection locked="0"/>
    </xf>
    <xf numFmtId="0" fontId="8" fillId="0" borderId="13" xfId="20" applyFont="1" applyBorder="1" applyAlignment="1" applyProtection="1">
      <alignment horizontal="left"/>
    </xf>
    <xf numFmtId="0" fontId="8" fillId="0" borderId="2" xfId="20" applyFont="1" applyBorder="1" applyAlignment="1" applyProtection="1">
      <alignment horizontal="center"/>
    </xf>
    <xf numFmtId="0" fontId="8" fillId="0" borderId="0" xfId="20" applyFont="1" applyBorder="1" applyAlignment="1" applyProtection="1">
      <alignment horizontal="centerContinuous"/>
    </xf>
    <xf numFmtId="0" fontId="8" fillId="0" borderId="0" xfId="20" applyFont="1" applyBorder="1" applyAlignment="1" applyProtection="1">
      <alignment horizontal="centerContinuous"/>
      <protection locked="0"/>
    </xf>
    <xf numFmtId="3" fontId="8" fillId="0" borderId="7" xfId="20" applyNumberFormat="1" applyFont="1" applyBorder="1" applyAlignment="1" applyProtection="1"/>
    <xf numFmtId="0" fontId="8" fillId="0" borderId="7" xfId="20" applyFont="1" applyBorder="1" applyAlignment="1" applyProtection="1">
      <alignment horizontal="left"/>
    </xf>
    <xf numFmtId="0" fontId="8" fillId="0" borderId="8" xfId="20" applyFont="1" applyBorder="1" applyAlignment="1" applyProtection="1">
      <alignment horizontal="center"/>
    </xf>
    <xf numFmtId="3" fontId="8" fillId="2" borderId="7" xfId="20" applyNumberFormat="1" applyFont="1" applyFill="1" applyBorder="1" applyAlignment="1" applyProtection="1">
      <protection locked="0"/>
    </xf>
    <xf numFmtId="3" fontId="8" fillId="2" borderId="4" xfId="20" applyNumberFormat="1" applyFont="1" applyFill="1" applyBorder="1" applyAlignment="1" applyProtection="1">
      <protection locked="0"/>
    </xf>
    <xf numFmtId="173" fontId="8" fillId="0" borderId="13" xfId="20" applyNumberFormat="1" applyFont="1" applyBorder="1" applyAlignment="1" applyProtection="1">
      <alignment horizontal="left"/>
      <protection locked="0"/>
    </xf>
    <xf numFmtId="173" fontId="8" fillId="0" borderId="2" xfId="20" applyNumberFormat="1" applyFont="1" applyBorder="1" applyAlignment="1" applyProtection="1">
      <alignment horizontal="center"/>
      <protection locked="0"/>
    </xf>
    <xf numFmtId="173" fontId="20" fillId="0" borderId="0" xfId="20" applyNumberFormat="1" applyFont="1" applyBorder="1" applyAlignment="1" applyProtection="1">
      <alignment horizontal="center"/>
    </xf>
    <xf numFmtId="173" fontId="8" fillId="0" borderId="13" xfId="21" applyNumberFormat="1" applyFont="1" applyBorder="1" applyAlignment="1" applyProtection="1">
      <alignment horizontal="left" vertical="top"/>
    </xf>
    <xf numFmtId="173" fontId="8" fillId="0" borderId="4" xfId="21" applyNumberFormat="1" applyFont="1" applyBorder="1" applyAlignment="1" applyProtection="1">
      <alignment horizontal="left" vertical="top"/>
    </xf>
    <xf numFmtId="173" fontId="8" fillId="0" borderId="12" xfId="21" applyNumberFormat="1" applyFont="1" applyBorder="1" applyAlignment="1" applyProtection="1">
      <alignment horizontal="left" vertical="top"/>
    </xf>
    <xf numFmtId="0" fontId="8" fillId="0" borderId="4" xfId="21" applyFont="1" applyBorder="1" applyAlignment="1" applyProtection="1">
      <alignment horizontal="left" vertical="top"/>
    </xf>
    <xf numFmtId="0" fontId="8" fillId="0" borderId="5" xfId="21" applyFont="1" applyBorder="1" applyAlignment="1" applyProtection="1">
      <alignment horizontal="center" vertical="top"/>
    </xf>
    <xf numFmtId="0" fontId="8" fillId="0" borderId="12" xfId="21" applyFont="1" applyBorder="1" applyAlignment="1" applyProtection="1">
      <alignment horizontal="left" vertical="top"/>
    </xf>
    <xf numFmtId="0" fontId="8" fillId="0" borderId="13" xfId="21" applyFont="1" applyBorder="1" applyAlignment="1" applyProtection="1">
      <alignment horizontal="left" vertical="top"/>
    </xf>
    <xf numFmtId="3" fontId="8" fillId="0" borderId="4" xfId="21" applyNumberFormat="1" applyFont="1" applyBorder="1" applyAlignment="1" applyProtection="1">
      <alignment vertical="top"/>
    </xf>
    <xf numFmtId="0" fontId="8" fillId="0" borderId="7" xfId="21" applyFont="1" applyBorder="1" applyAlignment="1" applyProtection="1">
      <alignment horizontal="left" vertical="top"/>
    </xf>
    <xf numFmtId="0" fontId="8" fillId="0" borderId="8" xfId="21" applyFont="1" applyBorder="1" applyAlignment="1" applyProtection="1">
      <alignment horizontal="center" vertical="top"/>
    </xf>
    <xf numFmtId="3" fontId="8" fillId="0" borderId="7" xfId="21" applyNumberFormat="1" applyFont="1" applyBorder="1" applyAlignment="1" applyProtection="1">
      <alignment vertical="top"/>
    </xf>
    <xf numFmtId="3" fontId="8" fillId="2" borderId="12" xfId="21" applyNumberFormat="1" applyFont="1" applyFill="1" applyBorder="1" applyAlignment="1" applyProtection="1">
      <alignment vertical="top"/>
      <protection locked="0"/>
    </xf>
    <xf numFmtId="0" fontId="8" fillId="0" borderId="0" xfId="22" applyFont="1" applyProtection="1"/>
    <xf numFmtId="173" fontId="8" fillId="0" borderId="0" xfId="22" applyNumberFormat="1" applyFont="1" applyAlignment="1" applyProtection="1">
      <alignment horizontal="center"/>
    </xf>
    <xf numFmtId="0" fontId="8" fillId="0" borderId="0" xfId="22" applyFont="1" applyAlignment="1" applyProtection="1">
      <alignment horizontal="right"/>
    </xf>
    <xf numFmtId="0" fontId="8" fillId="0" borderId="0" xfId="22" applyFont="1" applyProtection="1">
      <protection locked="0"/>
    </xf>
    <xf numFmtId="0" fontId="20" fillId="0" borderId="0" xfId="22" applyFont="1" applyProtection="1">
      <protection locked="0"/>
    </xf>
    <xf numFmtId="164" fontId="8" fillId="0" borderId="0" xfId="22" applyNumberFormat="1" applyFont="1" applyAlignment="1" applyProtection="1">
      <alignment horizontal="center"/>
    </xf>
    <xf numFmtId="0" fontId="8" fillId="0" borderId="0" xfId="22" applyFont="1" applyAlignment="1" applyProtection="1">
      <alignment vertical="top"/>
    </xf>
    <xf numFmtId="173" fontId="8" fillId="0" borderId="0" xfId="22" applyNumberFormat="1" applyFont="1" applyAlignment="1" applyProtection="1">
      <alignment horizontal="center" vertical="top"/>
    </xf>
    <xf numFmtId="0" fontId="8" fillId="0" borderId="0" xfId="22" applyFont="1" applyAlignment="1" applyProtection="1">
      <alignment horizontal="center" vertical="top"/>
    </xf>
    <xf numFmtId="0" fontId="12" fillId="0" borderId="0" xfId="22" applyFont="1" applyAlignment="1" applyProtection="1">
      <alignment horizontal="center" vertical="top"/>
    </xf>
    <xf numFmtId="173" fontId="8" fillId="0" borderId="4" xfId="22" applyNumberFormat="1" applyFont="1" applyBorder="1" applyAlignment="1" applyProtection="1">
      <alignment horizontal="center" vertical="top"/>
    </xf>
    <xf numFmtId="0" fontId="8" fillId="0" borderId="4" xfId="22" applyFont="1" applyBorder="1" applyAlignment="1" applyProtection="1">
      <alignment horizontal="center" vertical="top"/>
    </xf>
    <xf numFmtId="0" fontId="20" fillId="0" borderId="0" xfId="22" applyFont="1" applyProtection="1"/>
    <xf numFmtId="0" fontId="23" fillId="0" borderId="0" xfId="22" applyFont="1" applyProtection="1"/>
    <xf numFmtId="173" fontId="8" fillId="0" borderId="7" xfId="22" applyNumberFormat="1" applyFont="1" applyBorder="1" applyAlignment="1" applyProtection="1">
      <alignment horizontal="center" vertical="top"/>
    </xf>
    <xf numFmtId="0" fontId="8" fillId="0" borderId="7" xfId="22" applyFont="1" applyBorder="1" applyAlignment="1" applyProtection="1">
      <alignment horizontal="center" vertical="top"/>
    </xf>
    <xf numFmtId="167" fontId="20" fillId="0" borderId="0" xfId="22" applyNumberFormat="1" applyFont="1" applyProtection="1"/>
    <xf numFmtId="0" fontId="8" fillId="0" borderId="1" xfId="22" applyFont="1" applyBorder="1" applyAlignment="1" applyProtection="1">
      <alignment vertical="top"/>
    </xf>
    <xf numFmtId="173" fontId="8" fillId="0" borderId="12" xfId="22" applyNumberFormat="1" applyFont="1" applyBorder="1" applyAlignment="1" applyProtection="1">
      <alignment horizontal="center" vertical="top"/>
    </xf>
    <xf numFmtId="172" fontId="8" fillId="0" borderId="12" xfId="22" applyNumberFormat="1" applyFont="1" applyBorder="1" applyAlignment="1" applyProtection="1">
      <alignment horizontal="center" vertical="top"/>
    </xf>
    <xf numFmtId="173" fontId="8" fillId="0" borderId="13" xfId="22" applyNumberFormat="1" applyFont="1" applyBorder="1" applyAlignment="1" applyProtection="1">
      <alignment horizontal="left" vertical="top"/>
    </xf>
    <xf numFmtId="173" fontId="8" fillId="0" borderId="2" xfId="22" applyNumberFormat="1" applyFont="1" applyBorder="1" applyAlignment="1" applyProtection="1">
      <alignment horizontal="center" vertical="top"/>
    </xf>
    <xf numFmtId="3" fontId="8" fillId="2" borderId="14" xfId="22" applyNumberFormat="1" applyFont="1" applyFill="1" applyBorder="1" applyAlignment="1" applyProtection="1">
      <alignment vertical="top"/>
      <protection locked="0"/>
    </xf>
    <xf numFmtId="3" fontId="8" fillId="2" borderId="1" xfId="22" applyNumberFormat="1" applyFont="1" applyFill="1" applyBorder="1" applyAlignment="1" applyProtection="1">
      <alignment vertical="top"/>
      <protection locked="0"/>
    </xf>
    <xf numFmtId="0" fontId="8" fillId="0" borderId="0" xfId="22" applyFont="1" applyAlignment="1" applyProtection="1">
      <alignment vertical="top"/>
      <protection locked="0"/>
    </xf>
    <xf numFmtId="0" fontId="20" fillId="0" borderId="0" xfId="22" applyFont="1" applyAlignment="1" applyProtection="1">
      <alignment vertical="top"/>
      <protection locked="0"/>
    </xf>
    <xf numFmtId="0" fontId="20" fillId="0" borderId="0" xfId="22" applyFont="1" applyAlignment="1" applyProtection="1">
      <alignment vertical="top"/>
    </xf>
    <xf numFmtId="167" fontId="20" fillId="0" borderId="0" xfId="22" applyNumberFormat="1" applyFont="1" applyAlignment="1" applyProtection="1">
      <alignment vertical="top"/>
    </xf>
    <xf numFmtId="173" fontId="8" fillId="0" borderId="4" xfId="22" applyNumberFormat="1" applyFont="1" applyBorder="1" applyAlignment="1" applyProtection="1">
      <alignment horizontal="left" vertical="top"/>
    </xf>
    <xf numFmtId="173" fontId="8" fillId="0" borderId="8" xfId="22" applyNumberFormat="1" applyFont="1" applyBorder="1" applyAlignment="1" applyProtection="1">
      <alignment horizontal="center" vertical="top"/>
    </xf>
    <xf numFmtId="3" fontId="8" fillId="0" borderId="0" xfId="22" applyNumberFormat="1" applyFont="1" applyBorder="1" applyAlignment="1" applyProtection="1">
      <alignment horizontal="left" vertical="top"/>
    </xf>
    <xf numFmtId="173" fontId="8" fillId="0" borderId="7" xfId="22" applyNumberFormat="1" applyFont="1" applyBorder="1" applyAlignment="1" applyProtection="1">
      <alignment horizontal="left" vertical="top"/>
    </xf>
    <xf numFmtId="173" fontId="8" fillId="0" borderId="12" xfId="22" applyNumberFormat="1" applyFont="1" applyBorder="1" applyAlignment="1" applyProtection="1">
      <alignment horizontal="left" vertical="top"/>
    </xf>
    <xf numFmtId="173" fontId="8" fillId="0" borderId="10" xfId="22" applyNumberFormat="1" applyFont="1" applyBorder="1" applyAlignment="1" applyProtection="1">
      <alignment horizontal="center" vertical="top"/>
    </xf>
    <xf numFmtId="3" fontId="8" fillId="2" borderId="1" xfId="22" applyNumberFormat="1" applyFont="1" applyFill="1" applyBorder="1" applyAlignment="1" applyProtection="1">
      <alignment horizontal="right" vertical="top"/>
      <protection locked="0"/>
    </xf>
    <xf numFmtId="3" fontId="8" fillId="2" borderId="14" xfId="22" applyNumberFormat="1" applyFont="1" applyFill="1" applyBorder="1" applyAlignment="1" applyProtection="1">
      <alignment horizontal="right" vertical="top"/>
      <protection locked="0"/>
    </xf>
    <xf numFmtId="0" fontId="23" fillId="0" borderId="0" xfId="22" applyFont="1" applyAlignment="1" applyProtection="1">
      <alignment vertical="top"/>
    </xf>
    <xf numFmtId="3" fontId="20" fillId="0" borderId="0" xfId="22" applyNumberFormat="1" applyFont="1" applyAlignment="1" applyProtection="1">
      <alignment vertical="top"/>
    </xf>
    <xf numFmtId="173" fontId="8" fillId="0" borderId="5" xfId="22" applyNumberFormat="1" applyFont="1" applyBorder="1" applyAlignment="1" applyProtection="1">
      <alignment horizontal="center" vertical="top"/>
    </xf>
    <xf numFmtId="3" fontId="8" fillId="0" borderId="15" xfId="22" applyNumberFormat="1" applyFont="1" applyBorder="1" applyAlignment="1" applyProtection="1">
      <alignment horizontal="right" vertical="top"/>
    </xf>
    <xf numFmtId="0" fontId="8" fillId="0" borderId="4" xfId="22" applyFont="1" applyBorder="1" applyAlignment="1" applyProtection="1">
      <alignment horizontal="left" vertical="top"/>
    </xf>
    <xf numFmtId="0" fontId="8" fillId="0" borderId="5" xfId="22" applyFont="1" applyBorder="1" applyAlignment="1" applyProtection="1">
      <alignment horizontal="center" vertical="top"/>
    </xf>
    <xf numFmtId="3" fontId="8" fillId="0" borderId="0" xfId="22" applyNumberFormat="1" applyFont="1" applyBorder="1" applyAlignment="1" applyProtection="1">
      <alignment horizontal="right" vertical="top"/>
    </xf>
    <xf numFmtId="0" fontId="8" fillId="0" borderId="7" xfId="22" applyFont="1" applyBorder="1" applyAlignment="1" applyProtection="1">
      <alignment horizontal="left" vertical="top"/>
    </xf>
    <xf numFmtId="0" fontId="8" fillId="0" borderId="8" xfId="22" applyFont="1" applyBorder="1" applyAlignment="1" applyProtection="1">
      <alignment horizontal="center" vertical="top"/>
    </xf>
    <xf numFmtId="0" fontId="8" fillId="0" borderId="12" xfId="22" applyFont="1" applyBorder="1" applyAlignment="1" applyProtection="1">
      <alignment horizontal="left" vertical="top"/>
    </xf>
    <xf numFmtId="0" fontId="8" fillId="0" borderId="10" xfId="22" applyFont="1" applyBorder="1" applyAlignment="1" applyProtection="1">
      <alignment horizontal="center" vertical="top"/>
    </xf>
    <xf numFmtId="0" fontId="8" fillId="0" borderId="13" xfId="22" applyFont="1" applyBorder="1" applyAlignment="1" applyProtection="1">
      <alignment horizontal="left" vertical="top"/>
    </xf>
    <xf numFmtId="0" fontId="8" fillId="0" borderId="2" xfId="22" applyFont="1" applyBorder="1" applyAlignment="1" applyProtection="1">
      <alignment horizontal="center" vertical="top"/>
    </xf>
    <xf numFmtId="3" fontId="8" fillId="0" borderId="15" xfId="22" applyNumberFormat="1" applyFont="1" applyBorder="1" applyAlignment="1" applyProtection="1">
      <alignment horizontal="left" vertical="top"/>
    </xf>
    <xf numFmtId="3" fontId="8" fillId="0" borderId="1" xfId="22" applyNumberFormat="1" applyFont="1" applyFill="1" applyBorder="1" applyAlignment="1" applyProtection="1">
      <alignment vertical="top"/>
    </xf>
    <xf numFmtId="3" fontId="8" fillId="0" borderId="14" xfId="22" applyNumberFormat="1" applyFont="1" applyFill="1" applyBorder="1" applyAlignment="1" applyProtection="1">
      <alignment vertical="top"/>
    </xf>
    <xf numFmtId="3" fontId="8" fillId="0" borderId="15" xfId="22" applyNumberFormat="1" applyFont="1" applyFill="1" applyBorder="1" applyAlignment="1" applyProtection="1">
      <alignment vertical="top"/>
    </xf>
    <xf numFmtId="0" fontId="12" fillId="3" borderId="13" xfId="22" applyFont="1" applyFill="1" applyBorder="1" applyAlignment="1" applyProtection="1">
      <alignment horizontal="left" vertical="top"/>
    </xf>
    <xf numFmtId="0" fontId="12" fillId="0" borderId="2" xfId="22" applyFont="1" applyBorder="1" applyAlignment="1" applyProtection="1">
      <alignment horizontal="center" vertical="top"/>
    </xf>
    <xf numFmtId="3" fontId="8" fillId="3" borderId="12" xfId="22" applyNumberFormat="1" applyFont="1" applyFill="1" applyBorder="1" applyAlignment="1" applyProtection="1">
      <alignment vertical="top"/>
    </xf>
    <xf numFmtId="0" fontId="8" fillId="0" borderId="0" xfId="22" applyFont="1" applyBorder="1" applyAlignment="1" applyProtection="1">
      <alignment vertical="top"/>
    </xf>
    <xf numFmtId="3" fontId="8" fillId="0" borderId="4" xfId="22" applyNumberFormat="1" applyFont="1" applyBorder="1" applyAlignment="1" applyProtection="1">
      <alignment vertical="top"/>
    </xf>
    <xf numFmtId="3" fontId="8" fillId="0" borderId="7" xfId="22" applyNumberFormat="1" applyFont="1" applyBorder="1" applyAlignment="1" applyProtection="1">
      <alignment vertical="top"/>
    </xf>
    <xf numFmtId="3" fontId="8" fillId="2" borderId="12" xfId="22" applyNumberFormat="1" applyFont="1" applyFill="1" applyBorder="1" applyAlignment="1" applyProtection="1">
      <alignment vertical="top"/>
      <protection locked="0"/>
    </xf>
    <xf numFmtId="3" fontId="8" fillId="2" borderId="13" xfId="22" applyNumberFormat="1" applyFont="1" applyFill="1" applyBorder="1" applyAlignment="1" applyProtection="1">
      <alignment vertical="top"/>
      <protection locked="0"/>
    </xf>
    <xf numFmtId="3" fontId="8" fillId="0" borderId="15" xfId="22" applyNumberFormat="1" applyFont="1" applyBorder="1" applyAlignment="1" applyProtection="1">
      <alignment vertical="top"/>
    </xf>
    <xf numFmtId="3" fontId="8" fillId="0" borderId="0" xfId="22" applyNumberFormat="1" applyFont="1" applyBorder="1" applyAlignment="1" applyProtection="1">
      <alignment vertical="top"/>
    </xf>
    <xf numFmtId="0" fontId="8" fillId="0" borderId="0" xfId="22" applyFont="1" applyAlignment="1" applyProtection="1">
      <alignment horizontal="right" vertical="top"/>
      <protection locked="0"/>
    </xf>
    <xf numFmtId="0" fontId="8" fillId="0" borderId="0" xfId="22" applyFont="1" applyAlignment="1" applyProtection="1">
      <alignment horizontal="center"/>
    </xf>
    <xf numFmtId="0" fontId="8" fillId="0" borderId="0" xfId="22" applyFont="1" applyAlignment="1" applyProtection="1">
      <alignment horizontal="right"/>
      <protection locked="0"/>
    </xf>
    <xf numFmtId="0" fontId="8" fillId="0" borderId="0" xfId="22" applyFont="1" applyAlignment="1" applyProtection="1">
      <alignment horizontal="centerContinuous"/>
    </xf>
    <xf numFmtId="0" fontId="8" fillId="0" borderId="0" xfId="22" applyFont="1" applyAlignment="1" applyProtection="1">
      <alignment horizontal="centerContinuous"/>
      <protection locked="0"/>
    </xf>
    <xf numFmtId="0" fontId="12" fillId="0" borderId="0" xfId="22" applyFont="1" applyAlignment="1" applyProtection="1">
      <alignment horizontal="center"/>
    </xf>
    <xf numFmtId="173" fontId="8" fillId="0" borderId="4" xfId="22" applyNumberFormat="1" applyFont="1" applyBorder="1" applyAlignment="1" applyProtection="1">
      <alignment horizontal="center"/>
    </xf>
    <xf numFmtId="0" fontId="8" fillId="0" borderId="4" xfId="22" applyFont="1" applyBorder="1" applyAlignment="1" applyProtection="1">
      <alignment horizontal="center"/>
    </xf>
    <xf numFmtId="173" fontId="8" fillId="0" borderId="7" xfId="22" applyNumberFormat="1" applyFont="1" applyBorder="1" applyAlignment="1" applyProtection="1">
      <alignment horizontal="center"/>
    </xf>
    <xf numFmtId="0" fontId="8" fillId="0" borderId="7" xfId="22" applyFont="1" applyBorder="1" applyAlignment="1" applyProtection="1">
      <alignment horizontal="center"/>
    </xf>
    <xf numFmtId="0" fontId="8" fillId="0" borderId="1" xfId="22" applyFont="1" applyBorder="1" applyProtection="1"/>
    <xf numFmtId="173" fontId="8" fillId="0" borderId="12" xfId="22" applyNumberFormat="1" applyFont="1" applyBorder="1" applyAlignment="1" applyProtection="1">
      <alignment horizontal="center"/>
    </xf>
    <xf numFmtId="172" fontId="8" fillId="0" borderId="12" xfId="22" applyNumberFormat="1" applyFont="1" applyBorder="1" applyAlignment="1" applyProtection="1">
      <alignment horizontal="center"/>
    </xf>
    <xf numFmtId="0" fontId="8" fillId="0" borderId="4" xfId="22" applyFont="1" applyBorder="1" applyAlignment="1" applyProtection="1">
      <alignment horizontal="left"/>
    </xf>
    <xf numFmtId="0" fontId="8" fillId="0" borderId="5" xfId="22" applyFont="1" applyBorder="1" applyAlignment="1" applyProtection="1">
      <alignment horizontal="center"/>
    </xf>
    <xf numFmtId="3" fontId="8" fillId="0" borderId="15" xfId="22" applyNumberFormat="1" applyFont="1" applyBorder="1" applyAlignment="1" applyProtection="1"/>
    <xf numFmtId="0" fontId="8" fillId="0" borderId="12" xfId="22" applyFont="1" applyBorder="1" applyAlignment="1" applyProtection="1">
      <alignment horizontal="left"/>
    </xf>
    <xf numFmtId="0" fontId="8" fillId="0" borderId="10" xfId="22" applyFont="1" applyBorder="1" applyAlignment="1" applyProtection="1">
      <alignment horizontal="center"/>
    </xf>
    <xf numFmtId="3" fontId="8" fillId="2" borderId="1" xfId="22" applyNumberFormat="1" applyFont="1" applyFill="1" applyBorder="1" applyAlignment="1" applyProtection="1">
      <protection locked="0"/>
    </xf>
    <xf numFmtId="0" fontId="8" fillId="0" borderId="13" xfId="22" applyFont="1" applyBorder="1" applyAlignment="1" applyProtection="1">
      <alignment horizontal="left"/>
    </xf>
    <xf numFmtId="0" fontId="8" fillId="0" borderId="2" xfId="22" applyFont="1" applyBorder="1" applyAlignment="1" applyProtection="1">
      <alignment horizontal="center"/>
    </xf>
    <xf numFmtId="3" fontId="8" fillId="2" borderId="14" xfId="22" applyNumberFormat="1" applyFont="1" applyFill="1" applyBorder="1" applyAlignment="1" applyProtection="1">
      <protection locked="0"/>
    </xf>
    <xf numFmtId="3" fontId="8" fillId="2" borderId="15" xfId="22" applyNumberFormat="1" applyFont="1" applyFill="1" applyBorder="1" applyAlignment="1" applyProtection="1">
      <protection locked="0"/>
    </xf>
    <xf numFmtId="0" fontId="8" fillId="0" borderId="7" xfId="22" applyFont="1" applyBorder="1" applyAlignment="1" applyProtection="1">
      <alignment horizontal="left"/>
    </xf>
    <xf numFmtId="0" fontId="8" fillId="0" borderId="8" xfId="22" applyFont="1" applyBorder="1" applyAlignment="1" applyProtection="1">
      <alignment horizontal="center"/>
    </xf>
    <xf numFmtId="3" fontId="8" fillId="0" borderId="0" xfId="22" applyNumberFormat="1" applyFont="1" applyBorder="1" applyAlignment="1" applyProtection="1"/>
    <xf numFmtId="3" fontId="8" fillId="2" borderId="13" xfId="22" applyNumberFormat="1" applyFont="1" applyFill="1" applyBorder="1" applyAlignment="1" applyProtection="1">
      <protection locked="0"/>
    </xf>
    <xf numFmtId="3" fontId="8" fillId="2" borderId="0" xfId="22" applyNumberFormat="1" applyFont="1" applyFill="1" applyBorder="1" applyAlignment="1" applyProtection="1">
      <protection locked="0"/>
    </xf>
    <xf numFmtId="173" fontId="8" fillId="0" borderId="4" xfId="22" applyNumberFormat="1" applyFont="1" applyBorder="1" applyAlignment="1" applyProtection="1">
      <alignment horizontal="left"/>
    </xf>
    <xf numFmtId="173" fontId="8" fillId="0" borderId="5" xfId="22" applyNumberFormat="1" applyFont="1" applyBorder="1" applyAlignment="1" applyProtection="1">
      <alignment horizontal="center"/>
    </xf>
    <xf numFmtId="173" fontId="8" fillId="0" borderId="7" xfId="22" applyNumberFormat="1" applyFont="1" applyBorder="1" applyAlignment="1" applyProtection="1">
      <alignment horizontal="left"/>
    </xf>
    <xf numFmtId="173" fontId="8" fillId="0" borderId="8" xfId="22" applyNumberFormat="1" applyFont="1" applyBorder="1" applyAlignment="1" applyProtection="1">
      <alignment horizontal="center"/>
    </xf>
    <xf numFmtId="173" fontId="8" fillId="0" borderId="12" xfId="22" applyNumberFormat="1" applyFont="1" applyBorder="1" applyAlignment="1" applyProtection="1">
      <alignment horizontal="left"/>
    </xf>
    <xf numFmtId="173" fontId="8" fillId="0" borderId="10" xfId="22" applyNumberFormat="1" applyFont="1" applyBorder="1" applyAlignment="1" applyProtection="1">
      <alignment horizontal="center"/>
    </xf>
    <xf numFmtId="173" fontId="8" fillId="0" borderId="13" xfId="22" applyNumberFormat="1" applyFont="1" applyBorder="1" applyAlignment="1" applyProtection="1">
      <alignment horizontal="left"/>
    </xf>
    <xf numFmtId="173" fontId="8" fillId="0" borderId="2" xfId="22" applyNumberFormat="1" applyFont="1" applyBorder="1" applyAlignment="1" applyProtection="1">
      <alignment horizontal="center"/>
    </xf>
    <xf numFmtId="3" fontId="8" fillId="2" borderId="15" xfId="22" applyNumberFormat="1" applyFont="1" applyFill="1" applyBorder="1" applyAlignment="1" applyProtection="1">
      <alignment vertical="top"/>
      <protection locked="0"/>
    </xf>
    <xf numFmtId="3" fontId="8" fillId="2" borderId="0" xfId="22" applyNumberFormat="1" applyFont="1" applyFill="1" applyBorder="1" applyAlignment="1" applyProtection="1">
      <alignment vertical="top"/>
      <protection locked="0"/>
    </xf>
    <xf numFmtId="8" fontId="8" fillId="0" borderId="13" xfId="22" applyNumberFormat="1" applyFont="1" applyBorder="1" applyAlignment="1" applyProtection="1">
      <alignment horizontal="left" vertical="top"/>
    </xf>
    <xf numFmtId="173" fontId="8" fillId="0" borderId="0" xfId="22" applyNumberFormat="1" applyFont="1" applyAlignment="1" applyProtection="1">
      <alignment horizontal="centerContinuous"/>
    </xf>
    <xf numFmtId="173" fontId="20" fillId="0" borderId="0" xfId="22" applyNumberFormat="1" applyFont="1" applyAlignment="1" applyProtection="1">
      <alignment horizontal="center"/>
    </xf>
    <xf numFmtId="0" fontId="8" fillId="0" borderId="0" xfId="23" applyFont="1" applyAlignment="1" applyProtection="1">
      <alignment horizontal="right"/>
    </xf>
    <xf numFmtId="173" fontId="8" fillId="0" borderId="0" xfId="23" applyNumberFormat="1" applyFont="1" applyAlignment="1" applyProtection="1">
      <alignment horizontal="center"/>
    </xf>
    <xf numFmtId="0" fontId="8" fillId="0" borderId="0" xfId="23" applyFont="1" applyProtection="1"/>
    <xf numFmtId="0" fontId="20" fillId="0" borderId="0" xfId="23" applyFont="1" applyProtection="1">
      <protection locked="0"/>
    </xf>
    <xf numFmtId="0" fontId="8" fillId="0" borderId="0" xfId="23" applyFont="1" applyAlignment="1" applyProtection="1">
      <alignment horizontal="center"/>
    </xf>
    <xf numFmtId="0" fontId="12" fillId="0" borderId="0" xfId="23" applyFont="1" applyAlignment="1" applyProtection="1">
      <alignment horizontal="center"/>
    </xf>
    <xf numFmtId="173" fontId="8" fillId="0" borderId="4" xfId="23" applyNumberFormat="1" applyFont="1" applyBorder="1" applyAlignment="1" applyProtection="1">
      <alignment horizontal="center"/>
    </xf>
    <xf numFmtId="0" fontId="8" fillId="0" borderId="4" xfId="23" applyFont="1" applyBorder="1" applyAlignment="1" applyProtection="1">
      <alignment horizontal="center"/>
    </xf>
    <xf numFmtId="0" fontId="20" fillId="0" borderId="0" xfId="23" applyFont="1" applyProtection="1"/>
    <xf numFmtId="0" fontId="23" fillId="0" borderId="0" xfId="23" applyFont="1" applyProtection="1"/>
    <xf numFmtId="173" fontId="8" fillId="0" borderId="7" xfId="23" applyNumberFormat="1" applyFont="1" applyBorder="1" applyAlignment="1" applyProtection="1">
      <alignment horizontal="center"/>
    </xf>
    <xf numFmtId="0" fontId="8" fillId="0" borderId="7" xfId="23" applyFont="1" applyBorder="1" applyAlignment="1" applyProtection="1">
      <alignment horizontal="center"/>
    </xf>
    <xf numFmtId="167" fontId="20" fillId="0" borderId="0" xfId="23" applyNumberFormat="1" applyFont="1" applyProtection="1"/>
    <xf numFmtId="0" fontId="8" fillId="0" borderId="1" xfId="23" applyFont="1" applyBorder="1" applyProtection="1"/>
    <xf numFmtId="173" fontId="8" fillId="0" borderId="12" xfId="23" applyNumberFormat="1" applyFont="1" applyBorder="1" applyAlignment="1" applyProtection="1">
      <alignment horizontal="center"/>
    </xf>
    <xf numFmtId="172" fontId="8" fillId="0" borderId="12" xfId="23" applyNumberFormat="1" applyFont="1" applyBorder="1" applyAlignment="1" applyProtection="1">
      <alignment horizontal="center"/>
    </xf>
    <xf numFmtId="173" fontId="8" fillId="0" borderId="12" xfId="23" applyNumberFormat="1" applyFont="1" applyBorder="1" applyAlignment="1" applyProtection="1">
      <alignment horizontal="left"/>
    </xf>
    <xf numFmtId="173" fontId="8" fillId="0" borderId="10" xfId="23" applyNumberFormat="1" applyFont="1" applyBorder="1" applyAlignment="1" applyProtection="1">
      <alignment horizontal="center"/>
    </xf>
    <xf numFmtId="3" fontId="8" fillId="0" borderId="1" xfId="23" applyNumberFormat="1" applyFont="1" applyFill="1" applyBorder="1" applyAlignment="1" applyProtection="1"/>
    <xf numFmtId="173" fontId="8" fillId="0" borderId="7" xfId="23" applyNumberFormat="1" applyFont="1" applyBorder="1" applyAlignment="1" applyProtection="1">
      <alignment horizontal="left"/>
    </xf>
    <xf numFmtId="173" fontId="8" fillId="0" borderId="8" xfId="23" applyNumberFormat="1" applyFont="1" applyBorder="1" applyAlignment="1" applyProtection="1">
      <alignment horizontal="center"/>
    </xf>
    <xf numFmtId="173" fontId="8" fillId="0" borderId="4" xfId="23" applyNumberFormat="1" applyFont="1" applyBorder="1" applyAlignment="1" applyProtection="1">
      <alignment horizontal="left"/>
    </xf>
    <xf numFmtId="173" fontId="8" fillId="0" borderId="5" xfId="23" applyNumberFormat="1" applyFont="1" applyBorder="1" applyAlignment="1" applyProtection="1">
      <alignment horizontal="center"/>
    </xf>
    <xf numFmtId="3" fontId="8" fillId="0" borderId="0" xfId="23" applyNumberFormat="1" applyFont="1" applyBorder="1" applyAlignment="1" applyProtection="1"/>
    <xf numFmtId="3" fontId="20" fillId="0" borderId="0" xfId="23" applyNumberFormat="1" applyFont="1" applyProtection="1"/>
    <xf numFmtId="0" fontId="8" fillId="0" borderId="13" xfId="23" applyFont="1" applyBorder="1" applyAlignment="1" applyProtection="1">
      <alignment horizontal="left"/>
    </xf>
    <xf numFmtId="0" fontId="8" fillId="0" borderId="2" xfId="23" applyFont="1" applyBorder="1" applyAlignment="1" applyProtection="1">
      <alignment horizontal="center"/>
    </xf>
    <xf numFmtId="0" fontId="8" fillId="0" borderId="4" xfId="23" applyFont="1" applyBorder="1" applyAlignment="1" applyProtection="1">
      <alignment horizontal="left"/>
    </xf>
    <xf numFmtId="0" fontId="8" fillId="0" borderId="5" xfId="23" applyFont="1" applyBorder="1" applyAlignment="1" applyProtection="1">
      <alignment horizontal="center"/>
    </xf>
    <xf numFmtId="0" fontId="8" fillId="0" borderId="7" xfId="23" applyFont="1" applyBorder="1" applyAlignment="1" applyProtection="1">
      <alignment horizontal="left"/>
    </xf>
    <xf numFmtId="0" fontId="8" fillId="0" borderId="8" xfId="23" applyFont="1" applyBorder="1" applyAlignment="1" applyProtection="1">
      <alignment horizontal="center"/>
    </xf>
    <xf numFmtId="0" fontId="8" fillId="0" borderId="12" xfId="23" applyFont="1" applyBorder="1" applyAlignment="1" applyProtection="1">
      <alignment horizontal="left"/>
    </xf>
    <xf numFmtId="0" fontId="8" fillId="0" borderId="10" xfId="23" applyFont="1" applyBorder="1" applyAlignment="1" applyProtection="1">
      <alignment horizontal="center"/>
    </xf>
    <xf numFmtId="3" fontId="8" fillId="0" borderId="14" xfId="23" applyNumberFormat="1" applyFont="1" applyFill="1" applyBorder="1" applyAlignment="1" applyProtection="1"/>
    <xf numFmtId="0" fontId="12" fillId="3" borderId="13" xfId="23" applyFont="1" applyFill="1" applyBorder="1" applyAlignment="1" applyProtection="1">
      <alignment horizontal="left"/>
    </xf>
    <xf numFmtId="0" fontId="12" fillId="0" borderId="2" xfId="23" applyFont="1" applyBorder="1" applyAlignment="1" applyProtection="1">
      <alignment horizontal="center"/>
    </xf>
    <xf numFmtId="3" fontId="8" fillId="3" borderId="12" xfId="23" applyNumberFormat="1" applyFont="1" applyFill="1" applyBorder="1" applyAlignment="1" applyProtection="1"/>
    <xf numFmtId="0" fontId="8" fillId="0" borderId="0" xfId="23" applyFont="1" applyAlignment="1" applyProtection="1">
      <alignment horizontal="centerContinuous"/>
    </xf>
    <xf numFmtId="3" fontId="8" fillId="0" borderId="4" xfId="23" applyNumberFormat="1" applyFont="1" applyBorder="1" applyAlignment="1" applyProtection="1"/>
    <xf numFmtId="3" fontId="8" fillId="0" borderId="7" xfId="23" applyNumberFormat="1" applyFont="1" applyBorder="1" applyAlignment="1" applyProtection="1"/>
    <xf numFmtId="3" fontId="8" fillId="2" borderId="12" xfId="23" applyNumberFormat="1" applyFont="1" applyFill="1" applyBorder="1" applyAlignment="1" applyProtection="1">
      <protection locked="0"/>
    </xf>
    <xf numFmtId="0" fontId="8" fillId="0" borderId="4" xfId="23" applyFont="1" applyBorder="1" applyAlignment="1" applyProtection="1">
      <alignment horizontal="left" vertical="top"/>
    </xf>
    <xf numFmtId="0" fontId="8" fillId="0" borderId="5" xfId="23" applyFont="1" applyBorder="1" applyAlignment="1" applyProtection="1">
      <alignment horizontal="center" vertical="top"/>
    </xf>
    <xf numFmtId="0" fontId="8" fillId="0" borderId="12" xfId="23" applyFont="1" applyBorder="1" applyAlignment="1" applyProtection="1">
      <alignment horizontal="left" vertical="top"/>
    </xf>
    <xf numFmtId="0" fontId="8" fillId="0" borderId="10" xfId="23" applyFont="1" applyBorder="1" applyAlignment="1" applyProtection="1">
      <alignment horizontal="center" vertical="top"/>
    </xf>
    <xf numFmtId="173" fontId="8" fillId="0" borderId="13" xfId="23" applyNumberFormat="1" applyFont="1" applyBorder="1" applyAlignment="1" applyProtection="1">
      <alignment horizontal="left" vertical="top"/>
    </xf>
    <xf numFmtId="173" fontId="8" fillId="0" borderId="2" xfId="23" applyNumberFormat="1" applyFont="1" applyBorder="1" applyAlignment="1" applyProtection="1">
      <alignment horizontal="center" vertical="top"/>
    </xf>
    <xf numFmtId="173" fontId="8" fillId="0" borderId="4" xfId="23" applyNumberFormat="1" applyFont="1" applyBorder="1" applyAlignment="1" applyProtection="1">
      <alignment horizontal="left" vertical="top"/>
    </xf>
    <xf numFmtId="173" fontId="8" fillId="0" borderId="5" xfId="23" applyNumberFormat="1" applyFont="1" applyBorder="1" applyAlignment="1" applyProtection="1">
      <alignment horizontal="center" vertical="top"/>
    </xf>
    <xf numFmtId="173" fontId="8" fillId="0" borderId="7" xfId="23" applyNumberFormat="1" applyFont="1" applyBorder="1" applyAlignment="1" applyProtection="1">
      <alignment horizontal="left" vertical="top"/>
    </xf>
    <xf numFmtId="173" fontId="8" fillId="0" borderId="8" xfId="23" applyNumberFormat="1" applyFont="1" applyBorder="1" applyAlignment="1" applyProtection="1">
      <alignment horizontal="center" vertical="top"/>
    </xf>
    <xf numFmtId="173" fontId="8" fillId="0" borderId="12" xfId="23" applyNumberFormat="1" applyFont="1" applyBorder="1" applyAlignment="1" applyProtection="1">
      <alignment horizontal="left" vertical="top"/>
    </xf>
    <xf numFmtId="173" fontId="8" fillId="0" borderId="10" xfId="23" applyNumberFormat="1" applyFont="1" applyBorder="1" applyAlignment="1" applyProtection="1">
      <alignment horizontal="center" vertical="top"/>
    </xf>
    <xf numFmtId="0" fontId="8" fillId="0" borderId="13" xfId="23" applyFont="1" applyBorder="1" applyAlignment="1" applyProtection="1">
      <alignment horizontal="left" vertical="top"/>
    </xf>
    <xf numFmtId="0" fontId="8" fillId="0" borderId="2" xfId="23" applyFont="1" applyBorder="1" applyAlignment="1" applyProtection="1">
      <alignment horizontal="center" vertical="top"/>
    </xf>
    <xf numFmtId="173" fontId="20" fillId="0" borderId="0" xfId="23" applyNumberFormat="1" applyFont="1" applyAlignment="1" applyProtection="1">
      <alignment horizontal="center"/>
    </xf>
    <xf numFmtId="0" fontId="8" fillId="0" borderId="0" xfId="25" applyFont="1" applyAlignment="1" applyProtection="1">
      <alignment horizontal="right"/>
    </xf>
    <xf numFmtId="164" fontId="8" fillId="0" borderId="0" xfId="25" applyNumberFormat="1" applyFont="1" applyAlignment="1" applyProtection="1">
      <alignment horizontal="center"/>
    </xf>
    <xf numFmtId="0" fontId="8" fillId="0" borderId="0" xfId="25" applyFont="1" applyProtection="1"/>
    <xf numFmtId="0" fontId="20" fillId="0" borderId="0" xfId="25" applyFont="1" applyProtection="1">
      <protection locked="0"/>
    </xf>
    <xf numFmtId="173" fontId="8" fillId="0" borderId="0" xfId="25" applyNumberFormat="1" applyFont="1" applyAlignment="1" applyProtection="1">
      <alignment horizontal="center"/>
    </xf>
    <xf numFmtId="0" fontId="8" fillId="0" borderId="0" xfId="25" applyFont="1" applyAlignment="1" applyProtection="1">
      <alignment horizontal="center"/>
    </xf>
    <xf numFmtId="0" fontId="12" fillId="0" borderId="0" xfId="25" applyFont="1" applyAlignment="1" applyProtection="1">
      <alignment horizontal="center"/>
    </xf>
    <xf numFmtId="173" fontId="8" fillId="0" borderId="4" xfId="25" applyNumberFormat="1" applyFont="1" applyBorder="1" applyAlignment="1" applyProtection="1">
      <alignment horizontal="center"/>
    </xf>
    <xf numFmtId="0" fontId="8" fillId="0" borderId="4" xfId="25" applyFont="1" applyBorder="1" applyAlignment="1" applyProtection="1">
      <alignment horizontal="center"/>
    </xf>
    <xf numFmtId="0" fontId="20" fillId="0" borderId="0" xfId="25" applyFont="1" applyProtection="1"/>
    <xf numFmtId="173" fontId="8" fillId="0" borderId="7" xfId="25" applyNumberFormat="1" applyFont="1" applyBorder="1" applyAlignment="1" applyProtection="1">
      <alignment horizontal="center"/>
    </xf>
    <xf numFmtId="0" fontId="8" fillId="0" borderId="7" xfId="25" applyFont="1" applyBorder="1" applyAlignment="1" applyProtection="1">
      <alignment horizontal="center"/>
    </xf>
    <xf numFmtId="0" fontId="8" fillId="0" borderId="1" xfId="25" applyFont="1" applyBorder="1" applyProtection="1"/>
    <xf numFmtId="173" fontId="8" fillId="0" borderId="12" xfId="25" applyNumberFormat="1" applyFont="1" applyBorder="1" applyAlignment="1" applyProtection="1">
      <alignment horizontal="center"/>
    </xf>
    <xf numFmtId="172" fontId="8" fillId="0" borderId="12" xfId="25" applyNumberFormat="1" applyFont="1" applyBorder="1" applyAlignment="1" applyProtection="1">
      <alignment horizontal="center"/>
    </xf>
    <xf numFmtId="173" fontId="8" fillId="0" borderId="12" xfId="25" applyNumberFormat="1" applyFont="1" applyBorder="1" applyAlignment="1" applyProtection="1">
      <alignment horizontal="left"/>
    </xf>
    <xf numFmtId="3" fontId="8" fillId="2" borderId="12" xfId="25" applyNumberFormat="1" applyFont="1" applyFill="1" applyBorder="1" applyAlignment="1" applyProtection="1">
      <protection locked="0"/>
    </xf>
    <xf numFmtId="3" fontId="8" fillId="0" borderId="12" xfId="25" applyNumberFormat="1" applyFont="1" applyFill="1" applyBorder="1" applyAlignment="1" applyProtection="1"/>
    <xf numFmtId="3" fontId="8" fillId="0" borderId="13" xfId="25" applyNumberFormat="1" applyFont="1" applyFill="1" applyBorder="1" applyAlignment="1" applyProtection="1"/>
    <xf numFmtId="173" fontId="8" fillId="0" borderId="7" xfId="25" applyNumberFormat="1" applyFont="1" applyBorder="1" applyAlignment="1" applyProtection="1">
      <alignment horizontal="left"/>
    </xf>
    <xf numFmtId="3" fontId="8" fillId="2" borderId="7" xfId="25" applyNumberFormat="1" applyFont="1" applyFill="1" applyBorder="1" applyAlignment="1" applyProtection="1">
      <protection locked="0"/>
    </xf>
    <xf numFmtId="3" fontId="8" fillId="0" borderId="7" xfId="25" applyNumberFormat="1" applyFont="1" applyBorder="1" applyAlignment="1" applyProtection="1"/>
    <xf numFmtId="173" fontId="8" fillId="0" borderId="4" xfId="25" applyNumberFormat="1" applyFont="1" applyBorder="1" applyAlignment="1" applyProtection="1">
      <alignment horizontal="left"/>
    </xf>
    <xf numFmtId="3" fontId="8" fillId="0" borderId="4" xfId="25" applyNumberFormat="1" applyFont="1" applyBorder="1" applyAlignment="1" applyProtection="1"/>
    <xf numFmtId="0" fontId="20" fillId="0" borderId="0" xfId="25" applyFont="1" applyFill="1" applyProtection="1">
      <protection locked="0"/>
    </xf>
    <xf numFmtId="173" fontId="8" fillId="0" borderId="13" xfId="25" applyNumberFormat="1" applyFont="1" applyBorder="1" applyAlignment="1" applyProtection="1">
      <alignment horizontal="left"/>
    </xf>
    <xf numFmtId="173" fontId="8" fillId="0" borderId="13" xfId="25" applyNumberFormat="1" applyFont="1" applyBorder="1" applyAlignment="1" applyProtection="1">
      <alignment horizontal="center"/>
    </xf>
    <xf numFmtId="3" fontId="8" fillId="2" borderId="13" xfId="25" applyNumberFormat="1" applyFont="1" applyFill="1" applyBorder="1" applyAlignment="1" applyProtection="1">
      <protection locked="0"/>
    </xf>
    <xf numFmtId="0" fontId="8" fillId="0" borderId="13" xfId="25" applyFont="1" applyBorder="1" applyAlignment="1" applyProtection="1">
      <alignment horizontal="left"/>
    </xf>
    <xf numFmtId="0" fontId="8" fillId="0" borderId="13" xfId="25" applyFont="1" applyBorder="1" applyAlignment="1" applyProtection="1">
      <alignment horizontal="center"/>
    </xf>
    <xf numFmtId="0" fontId="12" fillId="3" borderId="13" xfId="25" applyFont="1" applyFill="1" applyBorder="1" applyAlignment="1" applyProtection="1">
      <alignment horizontal="left"/>
    </xf>
    <xf numFmtId="0" fontId="12" fillId="0" borderId="13" xfId="25" applyFont="1" applyBorder="1" applyAlignment="1" applyProtection="1">
      <alignment horizontal="center"/>
    </xf>
    <xf numFmtId="0" fontId="8" fillId="0" borderId="4" xfId="25" applyFont="1" applyBorder="1" applyAlignment="1" applyProtection="1">
      <alignment horizontal="left"/>
    </xf>
    <xf numFmtId="0" fontId="8" fillId="0" borderId="7" xfId="25" applyFont="1" applyBorder="1" applyAlignment="1" applyProtection="1">
      <alignment horizontal="left"/>
    </xf>
    <xf numFmtId="0" fontId="8" fillId="0" borderId="12" xfId="25" applyFont="1" applyBorder="1" applyAlignment="1" applyProtection="1">
      <alignment horizontal="left"/>
    </xf>
    <xf numFmtId="0" fontId="8" fillId="0" borderId="12" xfId="25" applyFont="1" applyBorder="1" applyAlignment="1" applyProtection="1">
      <alignment horizontal="center"/>
    </xf>
    <xf numFmtId="3" fontId="8" fillId="2" borderId="0" xfId="25" applyNumberFormat="1" applyFont="1" applyFill="1" applyAlignment="1" applyProtection="1">
      <protection locked="0"/>
    </xf>
    <xf numFmtId="3" fontId="8" fillId="0" borderId="4" xfId="25" applyNumberFormat="1" applyFont="1" applyFill="1" applyBorder="1" applyAlignment="1" applyProtection="1"/>
    <xf numFmtId="3" fontId="8" fillId="3" borderId="3" xfId="25" applyNumberFormat="1" applyFont="1" applyFill="1" applyBorder="1" applyAlignment="1" applyProtection="1"/>
    <xf numFmtId="0" fontId="8" fillId="0" borderId="0" xfId="25" applyFont="1" applyBorder="1" applyAlignment="1" applyProtection="1">
      <alignment horizontal="left"/>
    </xf>
    <xf numFmtId="38" fontId="8" fillId="0" borderId="2" xfId="25" applyNumberFormat="1" applyFont="1" applyBorder="1" applyAlignment="1" applyProtection="1">
      <alignment horizontal="left"/>
    </xf>
    <xf numFmtId="38" fontId="8" fillId="0" borderId="14" xfId="25" applyNumberFormat="1" applyFont="1" applyBorder="1" applyAlignment="1" applyProtection="1">
      <alignment horizontal="right"/>
    </xf>
    <xf numFmtId="38" fontId="8" fillId="0" borderId="3" xfId="25" applyNumberFormat="1" applyFont="1" applyBorder="1" applyAlignment="1" applyProtection="1">
      <alignment horizontal="right"/>
    </xf>
    <xf numFmtId="0" fontId="8" fillId="0" borderId="3" xfId="25" applyFont="1" applyBorder="1" applyProtection="1"/>
    <xf numFmtId="0" fontId="8" fillId="0" borderId="0" xfId="25" applyFont="1" applyAlignment="1" applyProtection="1">
      <alignment horizontal="centerContinuous"/>
    </xf>
    <xf numFmtId="0" fontId="8" fillId="0" borderId="0" xfId="25" applyFont="1" applyProtection="1">
      <protection locked="0"/>
    </xf>
    <xf numFmtId="173" fontId="20" fillId="0" borderId="0" xfId="25" applyNumberFormat="1" applyFont="1" applyAlignment="1" applyProtection="1">
      <alignment horizontal="center"/>
    </xf>
    <xf numFmtId="0" fontId="8" fillId="0" borderId="0" xfId="26" applyFont="1" applyProtection="1"/>
    <xf numFmtId="173" fontId="8" fillId="0" borderId="0" xfId="26" applyNumberFormat="1" applyFont="1" applyAlignment="1" applyProtection="1">
      <alignment horizontal="right"/>
    </xf>
    <xf numFmtId="0" fontId="8" fillId="0" borderId="0" xfId="26" applyFont="1" applyAlignment="1" applyProtection="1">
      <alignment horizontal="right"/>
    </xf>
    <xf numFmtId="0" fontId="20" fillId="0" borderId="0" xfId="26" applyFont="1" applyProtection="1">
      <protection locked="0"/>
    </xf>
    <xf numFmtId="173" fontId="8" fillId="0" borderId="0" xfId="26" applyNumberFormat="1" applyFont="1" applyAlignment="1" applyProtection="1">
      <alignment horizontal="center"/>
    </xf>
    <xf numFmtId="0" fontId="8" fillId="0" borderId="0" xfId="26" applyFont="1" applyAlignment="1" applyProtection="1">
      <alignment horizontal="center"/>
    </xf>
    <xf numFmtId="0" fontId="12" fillId="0" borderId="0" xfId="26" applyFont="1" applyAlignment="1" applyProtection="1">
      <alignment horizontal="center"/>
    </xf>
    <xf numFmtId="173" fontId="8" fillId="0" borderId="4" xfId="26" applyNumberFormat="1" applyFont="1" applyBorder="1" applyAlignment="1" applyProtection="1">
      <alignment horizontal="center"/>
    </xf>
    <xf numFmtId="0" fontId="8" fillId="0" borderId="4" xfId="26" applyFont="1" applyBorder="1" applyAlignment="1" applyProtection="1">
      <alignment horizontal="center"/>
    </xf>
    <xf numFmtId="0" fontId="20" fillId="0" borderId="0" xfId="26" applyFont="1" applyProtection="1"/>
    <xf numFmtId="173" fontId="8" fillId="0" borderId="7" xfId="26" applyNumberFormat="1" applyFont="1" applyBorder="1" applyAlignment="1" applyProtection="1">
      <alignment horizontal="center"/>
    </xf>
    <xf numFmtId="0" fontId="8" fillId="0" borderId="7" xfId="26" applyFont="1" applyBorder="1" applyAlignment="1" applyProtection="1">
      <alignment horizontal="center"/>
    </xf>
    <xf numFmtId="173" fontId="8" fillId="0" borderId="12" xfId="26" applyNumberFormat="1" applyFont="1" applyBorder="1" applyAlignment="1" applyProtection="1">
      <alignment horizontal="center"/>
    </xf>
    <xf numFmtId="172" fontId="8" fillId="0" borderId="12" xfId="26" applyNumberFormat="1" applyFont="1" applyBorder="1" applyAlignment="1" applyProtection="1">
      <alignment horizontal="center"/>
    </xf>
    <xf numFmtId="173" fontId="8" fillId="0" borderId="12" xfId="26" applyNumberFormat="1" applyFont="1" applyBorder="1" applyAlignment="1" applyProtection="1">
      <alignment horizontal="left"/>
    </xf>
    <xf numFmtId="3" fontId="8" fillId="2" borderId="12" xfId="26" applyNumberFormat="1" applyFont="1" applyFill="1" applyBorder="1" applyAlignment="1" applyProtection="1">
      <protection locked="0"/>
    </xf>
    <xf numFmtId="3" fontId="8" fillId="0" borderId="12" xfId="26" applyNumberFormat="1" applyFont="1" applyFill="1" applyBorder="1" applyAlignment="1" applyProtection="1"/>
    <xf numFmtId="3" fontId="8" fillId="0" borderId="13" xfId="26" applyNumberFormat="1" applyFont="1" applyFill="1" applyBorder="1" applyAlignment="1" applyProtection="1"/>
    <xf numFmtId="173" fontId="8" fillId="0" borderId="7" xfId="26" applyNumberFormat="1" applyFont="1" applyBorder="1" applyAlignment="1" applyProtection="1">
      <alignment horizontal="left"/>
    </xf>
    <xf numFmtId="3" fontId="8" fillId="2" borderId="7" xfId="26" applyNumberFormat="1" applyFont="1" applyFill="1" applyBorder="1" applyAlignment="1" applyProtection="1">
      <protection locked="0"/>
    </xf>
    <xf numFmtId="3" fontId="8" fillId="0" borderId="7" xfId="26" applyNumberFormat="1" applyFont="1" applyBorder="1" applyAlignment="1" applyProtection="1"/>
    <xf numFmtId="173" fontId="8" fillId="0" borderId="4" xfId="26" applyNumberFormat="1" applyFont="1" applyBorder="1" applyAlignment="1" applyProtection="1">
      <alignment horizontal="left"/>
    </xf>
    <xf numFmtId="3" fontId="8" fillId="0" borderId="4" xfId="26" applyNumberFormat="1" applyFont="1" applyBorder="1" applyAlignment="1" applyProtection="1"/>
    <xf numFmtId="173" fontId="8" fillId="0" borderId="13" xfId="26" applyNumberFormat="1" applyFont="1" applyBorder="1" applyAlignment="1" applyProtection="1">
      <alignment horizontal="left"/>
    </xf>
    <xf numFmtId="173" fontId="8" fillId="0" borderId="13" xfId="26" applyNumberFormat="1" applyFont="1" applyBorder="1" applyAlignment="1" applyProtection="1">
      <alignment horizontal="center"/>
    </xf>
    <xf numFmtId="3" fontId="8" fillId="2" borderId="13" xfId="26" applyNumberFormat="1" applyFont="1" applyFill="1" applyBorder="1" applyAlignment="1" applyProtection="1">
      <protection locked="0"/>
    </xf>
    <xf numFmtId="0" fontId="20" fillId="0" borderId="0" xfId="26" applyFont="1" applyFill="1" applyProtection="1">
      <protection locked="0"/>
    </xf>
    <xf numFmtId="0" fontId="8" fillId="0" borderId="13" xfId="26" applyFont="1" applyBorder="1" applyAlignment="1" applyProtection="1">
      <alignment horizontal="left"/>
    </xf>
    <xf numFmtId="0" fontId="8" fillId="0" borderId="13" xfId="26" applyFont="1" applyBorder="1" applyAlignment="1" applyProtection="1">
      <alignment horizontal="center"/>
    </xf>
    <xf numFmtId="3" fontId="12" fillId="0" borderId="4" xfId="26" applyNumberFormat="1" applyFont="1" applyBorder="1" applyAlignment="1" applyProtection="1"/>
    <xf numFmtId="3" fontId="8" fillId="0" borderId="4" xfId="26" applyNumberFormat="1" applyFont="1" applyFill="1" applyBorder="1" applyAlignment="1" applyProtection="1"/>
    <xf numFmtId="0" fontId="8" fillId="0" borderId="4" xfId="26" applyFont="1" applyBorder="1" applyAlignment="1" applyProtection="1">
      <alignment horizontal="left"/>
    </xf>
    <xf numFmtId="0" fontId="8" fillId="0" borderId="7" xfId="26" applyFont="1" applyBorder="1" applyAlignment="1" applyProtection="1">
      <alignment horizontal="left"/>
    </xf>
    <xf numFmtId="0" fontId="8" fillId="0" borderId="12" xfId="26" applyFont="1" applyBorder="1" applyAlignment="1" applyProtection="1">
      <alignment horizontal="left"/>
    </xf>
    <xf numFmtId="0" fontId="8" fillId="0" borderId="12" xfId="26" applyFont="1" applyBorder="1" applyAlignment="1" applyProtection="1">
      <alignment horizontal="center"/>
    </xf>
    <xf numFmtId="38" fontId="8" fillId="3" borderId="3" xfId="26" applyNumberFormat="1" applyFont="1" applyFill="1" applyBorder="1" applyAlignment="1" applyProtection="1">
      <alignment horizontal="right"/>
    </xf>
    <xf numFmtId="38" fontId="8" fillId="0" borderId="12" xfId="26" applyNumberFormat="1" applyFont="1" applyFill="1" applyBorder="1" applyAlignment="1" applyProtection="1">
      <alignment horizontal="right"/>
    </xf>
    <xf numFmtId="3" fontId="8" fillId="3" borderId="3" xfId="26" applyNumberFormat="1" applyFont="1" applyFill="1" applyBorder="1" applyAlignment="1" applyProtection="1"/>
    <xf numFmtId="38" fontId="8" fillId="0" borderId="2" xfId="26" applyNumberFormat="1" applyFont="1" applyBorder="1" applyAlignment="1" applyProtection="1">
      <alignment horizontal="left"/>
    </xf>
    <xf numFmtId="38" fontId="8" fillId="0" borderId="14" xfId="26" applyNumberFormat="1" applyFont="1" applyBorder="1" applyAlignment="1" applyProtection="1">
      <alignment horizontal="right"/>
    </xf>
    <xf numFmtId="38" fontId="8" fillId="0" borderId="3" xfId="26" applyNumberFormat="1" applyFont="1" applyBorder="1" applyAlignment="1" applyProtection="1">
      <alignment horizontal="right"/>
    </xf>
    <xf numFmtId="0" fontId="8" fillId="0" borderId="3" xfId="26" applyFont="1" applyBorder="1" applyProtection="1"/>
    <xf numFmtId="0" fontId="8" fillId="0" borderId="0" xfId="26" applyFont="1" applyBorder="1" applyAlignment="1" applyProtection="1">
      <alignment horizontal="left"/>
    </xf>
    <xf numFmtId="0" fontId="8" fillId="0" borderId="0" xfId="26" applyFont="1" applyBorder="1" applyAlignment="1" applyProtection="1">
      <alignment horizontal="center"/>
    </xf>
    <xf numFmtId="0" fontId="8" fillId="0" borderId="0" xfId="26" applyFont="1" applyAlignment="1" applyProtection="1">
      <alignment horizontal="centerContinuous"/>
    </xf>
    <xf numFmtId="0" fontId="8" fillId="0" borderId="0" xfId="26" applyFont="1" applyAlignment="1" applyProtection="1">
      <alignment horizontal="centerContinuous"/>
      <protection locked="0"/>
    </xf>
    <xf numFmtId="0" fontId="8" fillId="0" borderId="0" xfId="26" applyFont="1" applyProtection="1">
      <protection locked="0"/>
    </xf>
    <xf numFmtId="173" fontId="20" fillId="0" borderId="0" xfId="26" applyNumberFormat="1" applyFont="1" applyAlignment="1" applyProtection="1">
      <alignment horizontal="center"/>
    </xf>
    <xf numFmtId="0" fontId="8" fillId="0" borderId="0" xfId="27" applyFont="1" applyProtection="1"/>
    <xf numFmtId="173" fontId="8" fillId="0" borderId="0" xfId="27" applyNumberFormat="1" applyFont="1" applyAlignment="1" applyProtection="1">
      <alignment horizontal="center"/>
    </xf>
    <xf numFmtId="0" fontId="8" fillId="0" borderId="0" xfId="27" applyFont="1" applyAlignment="1" applyProtection="1">
      <alignment horizontal="right"/>
    </xf>
    <xf numFmtId="0" fontId="36" fillId="0" borderId="0" xfId="27" applyFont="1" applyAlignment="1" applyProtection="1">
      <alignment horizontal="left"/>
    </xf>
    <xf numFmtId="0" fontId="8" fillId="0" borderId="0" xfId="27" applyFont="1" applyProtection="1">
      <protection locked="0"/>
    </xf>
    <xf numFmtId="0" fontId="8" fillId="0" borderId="0" xfId="27" applyFont="1"/>
    <xf numFmtId="0" fontId="8" fillId="0" borderId="0" xfId="27" applyFont="1" applyAlignment="1" applyProtection="1">
      <alignment horizontal="center"/>
    </xf>
    <xf numFmtId="0" fontId="12" fillId="0" borderId="0" xfId="27" applyFont="1" applyAlignment="1" applyProtection="1">
      <alignment horizontal="center"/>
    </xf>
    <xf numFmtId="173" fontId="8" fillId="0" borderId="4" xfId="27" applyNumberFormat="1" applyFont="1" applyBorder="1" applyAlignment="1" applyProtection="1">
      <alignment horizontal="center"/>
    </xf>
    <xf numFmtId="0" fontId="8" fillId="0" borderId="4" xfId="27" applyFont="1" applyBorder="1" applyAlignment="1" applyProtection="1">
      <alignment horizontal="center"/>
    </xf>
    <xf numFmtId="173" fontId="8" fillId="0" borderId="7" xfId="27" applyNumberFormat="1" applyFont="1" applyBorder="1" applyAlignment="1" applyProtection="1">
      <alignment horizontal="center"/>
    </xf>
    <xf numFmtId="0" fontId="8" fillId="0" borderId="7" xfId="27" applyFont="1" applyBorder="1" applyAlignment="1" applyProtection="1">
      <alignment horizontal="center"/>
    </xf>
    <xf numFmtId="0" fontId="12" fillId="0" borderId="1" xfId="27" applyFont="1" applyBorder="1" applyAlignment="1" applyProtection="1">
      <alignment horizontal="center"/>
    </xf>
    <xf numFmtId="173" fontId="8" fillId="0" borderId="12" xfId="27" applyNumberFormat="1" applyFont="1" applyBorder="1" applyAlignment="1" applyProtection="1">
      <alignment horizontal="center"/>
    </xf>
    <xf numFmtId="172" fontId="8" fillId="0" borderId="12" xfId="27" applyNumberFormat="1" applyFont="1" applyBorder="1" applyAlignment="1" applyProtection="1">
      <alignment horizontal="center"/>
    </xf>
    <xf numFmtId="173" fontId="8" fillId="0" borderId="12" xfId="27" applyNumberFormat="1" applyFont="1" applyBorder="1" applyAlignment="1" applyProtection="1">
      <alignment horizontal="left"/>
    </xf>
    <xf numFmtId="3" fontId="8" fillId="2" borderId="12" xfId="27" applyNumberFormat="1" applyFont="1" applyFill="1" applyBorder="1" applyAlignment="1" applyProtection="1">
      <protection locked="0"/>
    </xf>
    <xf numFmtId="3" fontId="8" fillId="0" borderId="12" xfId="27" applyNumberFormat="1" applyFont="1" applyFill="1" applyBorder="1" applyAlignment="1" applyProtection="1"/>
    <xf numFmtId="3" fontId="8" fillId="0" borderId="13" xfId="27" applyNumberFormat="1" applyFont="1" applyFill="1" applyBorder="1" applyAlignment="1" applyProtection="1"/>
    <xf numFmtId="173" fontId="8" fillId="0" borderId="7" xfId="27" applyNumberFormat="1" applyFont="1" applyBorder="1" applyAlignment="1" applyProtection="1">
      <alignment horizontal="left"/>
    </xf>
    <xf numFmtId="3" fontId="8" fillId="2" borderId="7" xfId="27" applyNumberFormat="1" applyFont="1" applyFill="1" applyBorder="1" applyAlignment="1" applyProtection="1">
      <protection locked="0"/>
    </xf>
    <xf numFmtId="3" fontId="8" fillId="0" borderId="7" xfId="27" applyNumberFormat="1" applyFont="1" applyBorder="1" applyAlignment="1" applyProtection="1"/>
    <xf numFmtId="173" fontId="8" fillId="0" borderId="4" xfId="27" applyNumberFormat="1" applyFont="1" applyBorder="1" applyAlignment="1" applyProtection="1">
      <alignment horizontal="left"/>
    </xf>
    <xf numFmtId="3" fontId="8" fillId="0" borderId="4" xfId="27" applyNumberFormat="1" applyFont="1" applyBorder="1" applyAlignment="1" applyProtection="1"/>
    <xf numFmtId="0" fontId="8" fillId="0" borderId="0" xfId="27" applyFont="1" applyFill="1"/>
    <xf numFmtId="173" fontId="8" fillId="0" borderId="13" xfId="27" applyNumberFormat="1" applyFont="1" applyBorder="1" applyAlignment="1" applyProtection="1">
      <alignment horizontal="left"/>
    </xf>
    <xf numFmtId="173" fontId="8" fillId="0" borderId="13" xfId="27" applyNumberFormat="1" applyFont="1" applyBorder="1" applyAlignment="1" applyProtection="1">
      <alignment horizontal="center"/>
    </xf>
    <xf numFmtId="3" fontId="8" fillId="2" borderId="13" xfId="27" applyNumberFormat="1" applyFont="1" applyFill="1" applyBorder="1" applyAlignment="1" applyProtection="1">
      <protection locked="0"/>
    </xf>
    <xf numFmtId="3" fontId="8" fillId="0" borderId="7" xfId="27" applyNumberFormat="1" applyFont="1" applyFill="1" applyBorder="1" applyAlignment="1" applyProtection="1"/>
    <xf numFmtId="0" fontId="8" fillId="0" borderId="13" xfId="27" applyFont="1" applyBorder="1" applyAlignment="1" applyProtection="1">
      <alignment horizontal="left"/>
    </xf>
    <xf numFmtId="0" fontId="8" fillId="0" borderId="13" xfId="27" applyFont="1" applyBorder="1" applyAlignment="1" applyProtection="1">
      <alignment horizontal="center"/>
    </xf>
    <xf numFmtId="0" fontId="12" fillId="3" borderId="13" xfId="27" applyFont="1" applyFill="1" applyBorder="1" applyAlignment="1" applyProtection="1">
      <alignment horizontal="left"/>
    </xf>
    <xf numFmtId="0" fontId="8" fillId="0" borderId="4" xfId="27" applyFont="1" applyBorder="1" applyAlignment="1" applyProtection="1">
      <alignment horizontal="left"/>
    </xf>
    <xf numFmtId="0" fontId="8" fillId="0" borderId="7" xfId="27" applyFont="1" applyBorder="1" applyAlignment="1" applyProtection="1">
      <alignment horizontal="left"/>
    </xf>
    <xf numFmtId="0" fontId="8" fillId="0" borderId="12" xfId="27" applyFont="1" applyBorder="1" applyAlignment="1" applyProtection="1">
      <alignment horizontal="left"/>
    </xf>
    <xf numFmtId="0" fontId="8" fillId="0" borderId="12" xfId="27" applyFont="1" applyBorder="1" applyAlignment="1" applyProtection="1">
      <alignment horizontal="center"/>
    </xf>
    <xf numFmtId="38" fontId="8" fillId="0" borderId="12" xfId="27" applyNumberFormat="1" applyFont="1" applyFill="1" applyBorder="1" applyAlignment="1" applyProtection="1">
      <alignment horizontal="right"/>
    </xf>
    <xf numFmtId="38" fontId="8" fillId="0" borderId="2" xfId="27" applyNumberFormat="1" applyFont="1" applyBorder="1" applyAlignment="1" applyProtection="1">
      <alignment horizontal="left"/>
    </xf>
    <xf numFmtId="38" fontId="8" fillId="0" borderId="14" xfId="27" applyNumberFormat="1" applyFont="1" applyBorder="1" applyAlignment="1" applyProtection="1">
      <alignment horizontal="right"/>
    </xf>
    <xf numFmtId="0" fontId="8" fillId="0" borderId="0" xfId="27" applyFont="1" applyBorder="1" applyAlignment="1" applyProtection="1">
      <alignment horizontal="left"/>
    </xf>
    <xf numFmtId="0" fontId="8" fillId="0" borderId="0" xfId="27" applyFont="1" applyBorder="1" applyAlignment="1" applyProtection="1">
      <alignment horizontal="center"/>
    </xf>
    <xf numFmtId="0" fontId="8" fillId="0" borderId="0" xfId="27" applyFont="1" applyAlignment="1" applyProtection="1">
      <alignment horizontal="centerContinuous"/>
    </xf>
    <xf numFmtId="0" fontId="8" fillId="0" borderId="0" xfId="27" applyFont="1" applyAlignment="1" applyProtection="1">
      <alignment horizontal="centerContinuous"/>
      <protection locked="0"/>
    </xf>
    <xf numFmtId="0" fontId="8" fillId="0" borderId="0" xfId="28" applyFont="1" applyAlignment="1" applyProtection="1">
      <alignment horizontal="right"/>
    </xf>
    <xf numFmtId="164" fontId="8" fillId="0" borderId="0" xfId="28" applyNumberFormat="1" applyFont="1" applyAlignment="1" applyProtection="1">
      <alignment horizontal="center"/>
    </xf>
    <xf numFmtId="0" fontId="8" fillId="0" borderId="0" xfId="28" applyFont="1" applyProtection="1"/>
    <xf numFmtId="0" fontId="8" fillId="0" borderId="0" xfId="28" applyFont="1" applyProtection="1">
      <protection locked="0"/>
    </xf>
    <xf numFmtId="0" fontId="20" fillId="0" borderId="0" xfId="28" applyFont="1" applyProtection="1">
      <protection locked="0"/>
    </xf>
    <xf numFmtId="173" fontId="8" fillId="0" borderId="0" xfId="28" applyNumberFormat="1" applyFont="1" applyAlignment="1" applyProtection="1">
      <alignment horizontal="center"/>
    </xf>
    <xf numFmtId="0" fontId="8" fillId="0" borderId="0" xfId="28" applyFont="1" applyAlignment="1" applyProtection="1">
      <alignment horizontal="center"/>
    </xf>
    <xf numFmtId="0" fontId="8" fillId="0" borderId="0" xfId="28" applyFont="1" applyBorder="1" applyAlignment="1" applyProtection="1">
      <alignment horizontal="center"/>
    </xf>
    <xf numFmtId="0" fontId="12" fillId="0" borderId="0" xfId="28" applyFont="1" applyAlignment="1" applyProtection="1">
      <alignment horizontal="center"/>
    </xf>
    <xf numFmtId="173" fontId="8" fillId="0" borderId="4" xfId="28" applyNumberFormat="1" applyFont="1" applyBorder="1" applyAlignment="1" applyProtection="1">
      <alignment horizontal="center"/>
    </xf>
    <xf numFmtId="0" fontId="8" fillId="0" borderId="4" xfId="28" applyFont="1" applyBorder="1" applyAlignment="1" applyProtection="1">
      <alignment horizontal="center"/>
    </xf>
    <xf numFmtId="0" fontId="20" fillId="0" borderId="0" xfId="28" applyFont="1" applyProtection="1"/>
    <xf numFmtId="173" fontId="8" fillId="0" borderId="7" xfId="28" applyNumberFormat="1" applyFont="1" applyBorder="1" applyAlignment="1" applyProtection="1">
      <alignment horizontal="center"/>
    </xf>
    <xf numFmtId="0" fontId="8" fillId="0" borderId="7" xfId="28" applyFont="1" applyBorder="1" applyAlignment="1" applyProtection="1">
      <alignment horizontal="center"/>
    </xf>
    <xf numFmtId="0" fontId="8" fillId="0" borderId="1" xfId="28" applyFont="1" applyBorder="1" applyProtection="1"/>
    <xf numFmtId="173" fontId="8" fillId="0" borderId="12" xfId="28" applyNumberFormat="1" applyFont="1" applyBorder="1" applyAlignment="1" applyProtection="1">
      <alignment horizontal="center"/>
    </xf>
    <xf numFmtId="172" fontId="8" fillId="0" borderId="12" xfId="28" applyNumberFormat="1" applyFont="1" applyBorder="1" applyAlignment="1" applyProtection="1">
      <alignment horizontal="center"/>
    </xf>
    <xf numFmtId="173" fontId="8" fillId="0" borderId="12" xfId="28" applyNumberFormat="1" applyFont="1" applyBorder="1" applyAlignment="1" applyProtection="1">
      <alignment horizontal="left"/>
    </xf>
    <xf numFmtId="3" fontId="8" fillId="2" borderId="12" xfId="28" applyNumberFormat="1" applyFont="1" applyFill="1" applyBorder="1" applyAlignment="1" applyProtection="1">
      <protection locked="0"/>
    </xf>
    <xf numFmtId="3" fontId="8" fillId="0" borderId="12" xfId="28" applyNumberFormat="1" applyFont="1" applyFill="1" applyBorder="1" applyAlignment="1" applyProtection="1"/>
    <xf numFmtId="173" fontId="8" fillId="0" borderId="7" xfId="28" applyNumberFormat="1" applyFont="1" applyBorder="1" applyAlignment="1" applyProtection="1">
      <alignment horizontal="left"/>
    </xf>
    <xf numFmtId="3" fontId="8" fillId="2" borderId="7" xfId="28" applyNumberFormat="1" applyFont="1" applyFill="1" applyBorder="1" applyAlignment="1" applyProtection="1">
      <protection locked="0"/>
    </xf>
    <xf numFmtId="173" fontId="8" fillId="0" borderId="4" xfId="28" applyNumberFormat="1" applyFont="1" applyBorder="1" applyAlignment="1" applyProtection="1">
      <alignment horizontal="left"/>
    </xf>
    <xf numFmtId="3" fontId="8" fillId="0" borderId="4" xfId="28" applyNumberFormat="1" applyFont="1" applyBorder="1" applyAlignment="1" applyProtection="1"/>
    <xf numFmtId="3" fontId="8" fillId="0" borderId="7" xfId="28" applyNumberFormat="1" applyFont="1" applyBorder="1" applyAlignment="1" applyProtection="1"/>
    <xf numFmtId="3" fontId="8" fillId="0" borderId="13" xfId="28" applyNumberFormat="1" applyFont="1" applyFill="1" applyBorder="1" applyAlignment="1" applyProtection="1"/>
    <xf numFmtId="173" fontId="12" fillId="3" borderId="12" xfId="28" applyNumberFormat="1" applyFont="1" applyFill="1" applyBorder="1" applyAlignment="1" applyProtection="1">
      <alignment horizontal="left"/>
    </xf>
    <xf numFmtId="0" fontId="8" fillId="0" borderId="12" xfId="28" applyFont="1" applyBorder="1" applyAlignment="1" applyProtection="1">
      <alignment horizontal="left"/>
    </xf>
    <xf numFmtId="0" fontId="8" fillId="0" borderId="13" xfId="28" applyFont="1" applyBorder="1" applyAlignment="1" applyProtection="1">
      <alignment horizontal="left"/>
    </xf>
    <xf numFmtId="0" fontId="8" fillId="0" borderId="13" xfId="28" applyFont="1" applyBorder="1" applyAlignment="1" applyProtection="1">
      <alignment horizontal="center"/>
    </xf>
    <xf numFmtId="0" fontId="8" fillId="0" borderId="0" xfId="28" applyFont="1" applyAlignment="1" applyProtection="1">
      <alignment horizontal="centerContinuous"/>
    </xf>
    <xf numFmtId="0" fontId="8" fillId="0" borderId="0" xfId="28" applyFont="1" applyAlignment="1" applyProtection="1">
      <alignment horizontal="centerContinuous"/>
      <protection locked="0"/>
    </xf>
    <xf numFmtId="0" fontId="8" fillId="0" borderId="0" xfId="28" applyFont="1"/>
    <xf numFmtId="173" fontId="20" fillId="0" borderId="0" xfId="28" applyNumberFormat="1" applyFont="1" applyAlignment="1" applyProtection="1">
      <alignment horizontal="center"/>
    </xf>
    <xf numFmtId="0" fontId="8" fillId="0" borderId="0" xfId="30" applyFont="1" applyAlignment="1" applyProtection="1">
      <alignment horizontal="right"/>
    </xf>
    <xf numFmtId="173" fontId="8" fillId="0" borderId="0" xfId="30" applyNumberFormat="1" applyFont="1" applyAlignment="1" applyProtection="1">
      <alignment horizontal="center"/>
    </xf>
    <xf numFmtId="0" fontId="8" fillId="0" borderId="0" xfId="30" applyFont="1" applyProtection="1"/>
    <xf numFmtId="0" fontId="8" fillId="0" borderId="0" xfId="30" applyFont="1" applyProtection="1">
      <protection locked="0"/>
    </xf>
    <xf numFmtId="0" fontId="20" fillId="0" borderId="0" xfId="30" applyFont="1" applyProtection="1">
      <protection locked="0"/>
    </xf>
    <xf numFmtId="0" fontId="8" fillId="0" borderId="0" xfId="30" applyFont="1" applyAlignment="1" applyProtection="1">
      <alignment horizontal="center"/>
    </xf>
    <xf numFmtId="173" fontId="8" fillId="0" borderId="4" xfId="30" applyNumberFormat="1" applyFont="1" applyBorder="1" applyAlignment="1" applyProtection="1">
      <alignment horizontal="center"/>
    </xf>
    <xf numFmtId="0" fontId="8" fillId="0" borderId="4" xfId="30" applyFont="1" applyBorder="1" applyAlignment="1" applyProtection="1">
      <alignment horizontal="center"/>
    </xf>
    <xf numFmtId="0" fontId="20" fillId="0" borderId="0" xfId="30" applyFont="1" applyProtection="1"/>
    <xf numFmtId="0" fontId="23" fillId="0" borderId="0" xfId="30" applyFont="1" applyProtection="1"/>
    <xf numFmtId="0" fontId="12" fillId="0" borderId="0" xfId="30" applyFont="1" applyAlignment="1" applyProtection="1">
      <alignment horizontal="center"/>
    </xf>
    <xf numFmtId="173" fontId="8" fillId="0" borderId="7" xfId="30" applyNumberFormat="1" applyFont="1" applyBorder="1" applyAlignment="1" applyProtection="1">
      <alignment horizontal="center"/>
    </xf>
    <xf numFmtId="0" fontId="8" fillId="0" borderId="7" xfId="30" applyFont="1" applyBorder="1" applyAlignment="1" applyProtection="1">
      <alignment horizontal="center"/>
    </xf>
    <xf numFmtId="167" fontId="20" fillId="0" borderId="0" xfId="30" applyNumberFormat="1" applyFont="1" applyProtection="1"/>
    <xf numFmtId="0" fontId="8" fillId="0" borderId="1" xfId="30" applyFont="1" applyBorder="1" applyProtection="1"/>
    <xf numFmtId="173" fontId="8" fillId="0" borderId="12" xfId="30" applyNumberFormat="1" applyFont="1" applyBorder="1" applyAlignment="1" applyProtection="1">
      <alignment horizontal="center"/>
    </xf>
    <xf numFmtId="172" fontId="8" fillId="0" borderId="12" xfId="30" applyNumberFormat="1" applyFont="1" applyBorder="1" applyAlignment="1" applyProtection="1">
      <alignment horizontal="center"/>
    </xf>
    <xf numFmtId="0" fontId="20" fillId="0" borderId="0" xfId="30" applyFont="1" applyFill="1" applyProtection="1">
      <protection locked="0"/>
    </xf>
    <xf numFmtId="0" fontId="8" fillId="0" borderId="13" xfId="30" applyFont="1" applyBorder="1" applyProtection="1"/>
    <xf numFmtId="173" fontId="8" fillId="0" borderId="10" xfId="30" applyNumberFormat="1" applyFont="1" applyBorder="1" applyAlignment="1" applyProtection="1">
      <alignment horizontal="center"/>
    </xf>
    <xf numFmtId="3" fontId="8" fillId="0" borderId="3" xfId="30" applyNumberFormat="1" applyFont="1" applyFill="1" applyBorder="1" applyAlignment="1" applyProtection="1"/>
    <xf numFmtId="0" fontId="8" fillId="0" borderId="12" xfId="30" applyFont="1" applyBorder="1" applyProtection="1"/>
    <xf numFmtId="173" fontId="8" fillId="0" borderId="8" xfId="30" applyNumberFormat="1" applyFont="1" applyBorder="1" applyAlignment="1" applyProtection="1">
      <alignment horizontal="center"/>
    </xf>
    <xf numFmtId="3" fontId="8" fillId="2" borderId="11" xfId="30" applyNumberFormat="1" applyFont="1" applyFill="1" applyBorder="1" applyAlignment="1" applyProtection="1">
      <protection locked="0"/>
    </xf>
    <xf numFmtId="0" fontId="8" fillId="0" borderId="4" xfId="30" applyFont="1" applyBorder="1" applyProtection="1"/>
    <xf numFmtId="173" fontId="8" fillId="0" borderId="5" xfId="30" applyNumberFormat="1" applyFont="1" applyBorder="1" applyAlignment="1" applyProtection="1">
      <alignment horizontal="center"/>
    </xf>
    <xf numFmtId="3" fontId="8" fillId="0" borderId="9" xfId="30" applyNumberFormat="1" applyFont="1" applyBorder="1" applyAlignment="1" applyProtection="1"/>
    <xf numFmtId="3" fontId="8" fillId="0" borderId="11" xfId="30" applyNumberFormat="1" applyFont="1" applyFill="1" applyBorder="1" applyAlignment="1" applyProtection="1"/>
    <xf numFmtId="0" fontId="8" fillId="3" borderId="13" xfId="30" applyFont="1" applyFill="1" applyBorder="1" applyProtection="1"/>
    <xf numFmtId="173" fontId="8" fillId="0" borderId="2" xfId="30" applyNumberFormat="1" applyFont="1" applyBorder="1" applyAlignment="1" applyProtection="1">
      <alignment horizontal="center"/>
    </xf>
    <xf numFmtId="3" fontId="20" fillId="0" borderId="0" xfId="30" applyNumberFormat="1" applyFont="1" applyProtection="1"/>
    <xf numFmtId="0" fontId="8" fillId="0" borderId="0" xfId="30" applyFont="1" applyAlignment="1" applyProtection="1">
      <alignment vertical="top"/>
    </xf>
    <xf numFmtId="173" fontId="8" fillId="0" borderId="0" xfId="30" applyNumberFormat="1" applyFont="1" applyAlignment="1" applyProtection="1">
      <alignment horizontal="center" vertical="top"/>
    </xf>
    <xf numFmtId="0" fontId="8" fillId="0" borderId="0" xfId="30" applyFont="1" applyAlignment="1" applyProtection="1">
      <alignment horizontal="center" vertical="top"/>
    </xf>
    <xf numFmtId="0" fontId="8" fillId="0" borderId="0" xfId="30" applyFont="1" applyAlignment="1" applyProtection="1">
      <alignment vertical="top"/>
      <protection locked="0"/>
    </xf>
    <xf numFmtId="0" fontId="12" fillId="0" borderId="0" xfId="30" applyFont="1" applyAlignment="1" applyProtection="1">
      <alignment horizontal="center" vertical="top"/>
    </xf>
    <xf numFmtId="173" fontId="8" fillId="0" borderId="4" xfId="30" applyNumberFormat="1" applyFont="1" applyBorder="1" applyAlignment="1" applyProtection="1">
      <alignment horizontal="center" vertical="top"/>
    </xf>
    <xf numFmtId="0" fontId="8" fillId="0" borderId="4" xfId="30" applyFont="1" applyBorder="1" applyAlignment="1" applyProtection="1">
      <alignment horizontal="center" vertical="top"/>
    </xf>
    <xf numFmtId="173" fontId="8" fillId="0" borderId="7" xfId="30" applyNumberFormat="1" applyFont="1" applyBorder="1" applyAlignment="1" applyProtection="1">
      <alignment horizontal="center" vertical="top"/>
    </xf>
    <xf numFmtId="0" fontId="8" fillId="0" borderId="7" xfId="30" applyFont="1" applyBorder="1" applyAlignment="1" applyProtection="1">
      <alignment horizontal="center" vertical="top"/>
    </xf>
    <xf numFmtId="0" fontId="8" fillId="0" borderId="1" xfId="30" applyFont="1" applyBorder="1" applyAlignment="1" applyProtection="1">
      <alignment vertical="top"/>
    </xf>
    <xf numFmtId="173" fontId="8" fillId="0" borderId="12" xfId="30" applyNumberFormat="1" applyFont="1" applyBorder="1" applyAlignment="1" applyProtection="1">
      <alignment horizontal="center" vertical="top"/>
    </xf>
    <xf numFmtId="172" fontId="8" fillId="0" borderId="12" xfId="30" applyNumberFormat="1" applyFont="1" applyBorder="1" applyAlignment="1" applyProtection="1">
      <alignment horizontal="center" vertical="top"/>
    </xf>
    <xf numFmtId="0" fontId="8" fillId="0" borderId="4" xfId="30" applyFont="1" applyBorder="1" applyAlignment="1" applyProtection="1">
      <alignment vertical="top"/>
    </xf>
    <xf numFmtId="173" fontId="8" fillId="0" borderId="5" xfId="30" applyNumberFormat="1" applyFont="1" applyBorder="1" applyAlignment="1" applyProtection="1">
      <alignment horizontal="center" vertical="top"/>
    </xf>
    <xf numFmtId="3" fontId="8" fillId="0" borderId="4" xfId="30" applyNumberFormat="1" applyFont="1" applyBorder="1" applyAlignment="1" applyProtection="1"/>
    <xf numFmtId="0" fontId="8" fillId="0" borderId="7" xfId="30" applyFont="1" applyBorder="1" applyAlignment="1" applyProtection="1">
      <alignment vertical="top"/>
    </xf>
    <xf numFmtId="173" fontId="8" fillId="0" borderId="8" xfId="30" applyNumberFormat="1" applyFont="1" applyBorder="1" applyAlignment="1" applyProtection="1">
      <alignment horizontal="center" vertical="top"/>
    </xf>
    <xf numFmtId="0" fontId="8" fillId="0" borderId="7" xfId="30" applyFont="1" applyBorder="1" applyProtection="1"/>
    <xf numFmtId="3" fontId="8" fillId="0" borderId="7" xfId="30" applyNumberFormat="1" applyFont="1" applyBorder="1" applyAlignment="1" applyProtection="1"/>
    <xf numFmtId="0" fontId="8" fillId="0" borderId="12" xfId="30" applyFont="1" applyBorder="1" applyAlignment="1" applyProtection="1">
      <alignment vertical="top"/>
    </xf>
    <xf numFmtId="173" fontId="8" fillId="0" borderId="10" xfId="30" applyNumberFormat="1" applyFont="1" applyBorder="1" applyAlignment="1" applyProtection="1">
      <alignment horizontal="center" vertical="top"/>
    </xf>
    <xf numFmtId="3" fontId="8" fillId="2" borderId="12" xfId="30" applyNumberFormat="1" applyFont="1" applyFill="1" applyBorder="1" applyAlignment="1" applyProtection="1">
      <protection locked="0"/>
    </xf>
    <xf numFmtId="0" fontId="8" fillId="0" borderId="13" xfId="30" applyFont="1" applyBorder="1" applyAlignment="1" applyProtection="1">
      <alignment vertical="top"/>
    </xf>
    <xf numFmtId="173" fontId="8" fillId="0" borderId="2" xfId="30" applyNumberFormat="1" applyFont="1" applyBorder="1" applyAlignment="1" applyProtection="1">
      <alignment horizontal="center" vertical="top"/>
    </xf>
    <xf numFmtId="3" fontId="8" fillId="2" borderId="3" xfId="30" applyNumberFormat="1" applyFont="1" applyFill="1" applyBorder="1" applyAlignment="1" applyProtection="1">
      <protection locked="0"/>
    </xf>
    <xf numFmtId="3" fontId="8" fillId="2" borderId="13" xfId="30" applyNumberFormat="1" applyFont="1" applyFill="1" applyBorder="1" applyAlignment="1" applyProtection="1">
      <protection locked="0"/>
    </xf>
    <xf numFmtId="3" fontId="8" fillId="0" borderId="6" xfId="30" applyNumberFormat="1" applyFont="1" applyBorder="1" applyAlignment="1" applyProtection="1"/>
    <xf numFmtId="3" fontId="8" fillId="2" borderId="6" xfId="30" applyNumberFormat="1" applyFont="1" applyFill="1" applyBorder="1" applyAlignment="1" applyProtection="1">
      <protection locked="0"/>
    </xf>
    <xf numFmtId="0" fontId="8" fillId="0" borderId="8" xfId="30" applyFont="1" applyBorder="1" applyAlignment="1" applyProtection="1">
      <alignment vertical="top"/>
    </xf>
    <xf numFmtId="0" fontId="8" fillId="0" borderId="0" xfId="30" applyFont="1" applyAlignment="1" applyProtection="1">
      <alignment horizontal="centerContinuous"/>
    </xf>
    <xf numFmtId="0" fontId="8" fillId="0" borderId="0" xfId="30" applyFont="1" applyAlignment="1" applyProtection="1">
      <alignment horizontal="centerContinuous"/>
      <protection locked="0"/>
    </xf>
    <xf numFmtId="173" fontId="8" fillId="0" borderId="0" xfId="30" applyNumberFormat="1" applyFont="1" applyAlignment="1" applyProtection="1">
      <alignment horizontal="centerContinuous"/>
    </xf>
    <xf numFmtId="0" fontId="8" fillId="0" borderId="0" xfId="30" applyFont="1" applyAlignment="1" applyProtection="1">
      <alignment horizontal="center" vertical="center"/>
    </xf>
    <xf numFmtId="3" fontId="8" fillId="0" borderId="6" xfId="30" applyNumberFormat="1" applyFont="1" applyBorder="1" applyAlignment="1" applyProtection="1">
      <alignment vertical="top"/>
      <protection locked="0"/>
    </xf>
    <xf numFmtId="3" fontId="8" fillId="2" borderId="11" xfId="30" applyNumberFormat="1" applyFont="1" applyFill="1" applyBorder="1" applyAlignment="1" applyProtection="1">
      <alignment vertical="top"/>
      <protection locked="0"/>
    </xf>
    <xf numFmtId="3" fontId="8" fillId="2" borderId="3" xfId="30" applyNumberFormat="1" applyFont="1" applyFill="1" applyBorder="1" applyAlignment="1" applyProtection="1">
      <alignment vertical="top"/>
      <protection locked="0"/>
    </xf>
    <xf numFmtId="1" fontId="8" fillId="0" borderId="4" xfId="30" applyNumberFormat="1" applyFont="1" applyBorder="1" applyAlignment="1" applyProtection="1">
      <alignment horizontal="left" vertical="top"/>
    </xf>
    <xf numFmtId="3" fontId="8" fillId="0" borderId="6" xfId="30" applyNumberFormat="1" applyFont="1" applyBorder="1" applyAlignment="1" applyProtection="1">
      <alignment vertical="top"/>
    </xf>
    <xf numFmtId="1" fontId="8" fillId="0" borderId="7" xfId="30" applyNumberFormat="1" applyFont="1" applyBorder="1" applyAlignment="1" applyProtection="1">
      <alignment horizontal="left" vertical="top"/>
    </xf>
    <xf numFmtId="3" fontId="8" fillId="0" borderId="9" xfId="30" applyNumberFormat="1" applyFont="1" applyBorder="1" applyAlignment="1" applyProtection="1">
      <alignment vertical="top"/>
    </xf>
    <xf numFmtId="1" fontId="8" fillId="0" borderId="12" xfId="30" applyNumberFormat="1" applyFont="1" applyBorder="1" applyAlignment="1" applyProtection="1">
      <alignment horizontal="left" vertical="top"/>
    </xf>
    <xf numFmtId="1" fontId="8" fillId="0" borderId="13" xfId="30" applyNumberFormat="1" applyFont="1" applyBorder="1" applyAlignment="1" applyProtection="1">
      <alignment horizontal="left" vertical="top"/>
    </xf>
    <xf numFmtId="3" fontId="8" fillId="2" borderId="6" xfId="30" applyNumberFormat="1" applyFont="1" applyFill="1" applyBorder="1" applyAlignment="1" applyProtection="1">
      <alignment vertical="top"/>
      <protection locked="0"/>
    </xf>
    <xf numFmtId="3" fontId="8" fillId="2" borderId="13" xfId="30" applyNumberFormat="1" applyFont="1" applyFill="1" applyBorder="1" applyAlignment="1" applyProtection="1">
      <alignment vertical="top"/>
      <protection locked="0"/>
    </xf>
    <xf numFmtId="0" fontId="8" fillId="0" borderId="0" xfId="30" applyFont="1" applyAlignment="1" applyProtection="1">
      <alignment horizontal="centerContinuous" vertical="top"/>
      <protection locked="0"/>
    </xf>
    <xf numFmtId="1" fontId="8" fillId="0" borderId="4" xfId="30" applyNumberFormat="1" applyFont="1" applyBorder="1" applyAlignment="1" applyProtection="1">
      <alignment horizontal="left"/>
    </xf>
    <xf numFmtId="1" fontId="8" fillId="0" borderId="12" xfId="30" applyNumberFormat="1" applyFont="1" applyBorder="1" applyAlignment="1" applyProtection="1">
      <alignment horizontal="left"/>
    </xf>
    <xf numFmtId="1" fontId="8" fillId="0" borderId="13" xfId="30" applyNumberFormat="1" applyFont="1" applyBorder="1" applyAlignment="1" applyProtection="1">
      <alignment horizontal="left"/>
    </xf>
    <xf numFmtId="173" fontId="8" fillId="3" borderId="2" xfId="30" applyNumberFormat="1" applyFont="1" applyFill="1" applyBorder="1" applyAlignment="1" applyProtection="1">
      <alignment horizontal="center"/>
    </xf>
    <xf numFmtId="173" fontId="20" fillId="0" borderId="0" xfId="30" applyNumberFormat="1" applyFont="1" applyAlignment="1" applyProtection="1">
      <alignment horizontal="center"/>
    </xf>
    <xf numFmtId="0" fontId="8" fillId="0" borderId="0" xfId="31" applyFont="1" applyAlignment="1" applyProtection="1">
      <alignment horizontal="right"/>
    </xf>
    <xf numFmtId="164" fontId="8" fillId="0" borderId="0" xfId="31" applyNumberFormat="1" applyFont="1" applyAlignment="1" applyProtection="1">
      <alignment horizontal="center"/>
    </xf>
    <xf numFmtId="0" fontId="8" fillId="0" borderId="0" xfId="31" applyFont="1" applyProtection="1"/>
    <xf numFmtId="0" fontId="8" fillId="0" borderId="0" xfId="31" applyFont="1" applyProtection="1">
      <protection locked="0"/>
    </xf>
    <xf numFmtId="0" fontId="20" fillId="0" borderId="0" xfId="31" applyFont="1" applyProtection="1">
      <protection locked="0"/>
    </xf>
    <xf numFmtId="173" fontId="8" fillId="0" borderId="0" xfId="31" applyNumberFormat="1" applyFont="1" applyAlignment="1" applyProtection="1">
      <alignment horizontal="center"/>
    </xf>
    <xf numFmtId="0" fontId="8" fillId="0" borderId="0" xfId="31" applyFont="1" applyAlignment="1" applyProtection="1">
      <alignment horizontal="center"/>
    </xf>
    <xf numFmtId="0" fontId="8" fillId="0" borderId="0" xfId="31" applyFont="1" applyBorder="1" applyAlignment="1" applyProtection="1">
      <alignment horizontal="center"/>
    </xf>
    <xf numFmtId="0" fontId="12" fillId="0" borderId="0" xfId="31" applyFont="1" applyAlignment="1" applyProtection="1">
      <alignment horizontal="center"/>
    </xf>
    <xf numFmtId="173" fontId="8" fillId="0" borderId="4" xfId="31" applyNumberFormat="1" applyFont="1" applyBorder="1" applyAlignment="1" applyProtection="1">
      <alignment horizontal="center"/>
    </xf>
    <xf numFmtId="0" fontId="8" fillId="0" borderId="4" xfId="31" applyFont="1" applyBorder="1" applyAlignment="1" applyProtection="1">
      <alignment horizontal="center"/>
    </xf>
    <xf numFmtId="0" fontId="20" fillId="0" borderId="0" xfId="31" applyFont="1" applyProtection="1"/>
    <xf numFmtId="173" fontId="8" fillId="0" borderId="7" xfId="31" applyNumberFormat="1" applyFont="1" applyBorder="1" applyAlignment="1" applyProtection="1">
      <alignment horizontal="center"/>
    </xf>
    <xf numFmtId="0" fontId="8" fillId="0" borderId="7" xfId="31" applyFont="1" applyBorder="1" applyAlignment="1" applyProtection="1">
      <alignment horizontal="center"/>
    </xf>
    <xf numFmtId="0" fontId="8" fillId="0" borderId="1" xfId="31" applyFont="1" applyBorder="1" applyProtection="1"/>
    <xf numFmtId="173" fontId="8" fillId="0" borderId="12" xfId="31" applyNumberFormat="1" applyFont="1" applyBorder="1" applyAlignment="1" applyProtection="1">
      <alignment horizontal="center"/>
    </xf>
    <xf numFmtId="172" fontId="8" fillId="0" borderId="12" xfId="31" applyNumberFormat="1" applyFont="1" applyBorder="1" applyAlignment="1" applyProtection="1">
      <alignment horizontal="center"/>
    </xf>
    <xf numFmtId="173" fontId="8" fillId="0" borderId="12" xfId="31" applyNumberFormat="1" applyFont="1" applyBorder="1" applyAlignment="1" applyProtection="1">
      <alignment horizontal="left"/>
    </xf>
    <xf numFmtId="3" fontId="8" fillId="2" borderId="12" xfId="31" applyNumberFormat="1" applyFont="1" applyFill="1" applyBorder="1" applyAlignment="1" applyProtection="1">
      <protection locked="0"/>
    </xf>
    <xf numFmtId="3" fontId="8" fillId="0" borderId="12" xfId="31" applyNumberFormat="1" applyFont="1" applyFill="1" applyBorder="1" applyAlignment="1" applyProtection="1"/>
    <xf numFmtId="38" fontId="8" fillId="0" borderId="0" xfId="31" applyNumberFormat="1" applyFont="1" applyBorder="1" applyAlignment="1" applyProtection="1">
      <alignment horizontal="right"/>
    </xf>
    <xf numFmtId="173" fontId="8" fillId="0" borderId="7" xfId="31" applyNumberFormat="1" applyFont="1" applyBorder="1" applyAlignment="1" applyProtection="1">
      <alignment horizontal="left"/>
    </xf>
    <xf numFmtId="3" fontId="8" fillId="2" borderId="7" xfId="31" applyNumberFormat="1" applyFont="1" applyFill="1" applyBorder="1" applyAlignment="1" applyProtection="1">
      <protection locked="0"/>
    </xf>
    <xf numFmtId="173" fontId="8" fillId="0" borderId="4" xfId="31" applyNumberFormat="1" applyFont="1" applyBorder="1" applyAlignment="1" applyProtection="1">
      <alignment horizontal="left"/>
    </xf>
    <xf numFmtId="3" fontId="8" fillId="0" borderId="4" xfId="31" applyNumberFormat="1" applyFont="1" applyBorder="1" applyAlignment="1" applyProtection="1"/>
    <xf numFmtId="3" fontId="8" fillId="0" borderId="7" xfId="31" applyNumberFormat="1" applyFont="1" applyBorder="1" applyAlignment="1" applyProtection="1"/>
    <xf numFmtId="173" fontId="8" fillId="0" borderId="13" xfId="31" applyNumberFormat="1" applyFont="1" applyBorder="1" applyAlignment="1" applyProtection="1">
      <alignment horizontal="left"/>
    </xf>
    <xf numFmtId="173" fontId="8" fillId="0" borderId="13" xfId="31" applyNumberFormat="1" applyFont="1" applyBorder="1" applyAlignment="1" applyProtection="1">
      <alignment horizontal="center"/>
    </xf>
    <xf numFmtId="3" fontId="8" fillId="2" borderId="13" xfId="31" applyNumberFormat="1" applyFont="1" applyFill="1" applyBorder="1" applyAlignment="1" applyProtection="1">
      <protection locked="0"/>
    </xf>
    <xf numFmtId="173" fontId="25" fillId="0" borderId="12" xfId="31" applyNumberFormat="1" applyFont="1" applyBorder="1" applyAlignment="1" applyProtection="1">
      <alignment horizontal="left"/>
    </xf>
    <xf numFmtId="3" fontId="8" fillId="2" borderId="4" xfId="31" applyNumberFormat="1" applyFont="1" applyFill="1" applyBorder="1" applyAlignment="1" applyProtection="1">
      <protection locked="0"/>
    </xf>
    <xf numFmtId="3" fontId="8" fillId="2" borderId="3" xfId="31" applyNumberFormat="1" applyFont="1" applyFill="1" applyBorder="1" applyAlignment="1" applyProtection="1">
      <protection locked="0"/>
    </xf>
    <xf numFmtId="173" fontId="8" fillId="0" borderId="0" xfId="31" applyNumberFormat="1" applyFont="1" applyBorder="1" applyAlignment="1" applyProtection="1">
      <alignment horizontal="left"/>
    </xf>
    <xf numFmtId="173" fontId="8" fillId="0" borderId="0" xfId="31" applyNumberFormat="1" applyFont="1" applyBorder="1" applyAlignment="1" applyProtection="1">
      <alignment horizontal="center"/>
    </xf>
    <xf numFmtId="0" fontId="8" fillId="0" borderId="0" xfId="31" applyFont="1" applyBorder="1" applyAlignment="1" applyProtection="1">
      <alignment horizontal="left"/>
    </xf>
    <xf numFmtId="38" fontId="12" fillId="0" borderId="0" xfId="31" applyNumberFormat="1" applyFont="1" applyBorder="1" applyAlignment="1" applyProtection="1">
      <alignment horizontal="right"/>
    </xf>
    <xf numFmtId="0" fontId="8" fillId="0" borderId="0" xfId="31" applyFont="1" applyAlignment="1" applyProtection="1">
      <alignment horizontal="centerContinuous"/>
    </xf>
    <xf numFmtId="0" fontId="8" fillId="0" borderId="0" xfId="31" applyFont="1" applyAlignment="1" applyProtection="1">
      <alignment horizontal="centerContinuous"/>
      <protection locked="0"/>
    </xf>
    <xf numFmtId="173" fontId="20" fillId="0" borderId="0" xfId="31" applyNumberFormat="1" applyFont="1" applyAlignment="1" applyProtection="1">
      <alignment horizontal="center"/>
    </xf>
    <xf numFmtId="0" fontId="8" fillId="0" borderId="0" xfId="34" applyFont="1" applyAlignment="1" applyProtection="1">
      <alignment horizontal="right"/>
    </xf>
    <xf numFmtId="164" fontId="8" fillId="0" borderId="0" xfId="34" applyNumberFormat="1" applyFont="1" applyAlignment="1" applyProtection="1">
      <alignment horizontal="center"/>
    </xf>
    <xf numFmtId="0" fontId="8" fillId="0" borderId="0" xfId="34" applyFont="1" applyProtection="1"/>
    <xf numFmtId="0" fontId="20" fillId="0" borderId="0" xfId="34" applyFont="1" applyProtection="1">
      <protection locked="0"/>
    </xf>
    <xf numFmtId="173" fontId="8" fillId="0" borderId="0" xfId="34" applyNumberFormat="1" applyFont="1" applyAlignment="1" applyProtection="1">
      <alignment horizontal="center"/>
    </xf>
    <xf numFmtId="0" fontId="8" fillId="0" borderId="0" xfId="34" applyFont="1" applyAlignment="1" applyProtection="1">
      <alignment horizontal="center"/>
    </xf>
    <xf numFmtId="0" fontId="12" fillId="0" borderId="0" xfId="34" applyFont="1" applyAlignment="1" applyProtection="1">
      <alignment horizontal="center"/>
    </xf>
    <xf numFmtId="173" fontId="8" fillId="0" borderId="4" xfId="34" applyNumberFormat="1" applyFont="1" applyBorder="1" applyAlignment="1" applyProtection="1">
      <alignment horizontal="center"/>
    </xf>
    <xf numFmtId="0" fontId="8" fillId="0" borderId="4" xfId="34" applyFont="1" applyBorder="1" applyAlignment="1" applyProtection="1">
      <alignment horizontal="center"/>
    </xf>
    <xf numFmtId="0" fontId="20" fillId="0" borderId="0" xfId="34" applyFont="1" applyProtection="1"/>
    <xf numFmtId="173" fontId="8" fillId="0" borderId="7" xfId="34" applyNumberFormat="1" applyFont="1" applyBorder="1" applyAlignment="1" applyProtection="1">
      <alignment horizontal="center"/>
    </xf>
    <xf numFmtId="0" fontId="8" fillId="0" borderId="7" xfId="34" applyFont="1" applyBorder="1" applyAlignment="1" applyProtection="1">
      <alignment horizontal="center"/>
    </xf>
    <xf numFmtId="173" fontId="8" fillId="0" borderId="12" xfId="34" applyNumberFormat="1" applyFont="1" applyBorder="1" applyAlignment="1" applyProtection="1">
      <alignment horizontal="center"/>
    </xf>
    <xf numFmtId="172" fontId="8" fillId="0" borderId="12" xfId="34" applyNumberFormat="1" applyFont="1" applyBorder="1" applyAlignment="1" applyProtection="1">
      <alignment horizontal="center"/>
    </xf>
    <xf numFmtId="173" fontId="8" fillId="0" borderId="7" xfId="34" applyNumberFormat="1" applyFont="1" applyBorder="1" applyAlignment="1" applyProtection="1">
      <alignment horizontal="left"/>
    </xf>
    <xf numFmtId="3" fontId="8" fillId="2" borderId="7" xfId="34" applyNumberFormat="1" applyFont="1" applyFill="1" applyBorder="1" applyAlignment="1" applyProtection="1">
      <protection locked="0"/>
    </xf>
    <xf numFmtId="3" fontId="8" fillId="0" borderId="7" xfId="34" applyNumberFormat="1" applyFont="1" applyFill="1" applyBorder="1" applyAlignment="1" applyProtection="1"/>
    <xf numFmtId="3" fontId="8" fillId="0" borderId="13" xfId="34" applyNumberFormat="1" applyFont="1" applyFill="1" applyBorder="1" applyAlignment="1" applyProtection="1"/>
    <xf numFmtId="173" fontId="8" fillId="0" borderId="4" xfId="34" applyNumberFormat="1" applyFont="1" applyBorder="1" applyAlignment="1" applyProtection="1">
      <alignment horizontal="left"/>
    </xf>
    <xf numFmtId="3" fontId="8" fillId="0" borderId="4" xfId="34" applyNumberFormat="1" applyFont="1" applyBorder="1" applyAlignment="1" applyProtection="1"/>
    <xf numFmtId="3" fontId="8" fillId="0" borderId="7" xfId="34" applyNumberFormat="1" applyFont="1" applyBorder="1" applyAlignment="1" applyProtection="1"/>
    <xf numFmtId="173" fontId="8" fillId="0" borderId="12" xfId="34" applyNumberFormat="1" applyFont="1" applyBorder="1" applyAlignment="1" applyProtection="1">
      <alignment horizontal="left"/>
    </xf>
    <xf numFmtId="3" fontId="8" fillId="2" borderId="12" xfId="34" applyNumberFormat="1" applyFont="1" applyFill="1" applyBorder="1" applyAlignment="1" applyProtection="1">
      <protection locked="0"/>
    </xf>
    <xf numFmtId="173" fontId="8" fillId="0" borderId="13" xfId="34" applyNumberFormat="1" applyFont="1" applyBorder="1" applyAlignment="1" applyProtection="1">
      <alignment horizontal="left"/>
    </xf>
    <xf numFmtId="173" fontId="8" fillId="0" borderId="13" xfId="34" applyNumberFormat="1" applyFont="1" applyBorder="1" applyAlignment="1" applyProtection="1">
      <alignment horizontal="center"/>
    </xf>
    <xf numFmtId="3" fontId="8" fillId="2" borderId="13" xfId="34" applyNumberFormat="1" applyFont="1" applyFill="1" applyBorder="1" applyAlignment="1" applyProtection="1">
      <protection locked="0"/>
    </xf>
    <xf numFmtId="3" fontId="8" fillId="0" borderId="12" xfId="34" applyNumberFormat="1" applyFont="1" applyFill="1" applyBorder="1" applyAlignment="1" applyProtection="1"/>
    <xf numFmtId="3" fontId="8" fillId="0" borderId="0" xfId="34" applyNumberFormat="1" applyFont="1" applyAlignment="1" applyProtection="1"/>
    <xf numFmtId="3" fontId="8" fillId="0" borderId="4" xfId="34" applyNumberFormat="1" applyFont="1" applyBorder="1" applyAlignment="1" applyProtection="1">
      <protection locked="0"/>
    </xf>
    <xf numFmtId="0" fontId="8" fillId="0" borderId="13" xfId="34" applyFont="1" applyBorder="1" applyAlignment="1" applyProtection="1">
      <alignment horizontal="left"/>
    </xf>
    <xf numFmtId="0" fontId="8" fillId="0" borderId="13" xfId="34" applyFont="1" applyBorder="1" applyAlignment="1" applyProtection="1">
      <alignment horizontal="center"/>
    </xf>
    <xf numFmtId="3" fontId="8" fillId="0" borderId="4" xfId="34" applyNumberFormat="1" applyFont="1" applyFill="1" applyBorder="1" applyAlignment="1" applyProtection="1"/>
    <xf numFmtId="0" fontId="8" fillId="0" borderId="4" xfId="34" applyFont="1" applyBorder="1" applyAlignment="1" applyProtection="1">
      <alignment horizontal="left"/>
    </xf>
    <xf numFmtId="0" fontId="8" fillId="0" borderId="12" xfId="34" applyFont="1" applyBorder="1" applyAlignment="1" applyProtection="1">
      <alignment horizontal="left"/>
    </xf>
    <xf numFmtId="0" fontId="8" fillId="0" borderId="12" xfId="34" applyFont="1" applyBorder="1" applyAlignment="1" applyProtection="1">
      <alignment horizontal="center"/>
    </xf>
    <xf numFmtId="0" fontId="12" fillId="3" borderId="12" xfId="34" applyFont="1" applyFill="1" applyBorder="1" applyAlignment="1" applyProtection="1">
      <alignment horizontal="left"/>
    </xf>
    <xf numFmtId="0" fontId="8" fillId="0" borderId="7" xfId="34" applyFont="1" applyBorder="1" applyAlignment="1" applyProtection="1">
      <alignment horizontal="left"/>
    </xf>
    <xf numFmtId="3" fontId="8" fillId="4" borderId="12" xfId="34" applyNumberFormat="1" applyFont="1" applyFill="1" applyBorder="1" applyAlignment="1" applyProtection="1">
      <protection locked="0"/>
    </xf>
    <xf numFmtId="3" fontId="8" fillId="5" borderId="13" xfId="34" applyNumberFormat="1" applyFont="1" applyFill="1" applyBorder="1" applyAlignment="1" applyProtection="1">
      <protection locked="0"/>
    </xf>
    <xf numFmtId="0" fontId="12" fillId="0" borderId="13" xfId="34" applyFont="1" applyBorder="1" applyAlignment="1" applyProtection="1">
      <alignment horizontal="left"/>
    </xf>
    <xf numFmtId="3" fontId="8" fillId="6" borderId="13" xfId="34" applyNumberFormat="1" applyFont="1" applyFill="1" applyBorder="1" applyAlignment="1" applyProtection="1">
      <protection locked="0"/>
    </xf>
    <xf numFmtId="3" fontId="8" fillId="7" borderId="13" xfId="34" applyNumberFormat="1" applyFont="1" applyFill="1" applyBorder="1" applyAlignment="1" applyProtection="1">
      <protection locked="0"/>
    </xf>
    <xf numFmtId="3" fontId="8" fillId="3" borderId="12" xfId="34" applyNumberFormat="1" applyFont="1" applyFill="1" applyBorder="1" applyAlignment="1" applyProtection="1"/>
    <xf numFmtId="38" fontId="8" fillId="0" borderId="2" xfId="34" applyNumberFormat="1" applyFont="1" applyBorder="1" applyAlignment="1" applyProtection="1">
      <alignment horizontal="left"/>
    </xf>
    <xf numFmtId="38" fontId="8" fillId="0" borderId="14" xfId="34" applyNumberFormat="1" applyFont="1" applyBorder="1" applyAlignment="1" applyProtection="1">
      <alignment horizontal="right"/>
    </xf>
    <xf numFmtId="38" fontId="8" fillId="0" borderId="3" xfId="34" applyNumberFormat="1" applyFont="1" applyBorder="1" applyAlignment="1" applyProtection="1">
      <alignment horizontal="right"/>
    </xf>
    <xf numFmtId="0" fontId="8" fillId="0" borderId="3" xfId="34" applyFont="1" applyBorder="1" applyProtection="1"/>
    <xf numFmtId="0" fontId="8" fillId="0" borderId="0" xfId="34" applyFont="1" applyProtection="1">
      <protection locked="0"/>
    </xf>
    <xf numFmtId="0" fontId="12" fillId="0" borderId="0" xfId="34" applyFont="1" applyProtection="1"/>
    <xf numFmtId="0" fontId="8" fillId="0" borderId="0" xfId="34" applyFont="1" applyAlignment="1" applyProtection="1">
      <alignment horizontal="centerContinuous"/>
    </xf>
    <xf numFmtId="0" fontId="8" fillId="0" borderId="0" xfId="34" applyFont="1" applyAlignment="1" applyProtection="1">
      <alignment horizontal="centerContinuous"/>
      <protection locked="0"/>
    </xf>
    <xf numFmtId="173" fontId="20" fillId="0" borderId="0" xfId="34" applyNumberFormat="1" applyFont="1" applyAlignment="1" applyProtection="1">
      <alignment horizontal="center"/>
    </xf>
    <xf numFmtId="0" fontId="8" fillId="0" borderId="0" xfId="35" applyFont="1" applyAlignment="1" applyProtection="1">
      <alignment horizontal="right"/>
    </xf>
    <xf numFmtId="164" fontId="8" fillId="0" borderId="0" xfId="35" applyNumberFormat="1" applyFont="1" applyAlignment="1" applyProtection="1">
      <alignment horizontal="center"/>
    </xf>
    <xf numFmtId="0" fontId="8" fillId="0" borderId="0" xfId="35" applyFont="1" applyProtection="1"/>
    <xf numFmtId="0" fontId="20" fillId="0" borderId="0" xfId="35" applyFont="1" applyProtection="1">
      <protection locked="0"/>
    </xf>
    <xf numFmtId="173" fontId="8" fillId="0" borderId="0" xfId="35" applyNumberFormat="1" applyFont="1" applyAlignment="1" applyProtection="1">
      <alignment horizontal="center"/>
    </xf>
    <xf numFmtId="0" fontId="8" fillId="0" borderId="0" xfId="35" applyFont="1" applyAlignment="1" applyProtection="1">
      <alignment horizontal="center"/>
    </xf>
    <xf numFmtId="0" fontId="12" fillId="0" borderId="0" xfId="35" applyFont="1" applyAlignment="1" applyProtection="1">
      <alignment horizontal="center"/>
    </xf>
    <xf numFmtId="173" fontId="8" fillId="0" borderId="4" xfId="35" applyNumberFormat="1" applyFont="1" applyBorder="1" applyAlignment="1" applyProtection="1">
      <alignment horizontal="center"/>
    </xf>
    <xf numFmtId="0" fontId="8" fillId="0" borderId="4" xfId="35" applyFont="1" applyBorder="1" applyAlignment="1" applyProtection="1">
      <alignment horizontal="center"/>
    </xf>
    <xf numFmtId="0" fontId="20" fillId="0" borderId="0" xfId="35" applyFont="1" applyProtection="1"/>
    <xf numFmtId="173" fontId="8" fillId="0" borderId="7" xfId="35" applyNumberFormat="1" applyFont="1" applyBorder="1" applyAlignment="1" applyProtection="1">
      <alignment horizontal="center"/>
    </xf>
    <xf numFmtId="0" fontId="8" fillId="0" borderId="7" xfId="35" applyFont="1" applyBorder="1" applyAlignment="1" applyProtection="1">
      <alignment horizontal="center"/>
    </xf>
    <xf numFmtId="173" fontId="8" fillId="0" borderId="12" xfId="35" applyNumberFormat="1" applyFont="1" applyBorder="1" applyAlignment="1" applyProtection="1">
      <alignment horizontal="center"/>
    </xf>
    <xf numFmtId="172" fontId="8" fillId="0" borderId="12" xfId="35" applyNumberFormat="1" applyFont="1" applyBorder="1" applyAlignment="1" applyProtection="1">
      <alignment horizontal="center"/>
    </xf>
    <xf numFmtId="173" fontId="8" fillId="0" borderId="7" xfId="35" applyNumberFormat="1" applyFont="1" applyBorder="1" applyAlignment="1" applyProtection="1">
      <alignment horizontal="left"/>
    </xf>
    <xf numFmtId="3" fontId="8" fillId="2" borderId="7" xfId="35" applyNumberFormat="1" applyFont="1" applyFill="1" applyBorder="1" applyAlignment="1" applyProtection="1">
      <protection locked="0"/>
    </xf>
    <xf numFmtId="3" fontId="8" fillId="0" borderId="7" xfId="35" applyNumberFormat="1" applyFont="1" applyFill="1" applyBorder="1" applyAlignment="1" applyProtection="1"/>
    <xf numFmtId="3" fontId="8" fillId="0" borderId="13" xfId="35" applyNumberFormat="1" applyFont="1" applyFill="1" applyBorder="1" applyAlignment="1" applyProtection="1"/>
    <xf numFmtId="173" fontId="8" fillId="0" borderId="4" xfId="35" applyNumberFormat="1" applyFont="1" applyBorder="1" applyAlignment="1" applyProtection="1">
      <alignment horizontal="left"/>
    </xf>
    <xf numFmtId="3" fontId="8" fillId="0" borderId="4" xfId="35" applyNumberFormat="1" applyFont="1" applyBorder="1" applyAlignment="1" applyProtection="1"/>
    <xf numFmtId="3" fontId="8" fillId="0" borderId="7" xfId="35" applyNumberFormat="1" applyFont="1" applyBorder="1" applyAlignment="1" applyProtection="1"/>
    <xf numFmtId="173" fontId="8" fillId="0" borderId="12" xfId="35" applyNumberFormat="1" applyFont="1" applyBorder="1" applyAlignment="1" applyProtection="1">
      <alignment horizontal="left"/>
    </xf>
    <xf numFmtId="3" fontId="8" fillId="2" borderId="12" xfId="35" applyNumberFormat="1" applyFont="1" applyFill="1" applyBorder="1" applyAlignment="1" applyProtection="1">
      <protection locked="0"/>
    </xf>
    <xf numFmtId="173" fontId="8" fillId="0" borderId="13" xfId="35" applyNumberFormat="1" applyFont="1" applyBorder="1" applyAlignment="1" applyProtection="1">
      <alignment horizontal="left"/>
    </xf>
    <xf numFmtId="173" fontId="8" fillId="0" borderId="13" xfId="35" applyNumberFormat="1" applyFont="1" applyBorder="1" applyAlignment="1" applyProtection="1">
      <alignment horizontal="center"/>
    </xf>
    <xf numFmtId="3" fontId="8" fillId="2" borderId="13" xfId="35" applyNumberFormat="1" applyFont="1" applyFill="1" applyBorder="1" applyAlignment="1" applyProtection="1">
      <protection locked="0"/>
    </xf>
    <xf numFmtId="3" fontId="8" fillId="0" borderId="12" xfId="35" applyNumberFormat="1" applyFont="1" applyFill="1" applyBorder="1" applyAlignment="1" applyProtection="1"/>
    <xf numFmtId="3" fontId="8" fillId="0" borderId="0" xfId="35" applyNumberFormat="1" applyFont="1" applyAlignment="1" applyProtection="1"/>
    <xf numFmtId="3" fontId="8" fillId="0" borderId="4" xfId="35" applyNumberFormat="1" applyFont="1" applyFill="1" applyBorder="1" applyAlignment="1" applyProtection="1"/>
    <xf numFmtId="0" fontId="8" fillId="0" borderId="13" xfId="35" applyFont="1" applyBorder="1" applyAlignment="1" applyProtection="1">
      <alignment horizontal="left"/>
    </xf>
    <xf numFmtId="0" fontId="8" fillId="0" borderId="13" xfId="35" applyFont="1" applyBorder="1" applyAlignment="1" applyProtection="1">
      <alignment horizontal="center"/>
    </xf>
    <xf numFmtId="0" fontId="8" fillId="0" borderId="4" xfId="35" applyFont="1" applyBorder="1" applyAlignment="1" applyProtection="1">
      <alignment horizontal="left"/>
    </xf>
    <xf numFmtId="3" fontId="8" fillId="0" borderId="7" xfId="35" applyNumberFormat="1" applyFont="1" applyFill="1" applyBorder="1" applyAlignment="1" applyProtection="1">
      <protection locked="0"/>
    </xf>
    <xf numFmtId="0" fontId="8" fillId="0" borderId="12" xfId="35" applyFont="1" applyBorder="1" applyAlignment="1" applyProtection="1">
      <alignment horizontal="left"/>
    </xf>
    <xf numFmtId="0" fontId="8" fillId="0" borderId="12" xfId="35" applyFont="1" applyBorder="1" applyAlignment="1" applyProtection="1">
      <alignment horizontal="center"/>
    </xf>
    <xf numFmtId="0" fontId="12" fillId="3" borderId="12" xfId="35" applyFont="1" applyFill="1" applyBorder="1" applyAlignment="1" applyProtection="1">
      <alignment horizontal="left"/>
    </xf>
    <xf numFmtId="0" fontId="8" fillId="0" borderId="7" xfId="35" applyFont="1" applyBorder="1" applyAlignment="1" applyProtection="1">
      <alignment horizontal="left"/>
    </xf>
    <xf numFmtId="0" fontId="12" fillId="0" borderId="13" xfId="35" applyFont="1" applyBorder="1" applyAlignment="1" applyProtection="1">
      <alignment horizontal="left"/>
    </xf>
    <xf numFmtId="38" fontId="8" fillId="3" borderId="12" xfId="35" applyNumberFormat="1" applyFont="1" applyFill="1" applyBorder="1" applyAlignment="1" applyProtection="1">
      <alignment horizontal="right"/>
    </xf>
    <xf numFmtId="38" fontId="8" fillId="0" borderId="12" xfId="35" applyNumberFormat="1" applyFont="1" applyFill="1" applyBorder="1" applyAlignment="1" applyProtection="1">
      <alignment horizontal="right"/>
    </xf>
    <xf numFmtId="38" fontId="8" fillId="0" borderId="12" xfId="35" applyNumberFormat="1" applyFont="1" applyFill="1" applyBorder="1" applyAlignment="1" applyProtection="1"/>
    <xf numFmtId="3" fontId="8" fillId="3" borderId="3" xfId="35" applyNumberFormat="1" applyFont="1" applyFill="1" applyBorder="1" applyAlignment="1" applyProtection="1"/>
    <xf numFmtId="38" fontId="8" fillId="0" borderId="2" xfId="35" applyNumberFormat="1" applyFont="1" applyBorder="1" applyAlignment="1" applyProtection="1">
      <alignment horizontal="left"/>
    </xf>
    <xf numFmtId="38" fontId="8" fillId="0" borderId="14" xfId="35" applyNumberFormat="1" applyFont="1" applyBorder="1" applyAlignment="1" applyProtection="1">
      <alignment horizontal="right"/>
    </xf>
    <xf numFmtId="38" fontId="8" fillId="0" borderId="3" xfId="35" applyNumberFormat="1" applyFont="1" applyBorder="1" applyAlignment="1" applyProtection="1">
      <alignment horizontal="right"/>
    </xf>
    <xf numFmtId="0" fontId="8" fillId="0" borderId="3" xfId="35" applyFont="1" applyBorder="1" applyProtection="1"/>
    <xf numFmtId="0" fontId="12" fillId="0" borderId="0" xfId="35" applyFont="1" applyProtection="1"/>
    <xf numFmtId="0" fontId="8" fillId="0" borderId="0" xfId="35" applyFont="1" applyAlignment="1" applyProtection="1">
      <alignment horizontal="centerContinuous"/>
    </xf>
    <xf numFmtId="0" fontId="8" fillId="0" borderId="0" xfId="35" applyFont="1" applyProtection="1">
      <protection locked="0"/>
    </xf>
    <xf numFmtId="173" fontId="20" fillId="0" borderId="0" xfId="35" applyNumberFormat="1" applyFont="1" applyAlignment="1" applyProtection="1">
      <alignment horizontal="center"/>
    </xf>
    <xf numFmtId="0" fontId="8" fillId="0" borderId="0" xfId="36" applyFont="1" applyProtection="1"/>
    <xf numFmtId="173" fontId="8" fillId="0" borderId="0" xfId="36" applyNumberFormat="1" applyFont="1" applyAlignment="1" applyProtection="1">
      <alignment horizontal="center"/>
    </xf>
    <xf numFmtId="0" fontId="8" fillId="0" borderId="0" xfId="36" applyFont="1" applyAlignment="1" applyProtection="1">
      <alignment horizontal="left"/>
    </xf>
    <xf numFmtId="0" fontId="8" fillId="0" borderId="0" xfId="36" applyFont="1" applyAlignment="1" applyProtection="1">
      <alignment horizontal="right"/>
    </xf>
    <xf numFmtId="0" fontId="20" fillId="0" borderId="0" xfId="36" applyFont="1" applyProtection="1">
      <protection locked="0"/>
    </xf>
    <xf numFmtId="0" fontId="8" fillId="0" borderId="0" xfId="36" applyFont="1" applyAlignment="1" applyProtection="1">
      <alignment horizontal="center"/>
    </xf>
    <xf numFmtId="0" fontId="12" fillId="0" borderId="0" xfId="36" applyFont="1" applyAlignment="1" applyProtection="1">
      <alignment horizontal="center"/>
    </xf>
    <xf numFmtId="173" fontId="8" fillId="0" borderId="4" xfId="36" applyNumberFormat="1" applyFont="1" applyBorder="1" applyAlignment="1" applyProtection="1">
      <alignment horizontal="center"/>
    </xf>
    <xf numFmtId="0" fontId="8" fillId="0" borderId="4" xfId="36" applyFont="1" applyBorder="1" applyAlignment="1" applyProtection="1">
      <alignment horizontal="center"/>
    </xf>
    <xf numFmtId="0" fontId="20" fillId="0" borderId="0" xfId="36" applyFont="1" applyProtection="1"/>
    <xf numFmtId="173" fontId="8" fillId="0" borderId="7" xfId="36" applyNumberFormat="1" applyFont="1" applyBorder="1" applyAlignment="1" applyProtection="1">
      <alignment horizontal="center"/>
    </xf>
    <xf numFmtId="0" fontId="8" fillId="0" borderId="7" xfId="36" applyFont="1" applyBorder="1" applyAlignment="1" applyProtection="1">
      <alignment horizontal="center"/>
    </xf>
    <xf numFmtId="0" fontId="8" fillId="0" borderId="1" xfId="36" applyFont="1" applyBorder="1" applyProtection="1"/>
    <xf numFmtId="173" fontId="8" fillId="0" borderId="12" xfId="36" applyNumberFormat="1" applyFont="1" applyBorder="1" applyAlignment="1" applyProtection="1">
      <alignment horizontal="center"/>
    </xf>
    <xf numFmtId="172" fontId="8" fillId="0" borderId="12" xfId="36" applyNumberFormat="1" applyFont="1" applyBorder="1" applyAlignment="1" applyProtection="1">
      <alignment horizontal="center"/>
    </xf>
    <xf numFmtId="173" fontId="8" fillId="0" borderId="7" xfId="36" applyNumberFormat="1" applyFont="1" applyBorder="1" applyAlignment="1" applyProtection="1">
      <alignment horizontal="left"/>
    </xf>
    <xf numFmtId="3" fontId="8" fillId="2" borderId="7" xfId="36" applyNumberFormat="1" applyFont="1" applyFill="1" applyBorder="1" applyAlignment="1" applyProtection="1">
      <protection locked="0"/>
    </xf>
    <xf numFmtId="3" fontId="8" fillId="0" borderId="7" xfId="36" applyNumberFormat="1" applyFont="1" applyFill="1" applyBorder="1" applyAlignment="1" applyProtection="1"/>
    <xf numFmtId="3" fontId="8" fillId="0" borderId="13" xfId="36" applyNumberFormat="1" applyFont="1" applyFill="1" applyBorder="1" applyAlignment="1" applyProtection="1"/>
    <xf numFmtId="173" fontId="8" fillId="0" borderId="4" xfId="36" applyNumberFormat="1" applyFont="1" applyBorder="1" applyAlignment="1" applyProtection="1">
      <alignment horizontal="left"/>
    </xf>
    <xf numFmtId="3" fontId="8" fillId="0" borderId="4" xfId="36" applyNumberFormat="1" applyFont="1" applyBorder="1" applyAlignment="1" applyProtection="1"/>
    <xf numFmtId="3" fontId="8" fillId="0" borderId="7" xfId="36" applyNumberFormat="1" applyFont="1" applyBorder="1" applyAlignment="1" applyProtection="1"/>
    <xf numFmtId="173" fontId="8" fillId="0" borderId="12" xfId="36" applyNumberFormat="1" applyFont="1" applyBorder="1" applyAlignment="1" applyProtection="1">
      <alignment horizontal="left"/>
    </xf>
    <xf numFmtId="3" fontId="8" fillId="2" borderId="12" xfId="36" applyNumberFormat="1" applyFont="1" applyFill="1" applyBorder="1" applyAlignment="1" applyProtection="1">
      <protection locked="0"/>
    </xf>
    <xf numFmtId="173" fontId="8" fillId="0" borderId="13" xfId="36" applyNumberFormat="1" applyFont="1" applyBorder="1" applyAlignment="1" applyProtection="1">
      <alignment horizontal="left"/>
    </xf>
    <xf numFmtId="173" fontId="8" fillId="0" borderId="13" xfId="36" applyNumberFormat="1" applyFont="1" applyBorder="1" applyAlignment="1" applyProtection="1">
      <alignment horizontal="center"/>
    </xf>
    <xf numFmtId="3" fontId="8" fillId="2" borderId="13" xfId="36" applyNumberFormat="1" applyFont="1" applyFill="1" applyBorder="1" applyAlignment="1" applyProtection="1">
      <protection locked="0"/>
    </xf>
    <xf numFmtId="3" fontId="8" fillId="0" borderId="12" xfId="36" applyNumberFormat="1" applyFont="1" applyFill="1" applyBorder="1" applyAlignment="1" applyProtection="1"/>
    <xf numFmtId="3" fontId="8" fillId="0" borderId="4" xfId="36" applyNumberFormat="1" applyFont="1" applyFill="1" applyBorder="1" applyAlignment="1" applyProtection="1"/>
    <xf numFmtId="0" fontId="8" fillId="0" borderId="13" xfId="36" applyFont="1" applyBorder="1" applyAlignment="1" applyProtection="1">
      <alignment horizontal="left"/>
    </xf>
    <xf numFmtId="0" fontId="8" fillId="0" borderId="13" xfId="36" applyFont="1" applyBorder="1" applyAlignment="1" applyProtection="1">
      <alignment horizontal="center"/>
    </xf>
    <xf numFmtId="3" fontId="12" fillId="0" borderId="4" xfId="36" applyNumberFormat="1" applyFont="1" applyBorder="1" applyAlignment="1" applyProtection="1"/>
    <xf numFmtId="0" fontId="12" fillId="0" borderId="13" xfId="36" applyFont="1" applyBorder="1" applyAlignment="1" applyProtection="1">
      <alignment horizontal="center"/>
    </xf>
    <xf numFmtId="0" fontId="8" fillId="0" borderId="4" xfId="36" applyFont="1" applyBorder="1" applyAlignment="1" applyProtection="1">
      <alignment horizontal="left"/>
    </xf>
    <xf numFmtId="0" fontId="8" fillId="0" borderId="7" xfId="36" applyFont="1" applyBorder="1" applyAlignment="1" applyProtection="1">
      <alignment horizontal="left"/>
    </xf>
    <xf numFmtId="0" fontId="8" fillId="0" borderId="12" xfId="36" applyFont="1" applyBorder="1" applyAlignment="1" applyProtection="1">
      <alignment horizontal="left"/>
    </xf>
    <xf numFmtId="0" fontId="8" fillId="0" borderId="12" xfId="36" applyFont="1" applyBorder="1" applyAlignment="1" applyProtection="1">
      <alignment horizontal="center"/>
    </xf>
    <xf numFmtId="0" fontId="12" fillId="0" borderId="13" xfId="36" applyFont="1" applyBorder="1" applyAlignment="1" applyProtection="1">
      <alignment horizontal="left"/>
    </xf>
    <xf numFmtId="0" fontId="12" fillId="0" borderId="12" xfId="36" applyFont="1" applyBorder="1" applyAlignment="1" applyProtection="1">
      <alignment horizontal="center"/>
    </xf>
    <xf numFmtId="3" fontId="8" fillId="3" borderId="12" xfId="36" applyNumberFormat="1" applyFont="1" applyFill="1" applyBorder="1" applyAlignment="1" applyProtection="1"/>
    <xf numFmtId="0" fontId="12" fillId="0" borderId="0" xfId="36" applyFont="1" applyBorder="1" applyAlignment="1" applyProtection="1">
      <alignment horizontal="left"/>
    </xf>
    <xf numFmtId="3" fontId="8" fillId="0" borderId="2" xfId="36" applyNumberFormat="1" applyFont="1" applyBorder="1" applyAlignment="1" applyProtection="1"/>
    <xf numFmtId="3" fontId="8" fillId="0" borderId="14" xfId="36" applyNumberFormat="1" applyFont="1" applyBorder="1" applyAlignment="1" applyProtection="1"/>
    <xf numFmtId="3" fontId="8" fillId="0" borderId="3" xfId="36" applyNumberFormat="1" applyFont="1" applyBorder="1" applyAlignment="1" applyProtection="1"/>
    <xf numFmtId="0" fontId="8" fillId="0" borderId="0" xfId="36" applyFont="1" applyBorder="1" applyAlignment="1" applyProtection="1">
      <alignment horizontal="left"/>
    </xf>
    <xf numFmtId="0" fontId="8" fillId="0" borderId="0" xfId="36" applyFont="1" applyBorder="1" applyAlignment="1" applyProtection="1">
      <alignment horizontal="center"/>
    </xf>
    <xf numFmtId="0" fontId="8" fillId="0" borderId="0" xfId="36" applyFont="1" applyProtection="1">
      <protection locked="0"/>
    </xf>
    <xf numFmtId="0" fontId="8" fillId="0" borderId="0" xfId="36" applyFont="1" applyAlignment="1" applyProtection="1">
      <alignment horizontal="centerContinuous"/>
    </xf>
    <xf numFmtId="0" fontId="8" fillId="0" borderId="0" xfId="36" applyFont="1" applyAlignment="1" applyProtection="1">
      <alignment horizontal="centerContinuous"/>
      <protection locked="0"/>
    </xf>
    <xf numFmtId="173" fontId="20" fillId="0" borderId="0" xfId="36" applyNumberFormat="1" applyFont="1" applyAlignment="1" applyProtection="1">
      <alignment horizontal="center"/>
    </xf>
    <xf numFmtId="0" fontId="8" fillId="0" borderId="0" xfId="37" applyFont="1" applyAlignment="1" applyProtection="1">
      <alignment horizontal="right"/>
    </xf>
    <xf numFmtId="164" fontId="8" fillId="0" borderId="0" xfId="37" applyNumberFormat="1" applyFont="1" applyAlignment="1" applyProtection="1">
      <alignment horizontal="center"/>
    </xf>
    <xf numFmtId="0" fontId="8" fillId="0" borderId="0" xfId="37" applyFont="1" applyProtection="1"/>
    <xf numFmtId="0" fontId="20" fillId="0" borderId="0" xfId="37" applyFont="1" applyProtection="1">
      <protection locked="0"/>
    </xf>
    <xf numFmtId="173" fontId="8" fillId="0" borderId="0" xfId="37" applyNumberFormat="1" applyFont="1" applyAlignment="1" applyProtection="1">
      <alignment horizontal="center"/>
    </xf>
    <xf numFmtId="0" fontId="8" fillId="0" borderId="0" xfId="37" applyFont="1" applyAlignment="1" applyProtection="1">
      <alignment horizontal="center"/>
    </xf>
    <xf numFmtId="0" fontId="12" fillId="0" borderId="0" xfId="37" applyFont="1" applyAlignment="1" applyProtection="1">
      <alignment horizontal="center"/>
    </xf>
    <xf numFmtId="173" fontId="8" fillId="0" borderId="4" xfId="37" applyNumberFormat="1" applyFont="1" applyBorder="1" applyAlignment="1" applyProtection="1">
      <alignment horizontal="center"/>
    </xf>
    <xf numFmtId="0" fontId="8" fillId="0" borderId="4" xfId="37" applyFont="1" applyBorder="1" applyAlignment="1" applyProtection="1">
      <alignment horizontal="center"/>
    </xf>
    <xf numFmtId="0" fontId="20" fillId="0" borderId="0" xfId="37" applyFont="1" applyProtection="1"/>
    <xf numFmtId="173" fontId="8" fillId="0" borderId="7" xfId="37" applyNumberFormat="1" applyFont="1" applyBorder="1" applyAlignment="1" applyProtection="1">
      <alignment horizontal="center"/>
    </xf>
    <xf numFmtId="0" fontId="8" fillId="0" borderId="7" xfId="37" applyFont="1" applyBorder="1" applyAlignment="1" applyProtection="1">
      <alignment horizontal="center"/>
    </xf>
    <xf numFmtId="0" fontId="8" fillId="0" borderId="1" xfId="37" applyFont="1" applyBorder="1" applyProtection="1"/>
    <xf numFmtId="173" fontId="8" fillId="0" borderId="12" xfId="37" applyNumberFormat="1" applyFont="1" applyBorder="1" applyAlignment="1" applyProtection="1">
      <alignment horizontal="center"/>
    </xf>
    <xf numFmtId="172" fontId="8" fillId="0" borderId="12" xfId="37" applyNumberFormat="1" applyFont="1" applyBorder="1" applyAlignment="1" applyProtection="1">
      <alignment horizontal="center"/>
    </xf>
    <xf numFmtId="173" fontId="8" fillId="0" borderId="7" xfId="37" applyNumberFormat="1" applyFont="1" applyBorder="1" applyAlignment="1" applyProtection="1">
      <alignment horizontal="left"/>
    </xf>
    <xf numFmtId="3" fontId="8" fillId="2" borderId="7" xfId="37" applyNumberFormat="1" applyFont="1" applyFill="1" applyBorder="1" applyAlignment="1" applyProtection="1">
      <protection locked="0"/>
    </xf>
    <xf numFmtId="3" fontId="8" fillId="0" borderId="7" xfId="37" applyNumberFormat="1" applyFont="1" applyFill="1" applyBorder="1" applyAlignment="1" applyProtection="1"/>
    <xf numFmtId="3" fontId="8" fillId="0" borderId="13" xfId="37" applyNumberFormat="1" applyFont="1" applyFill="1" applyBorder="1" applyAlignment="1" applyProtection="1"/>
    <xf numFmtId="173" fontId="8" fillId="0" borderId="4" xfId="37" applyNumberFormat="1" applyFont="1" applyBorder="1" applyAlignment="1" applyProtection="1">
      <alignment horizontal="left"/>
    </xf>
    <xf numFmtId="3" fontId="8" fillId="0" borderId="4" xfId="37" applyNumberFormat="1" applyFont="1" applyBorder="1" applyAlignment="1" applyProtection="1"/>
    <xf numFmtId="3" fontId="8" fillId="0" borderId="7" xfId="37" applyNumberFormat="1" applyFont="1" applyBorder="1" applyAlignment="1" applyProtection="1"/>
    <xf numFmtId="173" fontId="8" fillId="0" borderId="12" xfId="37" applyNumberFormat="1" applyFont="1" applyBorder="1" applyAlignment="1" applyProtection="1">
      <alignment horizontal="left"/>
    </xf>
    <xf numFmtId="3" fontId="8" fillId="2" borderId="12" xfId="37" applyNumberFormat="1" applyFont="1" applyFill="1" applyBorder="1" applyAlignment="1" applyProtection="1">
      <protection locked="0"/>
    </xf>
    <xf numFmtId="173" fontId="8" fillId="0" borderId="13" xfId="37" applyNumberFormat="1" applyFont="1" applyBorder="1" applyAlignment="1" applyProtection="1">
      <alignment horizontal="left"/>
    </xf>
    <xf numFmtId="173" fontId="8" fillId="0" borderId="13" xfId="37" applyNumberFormat="1" applyFont="1" applyBorder="1" applyAlignment="1" applyProtection="1">
      <alignment horizontal="center"/>
    </xf>
    <xf numFmtId="3" fontId="8" fillId="2" borderId="13" xfId="37" applyNumberFormat="1" applyFont="1" applyFill="1" applyBorder="1" applyAlignment="1" applyProtection="1">
      <protection locked="0"/>
    </xf>
    <xf numFmtId="3" fontId="8" fillId="0" borderId="12" xfId="37" applyNumberFormat="1" applyFont="1" applyFill="1" applyBorder="1" applyAlignment="1" applyProtection="1"/>
    <xf numFmtId="3" fontId="8" fillId="0" borderId="4" xfId="37" applyNumberFormat="1" applyFont="1" applyBorder="1" applyAlignment="1" applyProtection="1">
      <protection locked="0"/>
    </xf>
    <xf numFmtId="0" fontId="8" fillId="0" borderId="13" xfId="37" applyFont="1" applyBorder="1" applyAlignment="1" applyProtection="1">
      <alignment horizontal="left"/>
    </xf>
    <xf numFmtId="0" fontId="8" fillId="0" borderId="13" xfId="37" applyFont="1" applyBorder="1" applyAlignment="1" applyProtection="1">
      <alignment horizontal="center"/>
    </xf>
    <xf numFmtId="3" fontId="12" fillId="0" borderId="4" xfId="37" applyNumberFormat="1" applyFont="1" applyBorder="1" applyAlignment="1" applyProtection="1"/>
    <xf numFmtId="0" fontId="8" fillId="0" borderId="4" xfId="37" applyFont="1" applyBorder="1" applyAlignment="1" applyProtection="1">
      <alignment horizontal="left"/>
    </xf>
    <xf numFmtId="0" fontId="8" fillId="0" borderId="7" xfId="37" applyFont="1" applyBorder="1" applyAlignment="1" applyProtection="1">
      <alignment horizontal="left"/>
    </xf>
    <xf numFmtId="0" fontId="8" fillId="0" borderId="12" xfId="37" applyFont="1" applyBorder="1" applyAlignment="1" applyProtection="1">
      <alignment horizontal="left"/>
    </xf>
    <xf numFmtId="0" fontId="8" fillId="0" borderId="12" xfId="37" applyFont="1" applyBorder="1" applyAlignment="1" applyProtection="1">
      <alignment horizontal="center"/>
    </xf>
    <xf numFmtId="0" fontId="12" fillId="0" borderId="12" xfId="37" applyFont="1" applyBorder="1" applyAlignment="1" applyProtection="1">
      <alignment horizontal="left"/>
    </xf>
    <xf numFmtId="0" fontId="12" fillId="0" borderId="12" xfId="37" applyFont="1" applyBorder="1" applyAlignment="1" applyProtection="1">
      <alignment horizontal="center"/>
    </xf>
    <xf numFmtId="38" fontId="8" fillId="3" borderId="12" xfId="37" applyNumberFormat="1" applyFont="1" applyFill="1" applyBorder="1" applyAlignment="1" applyProtection="1">
      <alignment horizontal="right"/>
    </xf>
    <xf numFmtId="38" fontId="8" fillId="0" borderId="12" xfId="37" applyNumberFormat="1" applyFont="1" applyFill="1" applyBorder="1" applyAlignment="1" applyProtection="1">
      <alignment horizontal="right"/>
    </xf>
    <xf numFmtId="38" fontId="8" fillId="0" borderId="12" xfId="37" applyNumberFormat="1" applyFont="1" applyFill="1" applyBorder="1" applyAlignment="1" applyProtection="1"/>
    <xf numFmtId="3" fontId="8" fillId="3" borderId="12" xfId="37" applyNumberFormat="1" applyFont="1" applyFill="1" applyBorder="1" applyAlignment="1" applyProtection="1"/>
    <xf numFmtId="0" fontId="12" fillId="0" borderId="0" xfId="37" applyFont="1" applyBorder="1" applyAlignment="1" applyProtection="1">
      <alignment horizontal="left"/>
    </xf>
    <xf numFmtId="38" fontId="8" fillId="0" borderId="2" xfId="37" applyNumberFormat="1" applyFont="1" applyBorder="1" applyAlignment="1" applyProtection="1">
      <alignment horizontal="left"/>
    </xf>
    <xf numFmtId="38" fontId="8" fillId="0" borderId="14" xfId="37" applyNumberFormat="1" applyFont="1" applyBorder="1" applyAlignment="1" applyProtection="1">
      <alignment horizontal="right"/>
    </xf>
    <xf numFmtId="38" fontId="8" fillId="0" borderId="3" xfId="37" applyNumberFormat="1" applyFont="1" applyFill="1" applyBorder="1" applyAlignment="1" applyProtection="1">
      <alignment horizontal="right"/>
    </xf>
    <xf numFmtId="0" fontId="8" fillId="0" borderId="0" xfId="37" applyFont="1" applyBorder="1" applyAlignment="1" applyProtection="1">
      <alignment horizontal="left"/>
    </xf>
    <xf numFmtId="38" fontId="8" fillId="0" borderId="3" xfId="37" applyNumberFormat="1" applyFont="1" applyBorder="1" applyAlignment="1" applyProtection="1">
      <alignment horizontal="right"/>
    </xf>
    <xf numFmtId="0" fontId="8" fillId="0" borderId="3" xfId="37" applyFont="1" applyBorder="1" applyProtection="1"/>
    <xf numFmtId="0" fontId="8" fillId="0" borderId="0" xfId="37" applyFont="1" applyBorder="1" applyAlignment="1" applyProtection="1">
      <alignment horizontal="center"/>
    </xf>
    <xf numFmtId="0" fontId="8" fillId="0" borderId="0" xfId="37" applyFont="1" applyProtection="1">
      <protection locked="0"/>
    </xf>
    <xf numFmtId="0" fontId="8" fillId="0" borderId="0" xfId="37" applyFont="1" applyAlignment="1" applyProtection="1">
      <alignment horizontal="centerContinuous"/>
    </xf>
    <xf numFmtId="0" fontId="8" fillId="0" borderId="0" xfId="37" applyFont="1" applyAlignment="1" applyProtection="1">
      <alignment horizontal="centerContinuous"/>
      <protection locked="0"/>
    </xf>
    <xf numFmtId="173" fontId="20" fillId="0" borderId="0" xfId="37" applyNumberFormat="1" applyFont="1" applyAlignment="1" applyProtection="1">
      <alignment horizontal="center"/>
    </xf>
    <xf numFmtId="0" fontId="8" fillId="0" borderId="0" xfId="38" applyFont="1" applyAlignment="1" applyProtection="1">
      <alignment horizontal="right"/>
    </xf>
    <xf numFmtId="164" fontId="8" fillId="0" borderId="0" xfId="38" applyNumberFormat="1" applyFont="1" applyAlignment="1" applyProtection="1">
      <alignment horizontal="center"/>
    </xf>
    <xf numFmtId="0" fontId="8" fillId="0" borderId="0" xfId="38" applyFont="1" applyProtection="1"/>
    <xf numFmtId="0" fontId="20" fillId="0" borderId="0" xfId="38" applyFont="1" applyProtection="1">
      <protection locked="0"/>
    </xf>
    <xf numFmtId="173" fontId="8" fillId="0" borderId="0" xfId="38" applyNumberFormat="1" applyFont="1" applyAlignment="1" applyProtection="1">
      <alignment horizontal="center"/>
    </xf>
    <xf numFmtId="0" fontId="8" fillId="0" borderId="0" xfId="38" applyFont="1" applyAlignment="1" applyProtection="1">
      <alignment horizontal="center"/>
    </xf>
    <xf numFmtId="0" fontId="12" fillId="0" borderId="0" xfId="38" applyFont="1" applyAlignment="1" applyProtection="1">
      <alignment horizontal="center"/>
    </xf>
    <xf numFmtId="173" fontId="8" fillId="0" borderId="4" xfId="38" applyNumberFormat="1" applyFont="1" applyBorder="1" applyAlignment="1" applyProtection="1">
      <alignment horizontal="center"/>
    </xf>
    <xf numFmtId="0" fontId="8" fillId="0" borderId="4" xfId="38" applyFont="1" applyBorder="1" applyAlignment="1" applyProtection="1">
      <alignment horizontal="center"/>
    </xf>
    <xf numFmtId="0" fontId="20" fillId="0" borderId="0" xfId="38" applyFont="1" applyProtection="1"/>
    <xf numFmtId="173" fontId="8" fillId="0" borderId="7" xfId="38" applyNumberFormat="1" applyFont="1" applyBorder="1" applyAlignment="1" applyProtection="1">
      <alignment horizontal="center"/>
    </xf>
    <xf numFmtId="0" fontId="8" fillId="0" borderId="7" xfId="38" applyFont="1" applyBorder="1" applyAlignment="1" applyProtection="1">
      <alignment horizontal="center"/>
    </xf>
    <xf numFmtId="0" fontId="8" fillId="0" borderId="1" xfId="38" applyFont="1" applyBorder="1" applyProtection="1"/>
    <xf numFmtId="173" fontId="8" fillId="0" borderId="12" xfId="38" applyNumberFormat="1" applyFont="1" applyBorder="1" applyAlignment="1" applyProtection="1">
      <alignment horizontal="center"/>
    </xf>
    <xf numFmtId="172" fontId="8" fillId="0" borderId="12" xfId="38" applyNumberFormat="1" applyFont="1" applyBorder="1" applyAlignment="1" applyProtection="1">
      <alignment horizontal="center"/>
    </xf>
    <xf numFmtId="173" fontId="8" fillId="0" borderId="7" xfId="38" applyNumberFormat="1" applyFont="1" applyBorder="1" applyAlignment="1" applyProtection="1">
      <alignment horizontal="left"/>
    </xf>
    <xf numFmtId="3" fontId="8" fillId="2" borderId="7" xfId="38" applyNumberFormat="1" applyFont="1" applyFill="1" applyBorder="1" applyAlignment="1" applyProtection="1">
      <protection locked="0"/>
    </xf>
    <xf numFmtId="3" fontId="8" fillId="0" borderId="7" xfId="38" applyNumberFormat="1" applyFont="1" applyFill="1" applyBorder="1" applyAlignment="1" applyProtection="1"/>
    <xf numFmtId="3" fontId="8" fillId="0" borderId="13" xfId="38" applyNumberFormat="1" applyFont="1" applyFill="1" applyBorder="1" applyAlignment="1" applyProtection="1"/>
    <xf numFmtId="173" fontId="8" fillId="0" borderId="4" xfId="38" applyNumberFormat="1" applyFont="1" applyBorder="1" applyAlignment="1" applyProtection="1">
      <alignment horizontal="left"/>
    </xf>
    <xf numFmtId="3" fontId="8" fillId="0" borderId="4" xfId="38" applyNumberFormat="1" applyFont="1" applyBorder="1" applyAlignment="1" applyProtection="1"/>
    <xf numFmtId="3" fontId="8" fillId="0" borderId="7" xfId="38" applyNumberFormat="1" applyFont="1" applyBorder="1" applyAlignment="1" applyProtection="1"/>
    <xf numFmtId="173" fontId="8" fillId="0" borderId="12" xfId="38" applyNumberFormat="1" applyFont="1" applyBorder="1" applyAlignment="1" applyProtection="1">
      <alignment horizontal="left"/>
    </xf>
    <xf numFmtId="3" fontId="8" fillId="2" borderId="12" xfId="38" applyNumberFormat="1" applyFont="1" applyFill="1" applyBorder="1" applyAlignment="1" applyProtection="1">
      <protection locked="0"/>
    </xf>
    <xf numFmtId="173" fontId="8" fillId="0" borderId="13" xfId="38" applyNumberFormat="1" applyFont="1" applyBorder="1" applyAlignment="1" applyProtection="1">
      <alignment horizontal="left"/>
    </xf>
    <xf numFmtId="173" fontId="8" fillId="0" borderId="13" xfId="38" applyNumberFormat="1" applyFont="1" applyBorder="1" applyAlignment="1" applyProtection="1">
      <alignment horizontal="center"/>
    </xf>
    <xf numFmtId="3" fontId="8" fillId="2" borderId="13" xfId="38" applyNumberFormat="1" applyFont="1" applyFill="1" applyBorder="1" applyAlignment="1" applyProtection="1">
      <protection locked="0"/>
    </xf>
    <xf numFmtId="3" fontId="8" fillId="0" borderId="12" xfId="38" applyNumberFormat="1" applyFont="1" applyFill="1" applyBorder="1" applyAlignment="1" applyProtection="1"/>
    <xf numFmtId="3" fontId="8" fillId="0" borderId="0" xfId="38" applyNumberFormat="1" applyFont="1" applyAlignment="1" applyProtection="1"/>
    <xf numFmtId="3" fontId="8" fillId="0" borderId="4" xfId="38" applyNumberFormat="1" applyFont="1" applyFill="1" applyBorder="1" applyAlignment="1" applyProtection="1"/>
    <xf numFmtId="3" fontId="8" fillId="0" borderId="4" xfId="38" applyNumberFormat="1" applyFont="1" applyBorder="1" applyAlignment="1" applyProtection="1">
      <protection locked="0"/>
    </xf>
    <xf numFmtId="0" fontId="8" fillId="0" borderId="13" xfId="38" applyFont="1" applyBorder="1" applyAlignment="1" applyProtection="1">
      <alignment horizontal="left"/>
    </xf>
    <xf numFmtId="0" fontId="8" fillId="0" borderId="13" xfId="38" applyFont="1" applyBorder="1" applyAlignment="1" applyProtection="1">
      <alignment horizontal="center"/>
    </xf>
    <xf numFmtId="3" fontId="12" fillId="0" borderId="4" xfId="38" applyNumberFormat="1" applyFont="1" applyBorder="1" applyAlignment="1" applyProtection="1"/>
    <xf numFmtId="3" fontId="12" fillId="0" borderId="4" xfId="38" applyNumberFormat="1" applyFont="1" applyFill="1" applyBorder="1" applyAlignment="1" applyProtection="1"/>
    <xf numFmtId="3" fontId="12" fillId="0" borderId="7" xfId="38" applyNumberFormat="1" applyFont="1" applyBorder="1" applyAlignment="1" applyProtection="1"/>
    <xf numFmtId="0" fontId="8" fillId="0" borderId="9" xfId="38" applyFont="1" applyBorder="1"/>
    <xf numFmtId="0" fontId="8" fillId="0" borderId="0" xfId="38" applyFont="1"/>
    <xf numFmtId="0" fontId="12" fillId="3" borderId="13" xfId="38" applyFont="1" applyFill="1" applyBorder="1" applyAlignment="1" applyProtection="1">
      <alignment horizontal="left"/>
    </xf>
    <xf numFmtId="0" fontId="12" fillId="0" borderId="13" xfId="38" applyFont="1" applyBorder="1" applyAlignment="1" applyProtection="1">
      <alignment horizontal="center"/>
    </xf>
    <xf numFmtId="0" fontId="8" fillId="0" borderId="4" xfId="38" applyFont="1" applyBorder="1" applyAlignment="1" applyProtection="1">
      <alignment horizontal="left"/>
    </xf>
    <xf numFmtId="0" fontId="8" fillId="0" borderId="7" xfId="38" applyFont="1" applyBorder="1" applyAlignment="1" applyProtection="1">
      <alignment horizontal="left"/>
    </xf>
    <xf numFmtId="0" fontId="12" fillId="0" borderId="7" xfId="38" applyFont="1" applyBorder="1" applyAlignment="1" applyProtection="1">
      <alignment horizontal="center"/>
    </xf>
    <xf numFmtId="0" fontId="8" fillId="0" borderId="12" xfId="38" applyFont="1" applyBorder="1" applyAlignment="1" applyProtection="1">
      <alignment horizontal="left"/>
    </xf>
    <xf numFmtId="0" fontId="8" fillId="0" borderId="12" xfId="38" applyFont="1" applyBorder="1" applyAlignment="1" applyProtection="1">
      <alignment horizontal="center"/>
    </xf>
    <xf numFmtId="3" fontId="8" fillId="0" borderId="7" xfId="38" applyNumberFormat="1" applyFont="1" applyBorder="1" applyAlignment="1" applyProtection="1">
      <protection locked="0"/>
    </xf>
    <xf numFmtId="0" fontId="12" fillId="0" borderId="13" xfId="38" applyFont="1" applyBorder="1" applyAlignment="1" applyProtection="1">
      <alignment horizontal="left"/>
    </xf>
    <xf numFmtId="3" fontId="8" fillId="3" borderId="13" xfId="38" applyNumberFormat="1" applyFont="1" applyFill="1" applyBorder="1" applyAlignment="1" applyProtection="1"/>
    <xf numFmtId="0" fontId="8" fillId="0" borderId="0" xfId="38" applyFont="1" applyBorder="1" applyAlignment="1" applyProtection="1">
      <alignment horizontal="center"/>
    </xf>
    <xf numFmtId="38" fontId="8" fillId="0" borderId="2" xfId="38" applyNumberFormat="1" applyFont="1" applyBorder="1" applyAlignment="1" applyProtection="1">
      <alignment horizontal="left"/>
    </xf>
    <xf numFmtId="38" fontId="8" fillId="0" borderId="14" xfId="38" applyNumberFormat="1" applyFont="1" applyBorder="1" applyAlignment="1" applyProtection="1">
      <alignment horizontal="right"/>
    </xf>
    <xf numFmtId="38" fontId="8" fillId="0" borderId="3" xfId="38" applyNumberFormat="1" applyFont="1" applyBorder="1" applyAlignment="1" applyProtection="1">
      <alignment horizontal="right"/>
    </xf>
    <xf numFmtId="0" fontId="8" fillId="0" borderId="3" xfId="38" applyFont="1" applyBorder="1" applyProtection="1"/>
    <xf numFmtId="0" fontId="8" fillId="0" borderId="0" xfId="38" applyFont="1" applyAlignment="1" applyProtection="1">
      <alignment horizontal="centerContinuous"/>
    </xf>
    <xf numFmtId="0" fontId="8" fillId="0" borderId="0" xfId="38" applyFont="1" applyProtection="1">
      <protection locked="0"/>
    </xf>
    <xf numFmtId="173" fontId="20" fillId="0" borderId="0" xfId="38" applyNumberFormat="1" applyFont="1" applyAlignment="1" applyProtection="1">
      <alignment horizontal="center"/>
    </xf>
    <xf numFmtId="0" fontId="8" fillId="0" borderId="0" xfId="39" applyFont="1" applyAlignment="1" applyProtection="1">
      <alignment horizontal="right"/>
    </xf>
    <xf numFmtId="164" fontId="8" fillId="0" borderId="0" xfId="39" applyNumberFormat="1" applyFont="1" applyAlignment="1" applyProtection="1">
      <alignment horizontal="center"/>
    </xf>
    <xf numFmtId="0" fontId="8" fillId="0" borderId="0" xfId="39" applyFont="1" applyProtection="1"/>
    <xf numFmtId="0" fontId="8" fillId="0" borderId="0" xfId="39" applyFont="1" applyProtection="1">
      <protection locked="0"/>
    </xf>
    <xf numFmtId="0" fontId="20" fillId="0" borderId="0" xfId="39" applyFont="1" applyProtection="1">
      <protection locked="0"/>
    </xf>
    <xf numFmtId="173" fontId="8" fillId="0" borderId="0" xfId="39" applyNumberFormat="1" applyFont="1" applyAlignment="1" applyProtection="1">
      <alignment horizontal="center"/>
    </xf>
    <xf numFmtId="0" fontId="8" fillId="0" borderId="0" xfId="39" applyFont="1" applyAlignment="1" applyProtection="1">
      <alignment horizontal="center"/>
    </xf>
    <xf numFmtId="0" fontId="12" fillId="0" borderId="0" xfId="39" applyFont="1" applyAlignment="1" applyProtection="1">
      <alignment horizontal="center"/>
    </xf>
    <xf numFmtId="173" fontId="8" fillId="0" borderId="4" xfId="39" applyNumberFormat="1" applyFont="1" applyBorder="1" applyAlignment="1" applyProtection="1">
      <alignment horizontal="center"/>
    </xf>
    <xf numFmtId="0" fontId="8" fillId="0" borderId="4" xfId="39" applyFont="1" applyBorder="1" applyAlignment="1" applyProtection="1">
      <alignment horizontal="center"/>
    </xf>
    <xf numFmtId="0" fontId="20" fillId="0" borderId="0" xfId="39" applyFont="1" applyProtection="1"/>
    <xf numFmtId="0" fontId="23" fillId="0" borderId="0" xfId="39" applyFont="1" applyProtection="1"/>
    <xf numFmtId="173" fontId="8" fillId="0" borderId="7" xfId="39" applyNumberFormat="1" applyFont="1" applyBorder="1" applyAlignment="1" applyProtection="1">
      <alignment horizontal="center"/>
    </xf>
    <xf numFmtId="0" fontId="8" fillId="0" borderId="7" xfId="39" applyFont="1" applyBorder="1" applyAlignment="1" applyProtection="1">
      <alignment horizontal="center"/>
    </xf>
    <xf numFmtId="167" fontId="20" fillId="0" borderId="0" xfId="39" applyNumberFormat="1" applyFont="1" applyProtection="1"/>
    <xf numFmtId="0" fontId="8" fillId="0" borderId="1" xfId="39" applyFont="1" applyBorder="1" applyProtection="1"/>
    <xf numFmtId="173" fontId="8" fillId="0" borderId="12" xfId="39" applyNumberFormat="1" applyFont="1" applyBorder="1" applyAlignment="1" applyProtection="1">
      <alignment horizontal="center"/>
    </xf>
    <xf numFmtId="172" fontId="8" fillId="0" borderId="12" xfId="39" applyNumberFormat="1" applyFont="1" applyBorder="1" applyAlignment="1" applyProtection="1">
      <alignment horizontal="center"/>
    </xf>
    <xf numFmtId="173" fontId="8" fillId="0" borderId="12" xfId="39" applyNumberFormat="1" applyFont="1" applyBorder="1" applyAlignment="1" applyProtection="1">
      <alignment horizontal="left" vertical="top"/>
    </xf>
    <xf numFmtId="173" fontId="8" fillId="0" borderId="10" xfId="39" applyNumberFormat="1" applyFont="1" applyBorder="1" applyAlignment="1" applyProtection="1">
      <alignment horizontal="center" vertical="top"/>
    </xf>
    <xf numFmtId="3" fontId="8" fillId="2" borderId="1" xfId="39" applyNumberFormat="1" applyFont="1" applyFill="1" applyBorder="1" applyAlignment="1" applyProtection="1">
      <alignment vertical="top"/>
      <protection locked="0"/>
    </xf>
    <xf numFmtId="3" fontId="8" fillId="0" borderId="1" xfId="39" applyNumberFormat="1" applyFont="1" applyFill="1" applyBorder="1" applyAlignment="1" applyProtection="1">
      <alignment vertical="top"/>
    </xf>
    <xf numFmtId="173" fontId="8" fillId="0" borderId="7" xfId="39" applyNumberFormat="1" applyFont="1" applyBorder="1" applyAlignment="1" applyProtection="1">
      <alignment horizontal="left" vertical="top"/>
    </xf>
    <xf numFmtId="173" fontId="8" fillId="0" borderId="8" xfId="39" applyNumberFormat="1" applyFont="1" applyBorder="1" applyAlignment="1" applyProtection="1">
      <alignment horizontal="center" vertical="top"/>
    </xf>
    <xf numFmtId="3" fontId="8" fillId="2" borderId="0" xfId="39" applyNumberFormat="1" applyFont="1" applyFill="1" applyBorder="1" applyAlignment="1" applyProtection="1">
      <alignment vertical="top"/>
      <protection locked="0"/>
    </xf>
    <xf numFmtId="173" fontId="8" fillId="0" borderId="4" xfId="39" applyNumberFormat="1" applyFont="1" applyBorder="1" applyAlignment="1" applyProtection="1">
      <alignment horizontal="left" vertical="top"/>
    </xf>
    <xf numFmtId="173" fontId="8" fillId="0" borderId="5" xfId="39" applyNumberFormat="1" applyFont="1" applyBorder="1" applyAlignment="1" applyProtection="1">
      <alignment horizontal="center" vertical="top"/>
    </xf>
    <xf numFmtId="3" fontId="8" fillId="0" borderId="15" xfId="39" applyNumberFormat="1" applyFont="1" applyBorder="1" applyAlignment="1" applyProtection="1">
      <alignment vertical="top"/>
    </xf>
    <xf numFmtId="3" fontId="8" fillId="0" borderId="0" xfId="39" applyNumberFormat="1" applyFont="1" applyBorder="1" applyAlignment="1" applyProtection="1">
      <alignment vertical="top"/>
    </xf>
    <xf numFmtId="173" fontId="8" fillId="0" borderId="13" xfId="39" applyNumberFormat="1" applyFont="1" applyBorder="1" applyAlignment="1" applyProtection="1">
      <alignment horizontal="left" vertical="top"/>
    </xf>
    <xf numFmtId="173" fontId="8" fillId="0" borderId="2" xfId="39" applyNumberFormat="1" applyFont="1" applyBorder="1" applyAlignment="1" applyProtection="1">
      <alignment horizontal="center" vertical="top"/>
    </xf>
    <xf numFmtId="3" fontId="8" fillId="2" borderId="14" xfId="39" applyNumberFormat="1" applyFont="1" applyFill="1" applyBorder="1" applyAlignment="1" applyProtection="1">
      <alignment vertical="top"/>
      <protection locked="0"/>
    </xf>
    <xf numFmtId="3" fontId="20" fillId="0" borderId="0" xfId="39" applyNumberFormat="1" applyFont="1" applyProtection="1"/>
    <xf numFmtId="3" fontId="8" fillId="0" borderId="4" xfId="39" applyNumberFormat="1" applyFont="1" applyBorder="1" applyAlignment="1" applyProtection="1">
      <alignment vertical="top"/>
    </xf>
    <xf numFmtId="3" fontId="8" fillId="2" borderId="12" xfId="39" applyNumberFormat="1" applyFont="1" applyFill="1" applyBorder="1" applyAlignment="1" applyProtection="1">
      <alignment vertical="top"/>
      <protection locked="0"/>
    </xf>
    <xf numFmtId="173" fontId="25" fillId="3" borderId="13" xfId="39" applyNumberFormat="1" applyFont="1" applyFill="1" applyBorder="1" applyAlignment="1" applyProtection="1">
      <alignment horizontal="left" vertical="top"/>
    </xf>
    <xf numFmtId="173" fontId="8" fillId="0" borderId="14" xfId="39" applyNumberFormat="1" applyFont="1" applyBorder="1" applyAlignment="1" applyProtection="1">
      <alignment horizontal="center" vertical="top"/>
    </xf>
    <xf numFmtId="3" fontId="8" fillId="0" borderId="14" xfId="39" applyNumberFormat="1" applyFont="1" applyFill="1" applyBorder="1" applyAlignment="1" applyProtection="1">
      <alignment vertical="top"/>
    </xf>
    <xf numFmtId="0" fontId="31" fillId="0" borderId="0" xfId="39" applyFont="1" applyProtection="1">
      <protection locked="0"/>
    </xf>
    <xf numFmtId="0" fontId="33" fillId="0" borderId="0" xfId="39" applyFont="1" applyProtection="1">
      <protection locked="0"/>
    </xf>
    <xf numFmtId="173" fontId="8" fillId="0" borderId="0" xfId="39" applyNumberFormat="1" applyFont="1" applyBorder="1" applyAlignment="1" applyProtection="1">
      <alignment horizontal="center" vertical="top"/>
    </xf>
    <xf numFmtId="0" fontId="8" fillId="0" borderId="0" xfId="39" applyFont="1" applyAlignment="1" applyProtection="1">
      <alignment horizontal="center" vertical="top"/>
    </xf>
    <xf numFmtId="173" fontId="8" fillId="0" borderId="0" xfId="39" applyNumberFormat="1" applyFont="1" applyAlignment="1" applyProtection="1">
      <alignment horizontal="center" vertical="top"/>
    </xf>
    <xf numFmtId="0" fontId="12" fillId="0" borderId="0" xfId="39" applyFont="1" applyAlignment="1" applyProtection="1">
      <alignment horizontal="center" vertical="top"/>
    </xf>
    <xf numFmtId="173" fontId="8" fillId="0" borderId="4" xfId="39" applyNumberFormat="1" applyFont="1" applyBorder="1" applyAlignment="1" applyProtection="1">
      <alignment horizontal="center" vertical="top"/>
    </xf>
    <xf numFmtId="0" fontId="8" fillId="0" borderId="4" xfId="39" applyFont="1" applyBorder="1" applyAlignment="1" applyProtection="1">
      <alignment horizontal="center" vertical="top"/>
    </xf>
    <xf numFmtId="173" fontId="8" fillId="0" borderId="7" xfId="39" applyNumberFormat="1" applyFont="1" applyBorder="1" applyAlignment="1" applyProtection="1">
      <alignment horizontal="center" vertical="top"/>
    </xf>
    <xf numFmtId="0" fontId="8" fillId="0" borderId="7" xfId="39" applyFont="1" applyBorder="1" applyAlignment="1" applyProtection="1">
      <alignment horizontal="center" vertical="top"/>
    </xf>
    <xf numFmtId="0" fontId="8" fillId="0" borderId="1" xfId="39" applyFont="1" applyBorder="1" applyAlignment="1" applyProtection="1">
      <alignment horizontal="center" vertical="top"/>
    </xf>
    <xf numFmtId="173" fontId="8" fillId="0" borderId="12" xfId="39" applyNumberFormat="1" applyFont="1" applyBorder="1" applyAlignment="1" applyProtection="1">
      <alignment horizontal="center" vertical="top"/>
    </xf>
    <xf numFmtId="172" fontId="8" fillId="0" borderId="12" xfId="39" applyNumberFormat="1" applyFont="1" applyBorder="1" applyAlignment="1" applyProtection="1">
      <alignment horizontal="center" vertical="top"/>
    </xf>
    <xf numFmtId="0" fontId="8" fillId="0" borderId="7" xfId="39" applyFont="1" applyBorder="1" applyAlignment="1" applyProtection="1">
      <alignment horizontal="left" vertical="top"/>
    </xf>
    <xf numFmtId="0" fontId="8" fillId="0" borderId="8" xfId="39" applyFont="1" applyBorder="1" applyAlignment="1" applyProtection="1">
      <alignment horizontal="center" vertical="top"/>
    </xf>
    <xf numFmtId="3" fontId="8" fillId="0" borderId="7" xfId="39" applyNumberFormat="1" applyFont="1" applyBorder="1" applyAlignment="1" applyProtection="1">
      <alignment vertical="top"/>
    </xf>
    <xf numFmtId="0" fontId="8" fillId="0" borderId="12" xfId="39" applyFont="1" applyBorder="1" applyAlignment="1" applyProtection="1">
      <alignment horizontal="left" vertical="top"/>
    </xf>
    <xf numFmtId="0" fontId="8" fillId="0" borderId="10" xfId="39" applyFont="1" applyBorder="1" applyAlignment="1" applyProtection="1">
      <alignment horizontal="center" vertical="top"/>
    </xf>
    <xf numFmtId="0" fontId="8" fillId="0" borderId="4" xfId="39" applyFont="1" applyBorder="1" applyAlignment="1" applyProtection="1">
      <alignment horizontal="left" vertical="top"/>
    </xf>
    <xf numFmtId="0" fontId="8" fillId="0" borderId="5" xfId="39" applyFont="1" applyBorder="1" applyAlignment="1" applyProtection="1">
      <alignment horizontal="center" vertical="top"/>
    </xf>
    <xf numFmtId="0" fontId="8" fillId="0" borderId="13" xfId="39" applyFont="1" applyBorder="1" applyAlignment="1" applyProtection="1">
      <alignment horizontal="left" vertical="top"/>
    </xf>
    <xf numFmtId="0" fontId="8" fillId="0" borderId="2" xfId="39" applyFont="1" applyBorder="1" applyAlignment="1" applyProtection="1">
      <alignment horizontal="center" vertical="top"/>
    </xf>
    <xf numFmtId="3" fontId="8" fillId="2" borderId="15" xfId="39" applyNumberFormat="1" applyFont="1" applyFill="1" applyBorder="1" applyAlignment="1" applyProtection="1">
      <alignment vertical="top"/>
      <protection locked="0"/>
    </xf>
    <xf numFmtId="3" fontId="8" fillId="2" borderId="13" xfId="39" applyNumberFormat="1" applyFont="1" applyFill="1" applyBorder="1" applyAlignment="1" applyProtection="1">
      <alignment vertical="top"/>
      <protection locked="0"/>
    </xf>
    <xf numFmtId="173" fontId="8" fillId="0" borderId="13" xfId="39" applyNumberFormat="1" applyFont="1" applyBorder="1" applyAlignment="1" applyProtection="1">
      <alignment horizontal="left"/>
    </xf>
    <xf numFmtId="173" fontId="8" fillId="0" borderId="2" xfId="39" applyNumberFormat="1" applyFont="1" applyBorder="1" applyAlignment="1" applyProtection="1">
      <alignment horizontal="center"/>
    </xf>
    <xf numFmtId="0" fontId="8" fillId="0" borderId="0" xfId="39" applyFont="1" applyAlignment="1" applyProtection="1">
      <alignment horizontal="left"/>
    </xf>
    <xf numFmtId="0" fontId="8" fillId="0" borderId="0" xfId="39" applyFont="1" applyAlignment="1" applyProtection="1">
      <alignment horizontal="centerContinuous"/>
    </xf>
    <xf numFmtId="3" fontId="8" fillId="2" borderId="14" xfId="39" applyNumberFormat="1" applyFont="1" applyFill="1" applyBorder="1" applyAlignment="1" applyProtection="1">
      <protection locked="0"/>
    </xf>
    <xf numFmtId="0" fontId="8" fillId="0" borderId="12" xfId="39" applyFont="1" applyBorder="1" applyAlignment="1" applyProtection="1">
      <alignment horizontal="left"/>
    </xf>
    <xf numFmtId="0" fontId="8" fillId="0" borderId="10" xfId="39" applyFont="1" applyBorder="1" applyAlignment="1" applyProtection="1">
      <alignment horizontal="center"/>
    </xf>
    <xf numFmtId="3" fontId="8" fillId="2" borderId="1" xfId="39" applyNumberFormat="1" applyFont="1" applyFill="1" applyBorder="1" applyAlignment="1" applyProtection="1">
      <protection locked="0"/>
    </xf>
    <xf numFmtId="0" fontId="8" fillId="0" borderId="13" xfId="39" applyFont="1" applyBorder="1" applyAlignment="1" applyProtection="1">
      <alignment horizontal="left"/>
    </xf>
    <xf numFmtId="0" fontId="8" fillId="0" borderId="2" xfId="39" applyFont="1" applyBorder="1" applyAlignment="1" applyProtection="1">
      <alignment horizontal="center"/>
    </xf>
    <xf numFmtId="0" fontId="8" fillId="0" borderId="4" xfId="39" applyFont="1" applyBorder="1" applyAlignment="1" applyProtection="1">
      <alignment horizontal="left"/>
    </xf>
    <xf numFmtId="0" fontId="8" fillId="0" borderId="5" xfId="39" applyFont="1" applyBorder="1" applyAlignment="1" applyProtection="1">
      <alignment horizontal="center"/>
    </xf>
    <xf numFmtId="3" fontId="8" fillId="0" borderId="15" xfId="39" applyNumberFormat="1" applyFont="1" applyBorder="1" applyAlignment="1" applyProtection="1"/>
    <xf numFmtId="0" fontId="8" fillId="0" borderId="7" xfId="39" applyFont="1" applyBorder="1" applyAlignment="1" applyProtection="1">
      <alignment horizontal="left"/>
    </xf>
    <xf numFmtId="0" fontId="8" fillId="0" borderId="8" xfId="39" applyFont="1" applyBorder="1" applyAlignment="1" applyProtection="1">
      <alignment horizontal="center"/>
    </xf>
    <xf numFmtId="3" fontId="8" fillId="0" borderId="0" xfId="39" applyNumberFormat="1" applyFont="1" applyBorder="1" applyAlignment="1" applyProtection="1"/>
    <xf numFmtId="3" fontId="8" fillId="2" borderId="13" xfId="39" applyNumberFormat="1" applyFont="1" applyFill="1" applyBorder="1" applyAlignment="1" applyProtection="1">
      <protection locked="0"/>
    </xf>
    <xf numFmtId="3" fontId="8" fillId="2" borderId="0" xfId="39" applyNumberFormat="1" applyFont="1" applyFill="1" applyBorder="1" applyAlignment="1" applyProtection="1">
      <protection locked="0"/>
    </xf>
    <xf numFmtId="3" fontId="8" fillId="2" borderId="15" xfId="39" applyNumberFormat="1" applyFont="1" applyFill="1" applyBorder="1" applyAlignment="1" applyProtection="1">
      <protection locked="0"/>
    </xf>
    <xf numFmtId="3" fontId="8" fillId="0" borderId="0" xfId="39" applyNumberFormat="1" applyFont="1" applyAlignment="1" applyProtection="1"/>
    <xf numFmtId="3" fontId="8" fillId="0" borderId="0" xfId="39" applyNumberFormat="1" applyFont="1" applyAlignment="1" applyProtection="1">
      <alignment horizontal="centerContinuous"/>
    </xf>
    <xf numFmtId="0" fontId="8" fillId="0" borderId="0" xfId="39" applyFont="1" applyAlignment="1" applyProtection="1">
      <alignment horizontal="centerContinuous"/>
      <protection locked="0"/>
    </xf>
    <xf numFmtId="0" fontId="8" fillId="3" borderId="2" xfId="39" applyFont="1" applyFill="1" applyBorder="1" applyAlignment="1" applyProtection="1">
      <alignment horizontal="center"/>
    </xf>
    <xf numFmtId="173" fontId="20" fillId="0" borderId="0" xfId="39" applyNumberFormat="1" applyFont="1" applyAlignment="1" applyProtection="1">
      <alignment horizontal="center"/>
    </xf>
    <xf numFmtId="0" fontId="8" fillId="0" borderId="0" xfId="41" applyFont="1" applyAlignment="1" applyProtection="1">
      <alignment horizontal="right"/>
    </xf>
    <xf numFmtId="164" fontId="8" fillId="0" borderId="0" xfId="41" applyNumberFormat="1" applyFont="1" applyAlignment="1" applyProtection="1">
      <alignment horizontal="center"/>
    </xf>
    <xf numFmtId="0" fontId="8" fillId="0" borderId="0" xfId="41" applyFont="1" applyProtection="1"/>
    <xf numFmtId="0" fontId="20" fillId="0" borderId="0" xfId="41" applyFont="1" applyProtection="1">
      <protection locked="0"/>
    </xf>
    <xf numFmtId="173" fontId="8" fillId="0" borderId="0" xfId="41" applyNumberFormat="1" applyFont="1" applyAlignment="1" applyProtection="1">
      <alignment horizontal="center"/>
    </xf>
    <xf numFmtId="0" fontId="8" fillId="0" borderId="0" xfId="41" applyFont="1" applyAlignment="1" applyProtection="1">
      <alignment horizontal="center"/>
    </xf>
    <xf numFmtId="0" fontId="12" fillId="0" borderId="0" xfId="41" applyFont="1" applyAlignment="1" applyProtection="1">
      <alignment horizontal="center"/>
    </xf>
    <xf numFmtId="173" fontId="8" fillId="0" borderId="4" xfId="41" applyNumberFormat="1" applyFont="1" applyBorder="1" applyAlignment="1" applyProtection="1">
      <alignment horizontal="center"/>
    </xf>
    <xf numFmtId="0" fontId="8" fillId="0" borderId="4" xfId="41" applyFont="1" applyBorder="1" applyAlignment="1" applyProtection="1">
      <alignment horizontal="center"/>
    </xf>
    <xf numFmtId="0" fontId="20" fillId="0" borderId="0" xfId="41" applyFont="1" applyProtection="1"/>
    <xf numFmtId="173" fontId="8" fillId="0" borderId="7" xfId="41" applyNumberFormat="1" applyFont="1" applyBorder="1" applyAlignment="1" applyProtection="1">
      <alignment horizontal="center"/>
    </xf>
    <xf numFmtId="0" fontId="8" fillId="0" borderId="7" xfId="41" applyFont="1" applyBorder="1" applyAlignment="1" applyProtection="1">
      <alignment horizontal="center"/>
    </xf>
    <xf numFmtId="0" fontId="8" fillId="0" borderId="1" xfId="41" applyFont="1" applyBorder="1" applyProtection="1"/>
    <xf numFmtId="173" fontId="8" fillId="0" borderId="12" xfId="41" applyNumberFormat="1" applyFont="1" applyBorder="1" applyAlignment="1" applyProtection="1">
      <alignment horizontal="center"/>
    </xf>
    <xf numFmtId="172" fontId="8" fillId="0" borderId="12" xfId="41" applyNumberFormat="1" applyFont="1" applyBorder="1" applyAlignment="1" applyProtection="1">
      <alignment horizontal="center"/>
    </xf>
    <xf numFmtId="173" fontId="8" fillId="0" borderId="12" xfId="41" applyNumberFormat="1" applyFont="1" applyBorder="1" applyAlignment="1" applyProtection="1">
      <alignment horizontal="left"/>
    </xf>
    <xf numFmtId="3" fontId="8" fillId="2" borderId="12" xfId="41" applyNumberFormat="1" applyFont="1" applyFill="1" applyBorder="1" applyAlignment="1" applyProtection="1">
      <protection locked="0"/>
    </xf>
    <xf numFmtId="3" fontId="8" fillId="0" borderId="12" xfId="41" applyNumberFormat="1" applyFont="1" applyFill="1" applyBorder="1" applyAlignment="1" applyProtection="1"/>
    <xf numFmtId="3" fontId="8" fillId="0" borderId="13" xfId="41" applyNumberFormat="1" applyFont="1" applyFill="1" applyBorder="1" applyAlignment="1" applyProtection="1"/>
    <xf numFmtId="173" fontId="8" fillId="0" borderId="7" xfId="41" applyNumberFormat="1" applyFont="1" applyBorder="1" applyAlignment="1" applyProtection="1">
      <alignment horizontal="left"/>
    </xf>
    <xf numFmtId="3" fontId="8" fillId="2" borderId="7" xfId="41" applyNumberFormat="1" applyFont="1" applyFill="1" applyBorder="1" applyAlignment="1" applyProtection="1">
      <protection locked="0"/>
    </xf>
    <xf numFmtId="3" fontId="8" fillId="0" borderId="7" xfId="41" applyNumberFormat="1" applyFont="1" applyBorder="1" applyAlignment="1" applyProtection="1"/>
    <xf numFmtId="173" fontId="8" fillId="0" borderId="4" xfId="41" applyNumberFormat="1" applyFont="1" applyBorder="1" applyAlignment="1" applyProtection="1">
      <alignment horizontal="left"/>
    </xf>
    <xf numFmtId="3" fontId="8" fillId="0" borderId="4" xfId="41" applyNumberFormat="1" applyFont="1" applyBorder="1" applyAlignment="1" applyProtection="1"/>
    <xf numFmtId="173" fontId="8" fillId="0" borderId="13" xfId="41" applyNumberFormat="1" applyFont="1" applyBorder="1" applyAlignment="1" applyProtection="1">
      <alignment horizontal="left"/>
    </xf>
    <xf numFmtId="173" fontId="8" fillId="0" borderId="13" xfId="41" applyNumberFormat="1" applyFont="1" applyBorder="1" applyAlignment="1" applyProtection="1">
      <alignment horizontal="center"/>
    </xf>
    <xf numFmtId="3" fontId="8" fillId="2" borderId="13" xfId="41" applyNumberFormat="1" applyFont="1" applyFill="1" applyBorder="1" applyAlignment="1" applyProtection="1">
      <protection locked="0"/>
    </xf>
    <xf numFmtId="3" fontId="8" fillId="0" borderId="4" xfId="41" applyNumberFormat="1" applyFont="1" applyFill="1" applyBorder="1" applyAlignment="1" applyProtection="1"/>
    <xf numFmtId="3" fontId="8" fillId="0" borderId="7" xfId="41" applyNumberFormat="1" applyFont="1" applyFill="1" applyBorder="1" applyAlignment="1" applyProtection="1"/>
    <xf numFmtId="0" fontId="8" fillId="0" borderId="13" xfId="41" applyFont="1" applyBorder="1" applyAlignment="1" applyProtection="1">
      <alignment horizontal="left"/>
    </xf>
    <xf numFmtId="0" fontId="8" fillId="0" borderId="13" xfId="41" applyFont="1" applyBorder="1" applyAlignment="1" applyProtection="1">
      <alignment horizontal="center"/>
    </xf>
    <xf numFmtId="3" fontId="12" fillId="0" borderId="4" xfId="41" applyNumberFormat="1" applyFont="1" applyBorder="1" applyAlignment="1" applyProtection="1"/>
    <xf numFmtId="0" fontId="12" fillId="3" borderId="13" xfId="41" applyFont="1" applyFill="1" applyBorder="1" applyAlignment="1" applyProtection="1">
      <alignment horizontal="left"/>
    </xf>
    <xf numFmtId="0" fontId="8" fillId="0" borderId="4" xfId="41" applyFont="1" applyBorder="1" applyAlignment="1" applyProtection="1">
      <alignment horizontal="left"/>
    </xf>
    <xf numFmtId="0" fontId="8" fillId="0" borderId="12" xfId="41" applyFont="1" applyBorder="1" applyAlignment="1" applyProtection="1">
      <alignment horizontal="left"/>
    </xf>
    <xf numFmtId="0" fontId="8" fillId="0" borderId="12" xfId="41" applyFont="1" applyBorder="1" applyAlignment="1" applyProtection="1">
      <alignment horizontal="center"/>
    </xf>
    <xf numFmtId="3" fontId="8" fillId="3" borderId="12" xfId="41" applyNumberFormat="1" applyFont="1" applyFill="1" applyBorder="1" applyAlignment="1" applyProtection="1"/>
    <xf numFmtId="0" fontId="8" fillId="0" borderId="0" xfId="41" applyFont="1" applyBorder="1" applyAlignment="1" applyProtection="1">
      <alignment horizontal="left"/>
    </xf>
    <xf numFmtId="3" fontId="8" fillId="0" borderId="2" xfId="41" applyNumberFormat="1" applyFont="1" applyBorder="1" applyAlignment="1" applyProtection="1"/>
    <xf numFmtId="3" fontId="8" fillId="0" borderId="14" xfId="41" applyNumberFormat="1" applyFont="1" applyBorder="1" applyAlignment="1" applyProtection="1"/>
    <xf numFmtId="3" fontId="8" fillId="0" borderId="3" xfId="41" applyNumberFormat="1" applyFont="1" applyBorder="1" applyAlignment="1" applyProtection="1"/>
    <xf numFmtId="0" fontId="12" fillId="0" borderId="0" xfId="41" applyFont="1" applyBorder="1" applyAlignment="1" applyProtection="1">
      <alignment horizontal="left"/>
    </xf>
    <xf numFmtId="0" fontId="8" fillId="0" borderId="0" xfId="41" applyFont="1" applyProtection="1">
      <protection locked="0"/>
    </xf>
    <xf numFmtId="0" fontId="8" fillId="0" borderId="0" xfId="41" applyFont="1" applyBorder="1" applyAlignment="1" applyProtection="1">
      <alignment horizontal="center"/>
    </xf>
    <xf numFmtId="0" fontId="8" fillId="0" borderId="0" xfId="41" applyFont="1" applyAlignment="1" applyProtection="1">
      <alignment horizontal="centerContinuous"/>
    </xf>
    <xf numFmtId="0" fontId="8" fillId="0" borderId="0" xfId="41" applyFont="1" applyAlignment="1" applyProtection="1">
      <alignment horizontal="centerContinuous"/>
      <protection locked="0"/>
    </xf>
    <xf numFmtId="173" fontId="20" fillId="0" borderId="0" xfId="41" applyNumberFormat="1" applyFont="1" applyAlignment="1" applyProtection="1">
      <alignment horizontal="center"/>
    </xf>
    <xf numFmtId="0" fontId="8" fillId="0" borderId="0" xfId="42" applyFont="1" applyAlignment="1" applyProtection="1">
      <alignment horizontal="right"/>
    </xf>
    <xf numFmtId="164" fontId="8" fillId="0" borderId="0" xfId="42" applyNumberFormat="1" applyFont="1" applyAlignment="1" applyProtection="1">
      <alignment horizontal="center"/>
    </xf>
    <xf numFmtId="0" fontId="8" fillId="0" borderId="0" xfId="42" applyFont="1" applyProtection="1"/>
    <xf numFmtId="0" fontId="20" fillId="0" borderId="0" xfId="42" applyFont="1" applyProtection="1">
      <protection locked="0"/>
    </xf>
    <xf numFmtId="173" fontId="8" fillId="0" borderId="0" xfId="42" applyNumberFormat="1" applyFont="1" applyAlignment="1" applyProtection="1">
      <alignment horizontal="center"/>
    </xf>
    <xf numFmtId="0" fontId="8" fillId="0" borderId="0" xfId="42" applyFont="1" applyAlignment="1" applyProtection="1">
      <alignment horizontal="center"/>
    </xf>
    <xf numFmtId="0" fontId="12" fillId="0" borderId="0" xfId="42" applyFont="1" applyAlignment="1" applyProtection="1">
      <alignment horizontal="center"/>
    </xf>
    <xf numFmtId="173" fontId="8" fillId="0" borderId="4" xfId="42" applyNumberFormat="1" applyFont="1" applyBorder="1" applyAlignment="1" applyProtection="1">
      <alignment horizontal="center"/>
    </xf>
    <xf numFmtId="0" fontId="8" fillId="0" borderId="4" xfId="42" applyFont="1" applyBorder="1" applyAlignment="1" applyProtection="1">
      <alignment horizontal="center"/>
    </xf>
    <xf numFmtId="0" fontId="20" fillId="0" borderId="0" xfId="42" applyFont="1" applyProtection="1"/>
    <xf numFmtId="173" fontId="8" fillId="0" borderId="7" xfId="42" applyNumberFormat="1" applyFont="1" applyBorder="1" applyAlignment="1" applyProtection="1">
      <alignment horizontal="center"/>
    </xf>
    <xf numFmtId="0" fontId="8" fillId="0" borderId="7" xfId="42" applyFont="1" applyBorder="1" applyAlignment="1" applyProtection="1">
      <alignment horizontal="center"/>
    </xf>
    <xf numFmtId="173" fontId="8" fillId="0" borderId="12" xfId="42" applyNumberFormat="1" applyFont="1" applyBorder="1" applyAlignment="1" applyProtection="1">
      <alignment horizontal="center"/>
    </xf>
    <xf numFmtId="172" fontId="8" fillId="0" borderId="12" xfId="42" applyNumberFormat="1" applyFont="1" applyBorder="1" applyAlignment="1" applyProtection="1">
      <alignment horizontal="center"/>
    </xf>
    <xf numFmtId="173" fontId="8" fillId="0" borderId="12" xfId="42" applyNumberFormat="1" applyFont="1" applyBorder="1" applyAlignment="1" applyProtection="1">
      <alignment horizontal="left"/>
    </xf>
    <xf numFmtId="3" fontId="8" fillId="2" borderId="12" xfId="42" applyNumberFormat="1" applyFont="1" applyFill="1" applyBorder="1" applyAlignment="1" applyProtection="1">
      <protection locked="0"/>
    </xf>
    <xf numFmtId="3" fontId="8" fillId="0" borderId="12" xfId="42" applyNumberFormat="1" applyFont="1" applyFill="1" applyBorder="1" applyAlignment="1" applyProtection="1"/>
    <xf numFmtId="3" fontId="8" fillId="0" borderId="13" xfId="42" applyNumberFormat="1" applyFont="1" applyFill="1" applyBorder="1" applyAlignment="1" applyProtection="1"/>
    <xf numFmtId="173" fontId="8" fillId="0" borderId="7" xfId="42" applyNumberFormat="1" applyFont="1" applyBorder="1" applyAlignment="1" applyProtection="1">
      <alignment horizontal="left"/>
    </xf>
    <xf numFmtId="3" fontId="8" fillId="2" borderId="7" xfId="42" applyNumberFormat="1" applyFont="1" applyFill="1" applyBorder="1" applyAlignment="1" applyProtection="1">
      <protection locked="0"/>
    </xf>
    <xf numFmtId="3" fontId="8" fillId="0" borderId="7" xfId="42" applyNumberFormat="1" applyFont="1" applyBorder="1" applyAlignment="1" applyProtection="1"/>
    <xf numFmtId="173" fontId="8" fillId="0" borderId="4" xfId="42" applyNumberFormat="1" applyFont="1" applyBorder="1" applyAlignment="1" applyProtection="1">
      <alignment horizontal="left"/>
    </xf>
    <xf numFmtId="3" fontId="8" fillId="0" borderId="4" xfId="42" applyNumberFormat="1" applyFont="1" applyBorder="1" applyAlignment="1" applyProtection="1"/>
    <xf numFmtId="173" fontId="8" fillId="0" borderId="13" xfId="42" applyNumberFormat="1" applyFont="1" applyBorder="1" applyAlignment="1" applyProtection="1">
      <alignment horizontal="left"/>
    </xf>
    <xf numFmtId="173" fontId="8" fillId="0" borderId="13" xfId="42" applyNumberFormat="1" applyFont="1" applyBorder="1" applyAlignment="1" applyProtection="1">
      <alignment horizontal="center"/>
    </xf>
    <xf numFmtId="3" fontId="8" fillId="2" borderId="13" xfId="42" applyNumberFormat="1" applyFont="1" applyFill="1" applyBorder="1" applyAlignment="1" applyProtection="1">
      <protection locked="0"/>
    </xf>
    <xf numFmtId="3" fontId="8" fillId="0" borderId="7" xfId="42" applyNumberFormat="1" applyFont="1" applyFill="1" applyBorder="1" applyAlignment="1" applyProtection="1"/>
    <xf numFmtId="0" fontId="8" fillId="0" borderId="13" xfId="42" applyFont="1" applyBorder="1" applyAlignment="1" applyProtection="1">
      <alignment horizontal="left"/>
    </xf>
    <xf numFmtId="0" fontId="8" fillId="0" borderId="13" xfId="42" applyFont="1" applyBorder="1" applyAlignment="1" applyProtection="1">
      <alignment horizontal="center"/>
    </xf>
    <xf numFmtId="3" fontId="12" fillId="0" borderId="4" xfId="42" applyNumberFormat="1" applyFont="1" applyBorder="1" applyAlignment="1" applyProtection="1"/>
    <xf numFmtId="3" fontId="8" fillId="0" borderId="4" xfId="42" applyNumberFormat="1" applyFont="1" applyFill="1" applyBorder="1" applyAlignment="1" applyProtection="1"/>
    <xf numFmtId="0" fontId="12" fillId="3" borderId="13" xfId="42" applyFont="1" applyFill="1" applyBorder="1" applyAlignment="1" applyProtection="1">
      <alignment horizontal="left"/>
    </xf>
    <xf numFmtId="0" fontId="8" fillId="0" borderId="4" xfId="42" applyFont="1" applyBorder="1" applyAlignment="1" applyProtection="1">
      <alignment horizontal="left"/>
    </xf>
    <xf numFmtId="0" fontId="8" fillId="0" borderId="12" xfId="42" applyFont="1" applyBorder="1" applyAlignment="1" applyProtection="1">
      <alignment horizontal="left"/>
    </xf>
    <xf numFmtId="0" fontId="8" fillId="0" borderId="12" xfId="42" applyFont="1" applyBorder="1" applyAlignment="1" applyProtection="1">
      <alignment horizontal="center"/>
    </xf>
    <xf numFmtId="3" fontId="8" fillId="3" borderId="12" xfId="42" applyNumberFormat="1" applyFont="1" applyFill="1" applyBorder="1" applyAlignment="1" applyProtection="1"/>
    <xf numFmtId="0" fontId="8" fillId="0" borderId="0" xfId="42" applyFont="1" applyBorder="1" applyAlignment="1" applyProtection="1">
      <alignment horizontal="left"/>
    </xf>
    <xf numFmtId="3" fontId="8" fillId="0" borderId="2" xfId="42" applyNumberFormat="1" applyFont="1" applyBorder="1" applyAlignment="1" applyProtection="1"/>
    <xf numFmtId="3" fontId="8" fillId="0" borderId="14" xfId="42" applyNumberFormat="1" applyFont="1" applyBorder="1" applyAlignment="1" applyProtection="1"/>
    <xf numFmtId="3" fontId="8" fillId="0" borderId="3" xfId="42" applyNumberFormat="1" applyFont="1" applyBorder="1" applyAlignment="1" applyProtection="1"/>
    <xf numFmtId="0" fontId="12" fillId="0" borderId="0" xfId="42" applyFont="1" applyBorder="1" applyAlignment="1" applyProtection="1">
      <alignment horizontal="left"/>
    </xf>
    <xf numFmtId="0" fontId="8" fillId="0" borderId="0" xfId="42" applyFont="1" applyProtection="1">
      <protection locked="0"/>
    </xf>
    <xf numFmtId="0" fontId="8" fillId="0" borderId="0" xfId="42" applyFont="1" applyBorder="1" applyAlignment="1" applyProtection="1">
      <alignment horizontal="center"/>
    </xf>
    <xf numFmtId="0" fontId="8" fillId="0" borderId="0" xfId="42" applyFont="1" applyAlignment="1" applyProtection="1">
      <alignment horizontal="centerContinuous"/>
    </xf>
    <xf numFmtId="0" fontId="8" fillId="0" borderId="0" xfId="42" applyFont="1" applyAlignment="1" applyProtection="1">
      <alignment horizontal="centerContinuous"/>
      <protection locked="0"/>
    </xf>
    <xf numFmtId="173" fontId="20" fillId="0" borderId="0" xfId="42" applyNumberFormat="1" applyFont="1" applyAlignment="1" applyProtection="1">
      <alignment horizontal="center"/>
    </xf>
    <xf numFmtId="0" fontId="8" fillId="0" borderId="0" xfId="43" applyFont="1" applyAlignment="1" applyProtection="1">
      <alignment horizontal="right"/>
    </xf>
    <xf numFmtId="164" fontId="8" fillId="0" borderId="0" xfId="43" applyNumberFormat="1" applyFont="1" applyAlignment="1" applyProtection="1">
      <alignment horizontal="center"/>
    </xf>
    <xf numFmtId="0" fontId="8" fillId="0" borderId="0" xfId="43" applyFont="1" applyProtection="1"/>
    <xf numFmtId="0" fontId="20" fillId="0" borderId="0" xfId="43" applyFont="1" applyProtection="1">
      <protection locked="0"/>
    </xf>
    <xf numFmtId="173" fontId="8" fillId="0" borderId="0" xfId="43" applyNumberFormat="1" applyFont="1" applyAlignment="1" applyProtection="1">
      <alignment horizontal="center"/>
    </xf>
    <xf numFmtId="0" fontId="8" fillId="0" borderId="0" xfId="43" applyFont="1" applyAlignment="1" applyProtection="1">
      <alignment horizontal="center"/>
    </xf>
    <xf numFmtId="0" fontId="12" fillId="0" borderId="0" xfId="43" applyFont="1" applyAlignment="1" applyProtection="1">
      <alignment horizontal="center"/>
    </xf>
    <xf numFmtId="173" fontId="8" fillId="0" borderId="4" xfId="43" applyNumberFormat="1" applyFont="1" applyBorder="1" applyAlignment="1" applyProtection="1">
      <alignment horizontal="center"/>
    </xf>
    <xf numFmtId="0" fontId="8" fillId="0" borderId="4" xfId="43" applyFont="1" applyBorder="1" applyAlignment="1" applyProtection="1">
      <alignment horizontal="center"/>
    </xf>
    <xf numFmtId="0" fontId="20" fillId="0" borderId="0" xfId="43" applyFont="1" applyProtection="1"/>
    <xf numFmtId="173" fontId="8" fillId="0" borderId="7" xfId="43" applyNumberFormat="1" applyFont="1" applyBorder="1" applyAlignment="1" applyProtection="1">
      <alignment horizontal="center"/>
    </xf>
    <xf numFmtId="0" fontId="8" fillId="0" borderId="7" xfId="43" applyFont="1" applyBorder="1" applyAlignment="1" applyProtection="1">
      <alignment horizontal="center"/>
    </xf>
    <xf numFmtId="173" fontId="8" fillId="0" borderId="12" xfId="43" applyNumberFormat="1" applyFont="1" applyBorder="1" applyAlignment="1" applyProtection="1">
      <alignment horizontal="center"/>
    </xf>
    <xf numFmtId="172" fontId="8" fillId="0" borderId="12" xfId="43" applyNumberFormat="1" applyFont="1" applyBorder="1" applyAlignment="1" applyProtection="1">
      <alignment horizontal="center"/>
    </xf>
    <xf numFmtId="173" fontId="8" fillId="0" borderId="12" xfId="43" applyNumberFormat="1" applyFont="1" applyBorder="1" applyAlignment="1" applyProtection="1">
      <alignment horizontal="left"/>
    </xf>
    <xf numFmtId="3" fontId="8" fillId="2" borderId="12" xfId="43" applyNumberFormat="1" applyFont="1" applyFill="1" applyBorder="1" applyAlignment="1" applyProtection="1">
      <protection locked="0"/>
    </xf>
    <xf numFmtId="3" fontId="8" fillId="0" borderId="12" xfId="43" applyNumberFormat="1" applyFont="1" applyFill="1" applyBorder="1" applyAlignment="1" applyProtection="1"/>
    <xf numFmtId="3" fontId="8" fillId="0" borderId="13" xfId="43" applyNumberFormat="1" applyFont="1" applyFill="1" applyBorder="1" applyAlignment="1" applyProtection="1"/>
    <xf numFmtId="173" fontId="8" fillId="0" borderId="7" xfId="43" applyNumberFormat="1" applyFont="1" applyBorder="1" applyAlignment="1" applyProtection="1">
      <alignment horizontal="left"/>
    </xf>
    <xf numFmtId="3" fontId="8" fillId="2" borderId="7" xfId="43" applyNumberFormat="1" applyFont="1" applyFill="1" applyBorder="1" applyAlignment="1" applyProtection="1">
      <protection locked="0"/>
    </xf>
    <xf numFmtId="3" fontId="8" fillId="0" borderId="7" xfId="43" applyNumberFormat="1" applyFont="1" applyBorder="1" applyAlignment="1" applyProtection="1"/>
    <xf numFmtId="173" fontId="8" fillId="0" borderId="4" xfId="43" applyNumberFormat="1" applyFont="1" applyBorder="1" applyAlignment="1" applyProtection="1">
      <alignment horizontal="left"/>
    </xf>
    <xf numFmtId="3" fontId="8" fillId="0" borderId="4" xfId="43" applyNumberFormat="1" applyFont="1" applyBorder="1" applyAlignment="1" applyProtection="1"/>
    <xf numFmtId="173" fontId="8" fillId="0" borderId="13" xfId="43" applyNumberFormat="1" applyFont="1" applyBorder="1" applyAlignment="1" applyProtection="1">
      <alignment horizontal="left"/>
    </xf>
    <xf numFmtId="173" fontId="8" fillId="0" borderId="13" xfId="43" applyNumberFormat="1" applyFont="1" applyBorder="1" applyAlignment="1" applyProtection="1">
      <alignment horizontal="center"/>
    </xf>
    <xf numFmtId="3" fontId="8" fillId="2" borderId="13" xfId="43" applyNumberFormat="1" applyFont="1" applyFill="1" applyBorder="1" applyAlignment="1" applyProtection="1">
      <protection locked="0"/>
    </xf>
    <xf numFmtId="0" fontId="8" fillId="0" borderId="13" xfId="43" applyFont="1" applyBorder="1" applyAlignment="1" applyProtection="1">
      <alignment horizontal="left"/>
    </xf>
    <xf numFmtId="0" fontId="8" fillId="0" borderId="13" xfId="43" applyFont="1" applyBorder="1" applyAlignment="1" applyProtection="1">
      <alignment horizontal="center"/>
    </xf>
    <xf numFmtId="3" fontId="12" fillId="0" borderId="4" xfId="43" applyNumberFormat="1" applyFont="1" applyBorder="1" applyAlignment="1" applyProtection="1"/>
    <xf numFmtId="0" fontId="12" fillId="3" borderId="13" xfId="43" applyFont="1" applyFill="1" applyBorder="1" applyAlignment="1" applyProtection="1">
      <alignment horizontal="left"/>
    </xf>
    <xf numFmtId="0" fontId="8" fillId="0" borderId="4" xfId="43" applyFont="1" applyBorder="1" applyAlignment="1" applyProtection="1">
      <alignment horizontal="left"/>
    </xf>
    <xf numFmtId="0" fontId="8" fillId="0" borderId="12" xfId="43" applyFont="1" applyBorder="1" applyAlignment="1" applyProtection="1">
      <alignment horizontal="left"/>
    </xf>
    <xf numFmtId="0" fontId="8" fillId="0" borderId="12" xfId="43" applyFont="1" applyBorder="1" applyAlignment="1" applyProtection="1">
      <alignment horizontal="center"/>
    </xf>
    <xf numFmtId="3" fontId="8" fillId="3" borderId="12" xfId="43" applyNumberFormat="1" applyFont="1" applyFill="1" applyBorder="1" applyAlignment="1" applyProtection="1"/>
    <xf numFmtId="0" fontId="12" fillId="0" borderId="13" xfId="43" applyFont="1" applyBorder="1" applyAlignment="1" applyProtection="1">
      <alignment horizontal="left"/>
    </xf>
    <xf numFmtId="0" fontId="12" fillId="0" borderId="13" xfId="43" applyFont="1" applyBorder="1" applyAlignment="1" applyProtection="1">
      <alignment horizontal="center"/>
    </xf>
    <xf numFmtId="0" fontId="8" fillId="0" borderId="0" xfId="43" applyFont="1" applyBorder="1" applyAlignment="1" applyProtection="1">
      <alignment horizontal="left"/>
    </xf>
    <xf numFmtId="3" fontId="8" fillId="0" borderId="2" xfId="43" applyNumberFormat="1" applyFont="1" applyBorder="1" applyAlignment="1" applyProtection="1"/>
    <xf numFmtId="3" fontId="8" fillId="0" borderId="14" xfId="43" applyNumberFormat="1" applyFont="1" applyBorder="1" applyAlignment="1" applyProtection="1"/>
    <xf numFmtId="3" fontId="8" fillId="0" borderId="3" xfId="43" applyNumberFormat="1" applyFont="1" applyBorder="1" applyAlignment="1" applyProtection="1"/>
    <xf numFmtId="0" fontId="12" fillId="0" borderId="0" xfId="43" applyFont="1" applyBorder="1" applyAlignment="1" applyProtection="1">
      <alignment horizontal="left"/>
    </xf>
    <xf numFmtId="0" fontId="8" fillId="0" borderId="0" xfId="43" applyFont="1" applyBorder="1" applyAlignment="1" applyProtection="1">
      <alignment horizontal="center"/>
    </xf>
    <xf numFmtId="0" fontId="8" fillId="0" borderId="0" xfId="43" applyFont="1" applyAlignment="1" applyProtection="1">
      <alignment horizontal="centerContinuous"/>
    </xf>
    <xf numFmtId="0" fontId="8" fillId="0" borderId="0" xfId="43" applyFont="1" applyProtection="1">
      <protection locked="0"/>
    </xf>
    <xf numFmtId="173" fontId="20" fillId="0" borderId="0" xfId="43" applyNumberFormat="1" applyFont="1" applyAlignment="1" applyProtection="1">
      <alignment horizontal="center"/>
    </xf>
    <xf numFmtId="0" fontId="8" fillId="0" borderId="0" xfId="44" applyFont="1" applyAlignment="1" applyProtection="1">
      <alignment horizontal="right"/>
    </xf>
    <xf numFmtId="164" fontId="8" fillId="0" borderId="0" xfId="44" applyNumberFormat="1" applyFont="1" applyAlignment="1" applyProtection="1">
      <alignment horizontal="center"/>
    </xf>
    <xf numFmtId="0" fontId="8" fillId="0" borderId="0" xfId="44" applyFont="1" applyProtection="1"/>
    <xf numFmtId="0" fontId="20" fillId="0" borderId="0" xfId="44" applyFont="1" applyProtection="1">
      <protection locked="0"/>
    </xf>
    <xf numFmtId="173" fontId="8" fillId="0" borderId="0" xfId="44" applyNumberFormat="1" applyFont="1" applyAlignment="1" applyProtection="1">
      <alignment horizontal="center"/>
    </xf>
    <xf numFmtId="0" fontId="8" fillId="0" borderId="0" xfId="44" applyFont="1" applyAlignment="1" applyProtection="1">
      <alignment horizontal="center"/>
    </xf>
    <xf numFmtId="0" fontId="12" fillId="0" borderId="0" xfId="44" applyFont="1" applyAlignment="1" applyProtection="1">
      <alignment horizontal="center"/>
    </xf>
    <xf numFmtId="173" fontId="8" fillId="0" borderId="4" xfId="44" applyNumberFormat="1" applyFont="1" applyBorder="1" applyAlignment="1" applyProtection="1">
      <alignment horizontal="center"/>
    </xf>
    <xf numFmtId="0" fontId="8" fillId="0" borderId="4" xfId="44" applyFont="1" applyBorder="1" applyAlignment="1" applyProtection="1">
      <alignment horizontal="center"/>
    </xf>
    <xf numFmtId="0" fontId="20" fillId="0" borderId="0" xfId="44" applyFont="1" applyProtection="1"/>
    <xf numFmtId="173" fontId="8" fillId="0" borderId="7" xfId="44" applyNumberFormat="1" applyFont="1" applyBorder="1" applyAlignment="1" applyProtection="1">
      <alignment horizontal="center"/>
    </xf>
    <xf numFmtId="0" fontId="8" fillId="0" borderId="7" xfId="44" applyFont="1" applyBorder="1" applyAlignment="1" applyProtection="1">
      <alignment horizontal="center"/>
    </xf>
    <xf numFmtId="0" fontId="8" fillId="0" borderId="1" xfId="44" applyFont="1" applyBorder="1" applyProtection="1"/>
    <xf numFmtId="173" fontId="8" fillId="0" borderId="12" xfId="44" applyNumberFormat="1" applyFont="1" applyBorder="1" applyAlignment="1" applyProtection="1">
      <alignment horizontal="center"/>
    </xf>
    <xf numFmtId="172" fontId="8" fillId="0" borderId="12" xfId="44" applyNumberFormat="1" applyFont="1" applyBorder="1" applyAlignment="1" applyProtection="1">
      <alignment horizontal="center"/>
    </xf>
    <xf numFmtId="173" fontId="8" fillId="0" borderId="12" xfId="44" applyNumberFormat="1" applyFont="1" applyBorder="1" applyAlignment="1" applyProtection="1">
      <alignment horizontal="left"/>
    </xf>
    <xf numFmtId="3" fontId="8" fillId="2" borderId="12" xfId="44" applyNumberFormat="1" applyFont="1" applyFill="1" applyBorder="1" applyAlignment="1" applyProtection="1">
      <protection locked="0"/>
    </xf>
    <xf numFmtId="3" fontId="8" fillId="0" borderId="12" xfId="44" applyNumberFormat="1" applyFont="1" applyFill="1" applyBorder="1" applyAlignment="1" applyProtection="1"/>
    <xf numFmtId="3" fontId="8" fillId="0" borderId="13" xfId="44" applyNumberFormat="1" applyFont="1" applyFill="1" applyBorder="1" applyAlignment="1" applyProtection="1"/>
    <xf numFmtId="173" fontId="8" fillId="0" borderId="7" xfId="44" applyNumberFormat="1" applyFont="1" applyBorder="1" applyAlignment="1" applyProtection="1">
      <alignment horizontal="left"/>
    </xf>
    <xf numFmtId="3" fontId="8" fillId="2" borderId="7" xfId="44" applyNumberFormat="1" applyFont="1" applyFill="1" applyBorder="1" applyAlignment="1" applyProtection="1">
      <protection locked="0"/>
    </xf>
    <xf numFmtId="3" fontId="8" fillId="0" borderId="7" xfId="44" applyNumberFormat="1" applyFont="1" applyBorder="1" applyAlignment="1" applyProtection="1"/>
    <xf numFmtId="173" fontId="8" fillId="0" borderId="4" xfId="44" applyNumberFormat="1" applyFont="1" applyBorder="1" applyAlignment="1" applyProtection="1">
      <alignment horizontal="left"/>
    </xf>
    <xf numFmtId="3" fontId="8" fillId="0" borderId="4" xfId="44" applyNumberFormat="1" applyFont="1" applyBorder="1" applyAlignment="1" applyProtection="1"/>
    <xf numFmtId="173" fontId="8" fillId="0" borderId="13" xfId="44" applyNumberFormat="1" applyFont="1" applyBorder="1" applyAlignment="1" applyProtection="1">
      <alignment horizontal="left"/>
    </xf>
    <xf numFmtId="173" fontId="8" fillId="0" borderId="13" xfId="44" applyNumberFormat="1" applyFont="1" applyBorder="1" applyAlignment="1" applyProtection="1">
      <alignment horizontal="center"/>
    </xf>
    <xf numFmtId="3" fontId="8" fillId="2" borderId="13" xfId="44" applyNumberFormat="1" applyFont="1" applyFill="1" applyBorder="1" applyAlignment="1" applyProtection="1">
      <protection locked="0"/>
    </xf>
    <xf numFmtId="3" fontId="8" fillId="0" borderId="4" xfId="44" applyNumberFormat="1" applyFont="1" applyFill="1" applyBorder="1" applyAlignment="1" applyProtection="1"/>
    <xf numFmtId="0" fontId="8" fillId="0" borderId="13" xfId="44" applyFont="1" applyBorder="1" applyAlignment="1" applyProtection="1">
      <alignment horizontal="left"/>
    </xf>
    <xf numFmtId="0" fontId="8" fillId="0" borderId="13" xfId="44" applyFont="1" applyBorder="1" applyAlignment="1" applyProtection="1">
      <alignment horizontal="center"/>
    </xf>
    <xf numFmtId="3" fontId="12" fillId="0" borderId="4" xfId="44" applyNumberFormat="1" applyFont="1" applyBorder="1" applyAlignment="1" applyProtection="1"/>
    <xf numFmtId="0" fontId="12" fillId="3" borderId="13" xfId="44" applyFont="1" applyFill="1" applyBorder="1" applyAlignment="1" applyProtection="1">
      <alignment horizontal="left"/>
    </xf>
    <xf numFmtId="0" fontId="12" fillId="0" borderId="13" xfId="44" applyFont="1" applyBorder="1" applyAlignment="1" applyProtection="1">
      <alignment horizontal="center"/>
    </xf>
    <xf numFmtId="0" fontId="8" fillId="0" borderId="4" xfId="44" applyFont="1" applyBorder="1" applyAlignment="1" applyProtection="1">
      <alignment horizontal="left"/>
    </xf>
    <xf numFmtId="0" fontId="8" fillId="0" borderId="12" xfId="44" applyFont="1" applyBorder="1" applyAlignment="1" applyProtection="1">
      <alignment horizontal="left"/>
    </xf>
    <xf numFmtId="0" fontId="8" fillId="0" borderId="12" xfId="44" applyFont="1" applyBorder="1" applyAlignment="1" applyProtection="1">
      <alignment horizontal="center"/>
    </xf>
    <xf numFmtId="3" fontId="8" fillId="3" borderId="12" xfId="44" applyNumberFormat="1" applyFont="1" applyFill="1" applyBorder="1" applyAlignment="1" applyProtection="1"/>
    <xf numFmtId="0" fontId="12" fillId="0" borderId="13" xfId="44" applyFont="1" applyBorder="1" applyAlignment="1" applyProtection="1">
      <alignment horizontal="left"/>
    </xf>
    <xf numFmtId="3" fontId="8" fillId="3" borderId="13" xfId="44" applyNumberFormat="1" applyFont="1" applyFill="1" applyBorder="1" applyAlignment="1" applyProtection="1"/>
    <xf numFmtId="0" fontId="8" fillId="0" borderId="0" xfId="44" applyFont="1" applyBorder="1" applyAlignment="1" applyProtection="1">
      <alignment horizontal="left"/>
    </xf>
    <xf numFmtId="3" fontId="8" fillId="0" borderId="2" xfId="44" applyNumberFormat="1" applyFont="1" applyBorder="1" applyAlignment="1" applyProtection="1"/>
    <xf numFmtId="3" fontId="8" fillId="0" borderId="14" xfId="44" applyNumberFormat="1" applyFont="1" applyBorder="1" applyAlignment="1" applyProtection="1"/>
    <xf numFmtId="3" fontId="8" fillId="0" borderId="3" xfId="44" applyNumberFormat="1" applyFont="1" applyBorder="1" applyAlignment="1" applyProtection="1"/>
    <xf numFmtId="0" fontId="12" fillId="0" borderId="0" xfId="44" applyFont="1" applyBorder="1" applyAlignment="1" applyProtection="1">
      <alignment horizontal="left"/>
    </xf>
    <xf numFmtId="0" fontId="8" fillId="0" borderId="0" xfId="44" applyFont="1" applyBorder="1" applyAlignment="1" applyProtection="1">
      <alignment horizontal="center"/>
    </xf>
    <xf numFmtId="0" fontId="8" fillId="0" borderId="0" xfId="44" applyFont="1" applyAlignment="1" applyProtection="1">
      <alignment horizontal="centerContinuous"/>
    </xf>
    <xf numFmtId="0" fontId="8" fillId="0" borderId="0" xfId="44" applyFont="1" applyProtection="1">
      <protection locked="0"/>
    </xf>
    <xf numFmtId="173" fontId="20" fillId="0" borderId="0" xfId="44" applyNumberFormat="1" applyFont="1" applyAlignment="1" applyProtection="1">
      <alignment horizontal="center"/>
    </xf>
    <xf numFmtId="0" fontId="8" fillId="0" borderId="0" xfId="45" applyFont="1" applyAlignment="1" applyProtection="1">
      <alignment horizontal="right"/>
    </xf>
    <xf numFmtId="164" fontId="8" fillId="0" borderId="0" xfId="45" applyNumberFormat="1" applyFont="1" applyAlignment="1" applyProtection="1">
      <alignment horizontal="center"/>
    </xf>
    <xf numFmtId="0" fontId="8" fillId="0" borderId="0" xfId="45" applyFont="1" applyProtection="1"/>
    <xf numFmtId="0" fontId="20" fillId="0" borderId="0" xfId="45" applyFont="1" applyProtection="1">
      <protection locked="0"/>
    </xf>
    <xf numFmtId="173" fontId="8" fillId="0" borderId="0" xfId="45" applyNumberFormat="1" applyFont="1" applyAlignment="1" applyProtection="1">
      <alignment horizontal="center"/>
    </xf>
    <xf numFmtId="0" fontId="8" fillId="0" borderId="0" xfId="45" applyFont="1" applyAlignment="1" applyProtection="1">
      <alignment horizontal="center"/>
    </xf>
    <xf numFmtId="0" fontId="12" fillId="0" borderId="0" xfId="45" applyFont="1" applyAlignment="1" applyProtection="1">
      <alignment horizontal="center"/>
    </xf>
    <xf numFmtId="173" fontId="8" fillId="0" borderId="4" xfId="45" applyNumberFormat="1" applyFont="1" applyBorder="1" applyAlignment="1" applyProtection="1">
      <alignment horizontal="center"/>
    </xf>
    <xf numFmtId="0" fontId="8" fillId="0" borderId="4" xfId="45" applyFont="1" applyBorder="1" applyAlignment="1" applyProtection="1">
      <alignment horizontal="center"/>
    </xf>
    <xf numFmtId="0" fontId="20" fillId="0" borderId="0" xfId="45" applyFont="1" applyProtection="1"/>
    <xf numFmtId="173" fontId="8" fillId="0" borderId="7" xfId="45" applyNumberFormat="1" applyFont="1" applyBorder="1" applyAlignment="1" applyProtection="1">
      <alignment horizontal="center"/>
    </xf>
    <xf numFmtId="0" fontId="8" fillId="0" borderId="7" xfId="45" applyFont="1" applyBorder="1" applyAlignment="1" applyProtection="1">
      <alignment horizontal="center"/>
    </xf>
    <xf numFmtId="0" fontId="8" fillId="0" borderId="1" xfId="45" applyFont="1" applyBorder="1" applyProtection="1"/>
    <xf numFmtId="173" fontId="8" fillId="0" borderId="12" xfId="45" applyNumberFormat="1" applyFont="1" applyBorder="1" applyAlignment="1" applyProtection="1">
      <alignment horizontal="center"/>
    </xf>
    <xf numFmtId="172" fontId="8" fillId="0" borderId="12" xfId="45" applyNumberFormat="1" applyFont="1" applyBorder="1" applyAlignment="1" applyProtection="1">
      <alignment horizontal="center"/>
    </xf>
    <xf numFmtId="173" fontId="8" fillId="0" borderId="12" xfId="45" applyNumberFormat="1" applyFont="1" applyBorder="1" applyAlignment="1" applyProtection="1">
      <alignment horizontal="left"/>
    </xf>
    <xf numFmtId="3" fontId="8" fillId="2" borderId="12" xfId="45" applyNumberFormat="1" applyFont="1" applyFill="1" applyBorder="1" applyAlignment="1" applyProtection="1">
      <protection locked="0"/>
    </xf>
    <xf numFmtId="3" fontId="8" fillId="0" borderId="12" xfId="45" applyNumberFormat="1" applyFont="1" applyFill="1" applyBorder="1" applyAlignment="1" applyProtection="1"/>
    <xf numFmtId="3" fontId="8" fillId="0" borderId="13" xfId="45" applyNumberFormat="1" applyFont="1" applyFill="1" applyBorder="1" applyAlignment="1" applyProtection="1"/>
    <xf numFmtId="173" fontId="8" fillId="0" borderId="7" xfId="45" applyNumberFormat="1" applyFont="1" applyBorder="1" applyAlignment="1" applyProtection="1">
      <alignment horizontal="left"/>
    </xf>
    <xf numFmtId="3" fontId="8" fillId="2" borderId="7" xfId="45" applyNumberFormat="1" applyFont="1" applyFill="1" applyBorder="1" applyAlignment="1" applyProtection="1">
      <protection locked="0"/>
    </xf>
    <xf numFmtId="3" fontId="8" fillId="0" borderId="7" xfId="45" applyNumberFormat="1" applyFont="1" applyBorder="1" applyAlignment="1" applyProtection="1"/>
    <xf numFmtId="173" fontId="8" fillId="0" borderId="4" xfId="45" applyNumberFormat="1" applyFont="1" applyBorder="1" applyAlignment="1" applyProtection="1">
      <alignment horizontal="left"/>
    </xf>
    <xf numFmtId="3" fontId="8" fillId="0" borderId="4" xfId="45" applyNumberFormat="1" applyFont="1" applyBorder="1" applyAlignment="1" applyProtection="1"/>
    <xf numFmtId="173" fontId="8" fillId="0" borderId="13" xfId="45" applyNumberFormat="1" applyFont="1" applyBorder="1" applyAlignment="1" applyProtection="1">
      <alignment horizontal="left"/>
    </xf>
    <xf numFmtId="173" fontId="8" fillId="0" borderId="13" xfId="45" applyNumberFormat="1" applyFont="1" applyBorder="1" applyAlignment="1" applyProtection="1">
      <alignment horizontal="center"/>
    </xf>
    <xf numFmtId="3" fontId="8" fillId="2" borderId="13" xfId="45" applyNumberFormat="1" applyFont="1" applyFill="1" applyBorder="1" applyAlignment="1" applyProtection="1">
      <protection locked="0"/>
    </xf>
    <xf numFmtId="0" fontId="8" fillId="0" borderId="13" xfId="45" applyFont="1" applyBorder="1" applyAlignment="1" applyProtection="1">
      <alignment horizontal="left"/>
    </xf>
    <xf numFmtId="0" fontId="8" fillId="0" borderId="13" xfId="45" applyFont="1" applyBorder="1" applyAlignment="1" applyProtection="1">
      <alignment horizontal="center"/>
    </xf>
    <xf numFmtId="3" fontId="12" fillId="0" borderId="4" xfId="45" applyNumberFormat="1" applyFont="1" applyBorder="1" applyAlignment="1" applyProtection="1"/>
    <xf numFmtId="0" fontId="12" fillId="3" borderId="13" xfId="45" applyFont="1" applyFill="1" applyBorder="1" applyAlignment="1" applyProtection="1">
      <alignment horizontal="left"/>
    </xf>
    <xf numFmtId="0" fontId="8" fillId="0" borderId="4" xfId="45" applyFont="1" applyBorder="1" applyAlignment="1" applyProtection="1">
      <alignment horizontal="left"/>
    </xf>
    <xf numFmtId="0" fontId="8" fillId="0" borderId="12" xfId="45" applyFont="1" applyBorder="1" applyAlignment="1" applyProtection="1">
      <alignment horizontal="left"/>
    </xf>
    <xf numFmtId="0" fontId="8" fillId="0" borderId="12" xfId="45" applyFont="1" applyBorder="1" applyAlignment="1" applyProtection="1">
      <alignment horizontal="center"/>
    </xf>
    <xf numFmtId="3" fontId="8" fillId="3" borderId="12" xfId="45" applyNumberFormat="1" applyFont="1" applyFill="1" applyBorder="1" applyAlignment="1" applyProtection="1"/>
    <xf numFmtId="0" fontId="12" fillId="0" borderId="13" xfId="45" applyFont="1" applyBorder="1" applyAlignment="1" applyProtection="1">
      <alignment horizontal="left"/>
    </xf>
    <xf numFmtId="0" fontId="12" fillId="0" borderId="13" xfId="45" applyFont="1" applyBorder="1" applyAlignment="1" applyProtection="1">
      <alignment horizontal="center"/>
    </xf>
    <xf numFmtId="0" fontId="8" fillId="0" borderId="0" xfId="45" applyFont="1" applyBorder="1" applyAlignment="1" applyProtection="1">
      <alignment horizontal="left"/>
    </xf>
    <xf numFmtId="3" fontId="8" fillId="0" borderId="2" xfId="45" applyNumberFormat="1" applyFont="1" applyBorder="1" applyAlignment="1" applyProtection="1"/>
    <xf numFmtId="3" fontId="8" fillId="0" borderId="14" xfId="45" applyNumberFormat="1" applyFont="1" applyBorder="1" applyAlignment="1" applyProtection="1"/>
    <xf numFmtId="3" fontId="8" fillId="0" borderId="3" xfId="45" applyNumberFormat="1" applyFont="1" applyBorder="1" applyAlignment="1" applyProtection="1"/>
    <xf numFmtId="0" fontId="12" fillId="0" borderId="0" xfId="45" applyFont="1" applyBorder="1" applyAlignment="1" applyProtection="1">
      <alignment horizontal="left"/>
    </xf>
    <xf numFmtId="0" fontId="8" fillId="0" borderId="0" xfId="45" applyFont="1" applyBorder="1" applyAlignment="1" applyProtection="1">
      <alignment horizontal="center"/>
    </xf>
    <xf numFmtId="0" fontId="8" fillId="0" borderId="0" xfId="45" applyFont="1" applyAlignment="1" applyProtection="1">
      <alignment horizontal="centerContinuous"/>
    </xf>
    <xf numFmtId="0" fontId="8" fillId="0" borderId="0" xfId="45" applyFont="1" applyProtection="1">
      <protection locked="0"/>
    </xf>
    <xf numFmtId="173" fontId="20" fillId="0" borderId="0" xfId="45" applyNumberFormat="1" applyFont="1" applyAlignment="1" applyProtection="1">
      <alignment horizontal="center"/>
    </xf>
    <xf numFmtId="0" fontId="16" fillId="0" borderId="0" xfId="46" applyFont="1" applyFill="1" applyAlignment="1" applyProtection="1">
      <alignment vertical="top"/>
    </xf>
    <xf numFmtId="0" fontId="16" fillId="0" borderId="0" xfId="46" applyFont="1" applyFill="1" applyAlignment="1" applyProtection="1">
      <alignment horizontal="center"/>
    </xf>
    <xf numFmtId="0" fontId="16" fillId="0" borderId="0" xfId="46" applyFont="1" applyFill="1" applyProtection="1"/>
    <xf numFmtId="0" fontId="16" fillId="0" borderId="0" xfId="46" applyFont="1" applyFill="1" applyAlignment="1" applyProtection="1">
      <alignment horizontal="right"/>
    </xf>
    <xf numFmtId="0" fontId="30" fillId="0" borderId="0" xfId="46" applyFont="1" applyFill="1" applyProtection="1"/>
    <xf numFmtId="0" fontId="14" fillId="0" borderId="0" xfId="46" applyFont="1" applyFill="1" applyProtection="1"/>
    <xf numFmtId="0" fontId="25" fillId="0" borderId="0" xfId="46" applyFont="1" applyFill="1" applyAlignment="1" applyProtection="1">
      <alignment horizontal="centerContinuous"/>
    </xf>
    <xf numFmtId="0" fontId="16" fillId="0" borderId="0" xfId="46" applyFont="1" applyFill="1" applyAlignment="1" applyProtection="1">
      <alignment horizontal="centerContinuous"/>
    </xf>
    <xf numFmtId="0" fontId="16" fillId="0" borderId="0" xfId="46" applyFont="1" applyFill="1" applyBorder="1" applyAlignment="1" applyProtection="1">
      <alignment horizontal="centerContinuous"/>
      <protection locked="0"/>
    </xf>
    <xf numFmtId="0" fontId="16" fillId="0" borderId="0" xfId="46" applyFont="1" applyFill="1" applyAlignment="1" applyProtection="1">
      <alignment horizontal="centerContinuous"/>
      <protection locked="0"/>
    </xf>
    <xf numFmtId="0" fontId="16" fillId="0" borderId="0" xfId="46" applyFont="1" applyFill="1" applyProtection="1">
      <protection locked="0"/>
    </xf>
    <xf numFmtId="0" fontId="30" fillId="0" borderId="0" xfId="46" applyFont="1" applyFill="1" applyProtection="1">
      <protection locked="0"/>
    </xf>
    <xf numFmtId="0" fontId="38" fillId="0" borderId="0" xfId="46" applyFont="1" applyFill="1" applyProtection="1"/>
    <xf numFmtId="0" fontId="16" fillId="0" borderId="0" xfId="46" applyFont="1" applyFill="1" applyAlignment="1" applyProtection="1">
      <alignment horizontal="center" vertical="top"/>
    </xf>
    <xf numFmtId="0" fontId="16" fillId="0" borderId="2" xfId="46" applyFont="1" applyFill="1" applyBorder="1" applyAlignment="1" applyProtection="1">
      <alignment horizontal="centerContinuous" vertical="top"/>
    </xf>
    <xf numFmtId="0" fontId="16" fillId="0" borderId="3" xfId="46" applyFont="1" applyFill="1" applyBorder="1" applyAlignment="1" applyProtection="1">
      <alignment horizontal="centerContinuous" vertical="top"/>
    </xf>
    <xf numFmtId="0" fontId="16" fillId="0" borderId="14" xfId="46" applyFont="1" applyFill="1" applyBorder="1" applyAlignment="1" applyProtection="1">
      <alignment horizontal="centerContinuous" vertical="top"/>
    </xf>
    <xf numFmtId="0" fontId="16" fillId="0" borderId="4" xfId="46" applyFont="1" applyFill="1" applyBorder="1" applyAlignment="1" applyProtection="1">
      <alignment horizontal="center" vertical="top"/>
    </xf>
    <xf numFmtId="0" fontId="16" fillId="0" borderId="7" xfId="46" applyFont="1" applyFill="1" applyBorder="1" applyAlignment="1" applyProtection="1">
      <alignment horizontal="center" vertical="top"/>
    </xf>
    <xf numFmtId="0" fontId="16" fillId="0" borderId="12" xfId="46" applyFont="1" applyFill="1" applyBorder="1" applyAlignment="1" applyProtection="1">
      <alignment horizontal="center" vertical="top"/>
    </xf>
    <xf numFmtId="172" fontId="16" fillId="0" borderId="12" xfId="46" applyNumberFormat="1" applyFont="1" applyFill="1" applyBorder="1" applyAlignment="1" applyProtection="1">
      <alignment horizontal="center" vertical="top"/>
    </xf>
    <xf numFmtId="173" fontId="16" fillId="0" borderId="4" xfId="46" applyNumberFormat="1" applyFont="1" applyFill="1" applyBorder="1" applyAlignment="1" applyProtection="1">
      <alignment horizontal="left" vertical="top"/>
    </xf>
    <xf numFmtId="173" fontId="16" fillId="0" borderId="4" xfId="46" applyNumberFormat="1" applyFont="1" applyFill="1" applyBorder="1" applyAlignment="1" applyProtection="1">
      <alignment horizontal="center" vertical="top"/>
    </xf>
    <xf numFmtId="3" fontId="16" fillId="0" borderId="4" xfId="46" applyNumberFormat="1" applyFont="1" applyFill="1" applyBorder="1" applyAlignment="1" applyProtection="1">
      <alignment vertical="top"/>
    </xf>
    <xf numFmtId="169" fontId="16" fillId="0" borderId="4" xfId="46" applyNumberFormat="1" applyFont="1" applyFill="1" applyBorder="1" applyAlignment="1" applyProtection="1">
      <alignment vertical="top"/>
    </xf>
    <xf numFmtId="4" fontId="16" fillId="0" borderId="4" xfId="46" applyNumberFormat="1" applyFont="1" applyFill="1" applyBorder="1" applyAlignment="1" applyProtection="1">
      <alignment vertical="top"/>
    </xf>
    <xf numFmtId="173" fontId="16" fillId="0" borderId="12" xfId="46" applyNumberFormat="1" applyFont="1" applyFill="1" applyBorder="1" applyAlignment="1" applyProtection="1">
      <alignment horizontal="left" vertical="top"/>
    </xf>
    <xf numFmtId="173" fontId="16" fillId="0" borderId="12" xfId="46" applyNumberFormat="1" applyFont="1" applyFill="1" applyBorder="1" applyAlignment="1" applyProtection="1">
      <alignment horizontal="center" vertical="top"/>
    </xf>
    <xf numFmtId="3" fontId="16" fillId="0" borderId="12" xfId="46" applyNumberFormat="1" applyFont="1" applyFill="1" applyBorder="1" applyAlignment="1" applyProtection="1">
      <alignment vertical="top"/>
    </xf>
    <xf numFmtId="169" fontId="16" fillId="0" borderId="12" xfId="46" applyNumberFormat="1" applyFont="1" applyFill="1" applyBorder="1" applyAlignment="1" applyProtection="1">
      <alignment vertical="top"/>
    </xf>
    <xf numFmtId="173" fontId="16" fillId="0" borderId="13" xfId="46" applyNumberFormat="1" applyFont="1" applyFill="1" applyBorder="1" applyAlignment="1" applyProtection="1">
      <alignment horizontal="left" vertical="top"/>
    </xf>
    <xf numFmtId="173" fontId="16" fillId="0" borderId="13" xfId="46" applyNumberFormat="1" applyFont="1" applyFill="1" applyBorder="1" applyAlignment="1" applyProtection="1">
      <alignment horizontal="center" vertical="top"/>
    </xf>
    <xf numFmtId="3" fontId="16" fillId="0" borderId="13" xfId="46" applyNumberFormat="1" applyFont="1" applyFill="1" applyBorder="1" applyAlignment="1" applyProtection="1">
      <alignment vertical="top"/>
    </xf>
    <xf numFmtId="169" fontId="16" fillId="0" borderId="13" xfId="46" applyNumberFormat="1" applyFont="1" applyFill="1" applyBorder="1" applyAlignment="1" applyProtection="1">
      <alignment vertical="top"/>
    </xf>
    <xf numFmtId="3" fontId="16" fillId="0" borderId="13" xfId="46" quotePrefix="1" applyNumberFormat="1" applyFont="1" applyFill="1" applyBorder="1" applyAlignment="1" applyProtection="1">
      <alignment vertical="top"/>
    </xf>
    <xf numFmtId="169" fontId="16" fillId="0" borderId="7" xfId="46" applyNumberFormat="1" applyFont="1" applyFill="1" applyBorder="1" applyAlignment="1" applyProtection="1">
      <alignment vertical="top"/>
    </xf>
    <xf numFmtId="3" fontId="16" fillId="0" borderId="7" xfId="46" applyNumberFormat="1" applyFont="1" applyFill="1" applyBorder="1" applyAlignment="1" applyProtection="1">
      <alignment vertical="top"/>
    </xf>
    <xf numFmtId="169" fontId="16" fillId="0" borderId="0" xfId="46" applyNumberFormat="1" applyFont="1" applyFill="1" applyBorder="1" applyAlignment="1" applyProtection="1">
      <alignment vertical="top"/>
    </xf>
    <xf numFmtId="3" fontId="16" fillId="0" borderId="0" xfId="46" applyNumberFormat="1" applyFont="1" applyFill="1" applyAlignment="1" applyProtection="1">
      <alignment vertical="top"/>
    </xf>
    <xf numFmtId="3" fontId="16" fillId="0" borderId="0" xfId="46" applyNumberFormat="1" applyFont="1" applyFill="1" applyBorder="1" applyAlignment="1" applyProtection="1">
      <alignment vertical="top"/>
    </xf>
    <xf numFmtId="173" fontId="16" fillId="0" borderId="0" xfId="46" applyNumberFormat="1" applyFont="1" applyFill="1" applyAlignment="1" applyProtection="1">
      <alignment horizontal="centerContinuous" vertical="top"/>
    </xf>
    <xf numFmtId="3" fontId="16" fillId="0" borderId="0" xfId="46" applyNumberFormat="1" applyFont="1" applyFill="1" applyAlignment="1" applyProtection="1">
      <alignment horizontal="centerContinuous" vertical="top"/>
    </xf>
    <xf numFmtId="3" fontId="16" fillId="0" borderId="0" xfId="46" applyNumberFormat="1" applyFont="1" applyFill="1" applyProtection="1"/>
    <xf numFmtId="3" fontId="16" fillId="0" borderId="0" xfId="46" applyNumberFormat="1" applyFont="1" applyFill="1" applyProtection="1">
      <protection locked="0"/>
    </xf>
    <xf numFmtId="0" fontId="16" fillId="0" borderId="1" xfId="46" applyFont="1" applyFill="1" applyBorder="1" applyAlignment="1" applyProtection="1">
      <alignment vertical="top"/>
    </xf>
    <xf numFmtId="172" fontId="16" fillId="0" borderId="7" xfId="46" applyNumberFormat="1" applyFont="1" applyFill="1" applyBorder="1" applyAlignment="1" applyProtection="1">
      <alignment horizontal="center" vertical="top"/>
    </xf>
    <xf numFmtId="0" fontId="16" fillId="0" borderId="4" xfId="46" applyFont="1" applyFill="1" applyBorder="1" applyAlignment="1" applyProtection="1">
      <alignment vertical="top"/>
    </xf>
    <xf numFmtId="2" fontId="16" fillId="0" borderId="7" xfId="46" applyNumberFormat="1" applyFont="1" applyFill="1" applyBorder="1" applyAlignment="1" applyProtection="1">
      <alignment vertical="top"/>
    </xf>
    <xf numFmtId="0" fontId="16" fillId="0" borderId="12" xfId="46" applyFont="1" applyFill="1" applyBorder="1" applyAlignment="1" applyProtection="1">
      <alignment vertical="top"/>
    </xf>
    <xf numFmtId="0" fontId="16" fillId="0" borderId="13" xfId="46" applyFont="1" applyFill="1" applyBorder="1" applyAlignment="1" applyProtection="1">
      <alignment vertical="top"/>
    </xf>
    <xf numFmtId="0" fontId="16" fillId="0" borderId="13" xfId="46" applyFont="1" applyFill="1" applyBorder="1" applyAlignment="1" applyProtection="1">
      <alignment horizontal="center" vertical="top"/>
    </xf>
    <xf numFmtId="0" fontId="16" fillId="0" borderId="8" xfId="46" applyFont="1" applyFill="1" applyBorder="1" applyAlignment="1" applyProtection="1">
      <alignment vertical="top"/>
    </xf>
    <xf numFmtId="0" fontId="16" fillId="0" borderId="5" xfId="46" applyFont="1" applyFill="1" applyBorder="1" applyAlignment="1" applyProtection="1">
      <alignment horizontal="center" vertical="top"/>
    </xf>
    <xf numFmtId="169" fontId="16" fillId="0" borderId="0" xfId="46" applyNumberFormat="1" applyFont="1" applyFill="1" applyAlignment="1" applyProtection="1">
      <alignment vertical="top"/>
    </xf>
    <xf numFmtId="3" fontId="16" fillId="0" borderId="6" xfId="46" applyNumberFormat="1" applyFont="1" applyFill="1" applyBorder="1" applyAlignment="1" applyProtection="1">
      <alignment vertical="top"/>
    </xf>
    <xf numFmtId="0" fontId="16" fillId="0" borderId="10" xfId="46" applyFont="1" applyFill="1" applyBorder="1" applyAlignment="1" applyProtection="1">
      <alignment vertical="top"/>
    </xf>
    <xf numFmtId="0" fontId="16" fillId="0" borderId="10" xfId="46" applyFont="1" applyFill="1" applyBorder="1" applyAlignment="1" applyProtection="1">
      <alignment horizontal="center" vertical="top"/>
    </xf>
    <xf numFmtId="3" fontId="16" fillId="0" borderId="9" xfId="46" applyNumberFormat="1" applyFont="1" applyFill="1" applyBorder="1" applyAlignment="1" applyProtection="1">
      <alignment vertical="top"/>
    </xf>
    <xf numFmtId="2" fontId="16" fillId="0" borderId="13" xfId="46" applyNumberFormat="1" applyFont="1" applyFill="1" applyBorder="1" applyAlignment="1" applyProtection="1">
      <alignment horizontal="center" vertical="top"/>
    </xf>
    <xf numFmtId="2" fontId="16" fillId="0" borderId="7" xfId="46" applyNumberFormat="1" applyFont="1" applyFill="1" applyBorder="1" applyAlignment="1" applyProtection="1">
      <alignment horizontal="center" vertical="top"/>
    </xf>
    <xf numFmtId="3" fontId="16" fillId="0" borderId="0" xfId="46" applyNumberFormat="1" applyFont="1" applyFill="1" applyAlignment="1" applyProtection="1"/>
    <xf numFmtId="3" fontId="25" fillId="0" borderId="0" xfId="46" applyNumberFormat="1" applyFont="1" applyFill="1" applyProtection="1">
      <protection locked="0"/>
    </xf>
    <xf numFmtId="0" fontId="34" fillId="0" borderId="0" xfId="46" applyFont="1" applyFill="1" applyProtection="1">
      <protection locked="0"/>
    </xf>
    <xf numFmtId="2" fontId="16" fillId="0" borderId="0" xfId="46" applyNumberFormat="1" applyFont="1" applyFill="1" applyAlignment="1" applyProtection="1">
      <alignment vertical="top"/>
    </xf>
    <xf numFmtId="2" fontId="16" fillId="0" borderId="4" xfId="46" applyNumberFormat="1" applyFont="1" applyFill="1" applyBorder="1" applyAlignment="1" applyProtection="1">
      <alignment vertical="top"/>
    </xf>
    <xf numFmtId="169" fontId="16" fillId="0" borderId="1" xfId="46" applyNumberFormat="1" applyFont="1" applyFill="1" applyBorder="1" applyAlignment="1" applyProtection="1">
      <alignment vertical="top"/>
    </xf>
    <xf numFmtId="2" fontId="16" fillId="0" borderId="0" xfId="46" applyNumberFormat="1" applyFont="1" applyFill="1" applyBorder="1" applyAlignment="1" applyProtection="1">
      <alignment vertical="top"/>
    </xf>
    <xf numFmtId="0" fontId="16" fillId="0" borderId="10" xfId="46" applyFont="1" applyFill="1" applyBorder="1" applyAlignment="1" applyProtection="1">
      <alignment horizontal="left" vertical="top"/>
    </xf>
    <xf numFmtId="5" fontId="16" fillId="0" borderId="13" xfId="46" applyNumberFormat="1" applyFont="1" applyFill="1" applyBorder="1" applyAlignment="1" applyProtection="1">
      <alignment horizontal="right" vertical="top"/>
    </xf>
    <xf numFmtId="5" fontId="16" fillId="0" borderId="13" xfId="46" applyNumberFormat="1" applyFont="1" applyFill="1" applyBorder="1" applyAlignment="1" applyProtection="1">
      <alignment vertical="top"/>
    </xf>
    <xf numFmtId="0" fontId="16" fillId="0" borderId="1" xfId="46" applyFont="1" applyFill="1" applyBorder="1" applyAlignment="1" applyProtection="1">
      <alignment horizontal="center" vertical="top"/>
    </xf>
    <xf numFmtId="2" fontId="16" fillId="0" borderId="1" xfId="46" applyNumberFormat="1" applyFont="1" applyFill="1" applyBorder="1" applyAlignment="1" applyProtection="1">
      <alignment vertical="top"/>
    </xf>
    <xf numFmtId="0" fontId="30" fillId="0" borderId="0" xfId="46" applyFont="1" applyFill="1" applyAlignment="1" applyProtection="1">
      <alignment horizontal="center"/>
    </xf>
    <xf numFmtId="167" fontId="8" fillId="0" borderId="1" xfId="48" applyNumberFormat="1" applyFont="1" applyFill="1" applyBorder="1" applyProtection="1"/>
    <xf numFmtId="5" fontId="8" fillId="0" borderId="0" xfId="24" applyNumberFormat="1" applyFont="1" applyFill="1" applyProtection="1"/>
    <xf numFmtId="0" fontId="0" fillId="0" borderId="13" xfId="0" applyBorder="1"/>
    <xf numFmtId="3" fontId="16" fillId="2" borderId="13" xfId="0" applyNumberFormat="1" applyFont="1" applyFill="1" applyBorder="1" applyAlignment="1" applyProtection="1">
      <alignment vertical="top"/>
      <protection locked="0"/>
    </xf>
    <xf numFmtId="3" fontId="16" fillId="0" borderId="4" xfId="0" applyNumberFormat="1" applyFont="1" applyBorder="1" applyAlignment="1" applyProtection="1">
      <alignment vertical="top"/>
    </xf>
    <xf numFmtId="3" fontId="16" fillId="0" borderId="7" xfId="0" applyNumberFormat="1" applyFont="1" applyBorder="1" applyAlignment="1" applyProtection="1">
      <alignment vertical="top"/>
    </xf>
    <xf numFmtId="3" fontId="16" fillId="2" borderId="13" xfId="0" applyNumberFormat="1" applyFont="1" applyFill="1" applyBorder="1" applyProtection="1">
      <protection locked="0"/>
    </xf>
    <xf numFmtId="0" fontId="25" fillId="0" borderId="0" xfId="0" applyFont="1" applyAlignment="1" applyProtection="1">
      <alignment horizontal="left"/>
    </xf>
    <xf numFmtId="0" fontId="16" fillId="0" borderId="0" xfId="0" applyFont="1" applyAlignment="1" applyProtection="1">
      <alignment wrapText="1"/>
    </xf>
    <xf numFmtId="0" fontId="32" fillId="0" borderId="0" xfId="0" applyFont="1" applyAlignment="1" applyProtection="1">
      <alignment wrapText="1"/>
    </xf>
    <xf numFmtId="3" fontId="16" fillId="2" borderId="4" xfId="0" applyNumberFormat="1" applyFont="1" applyFill="1" applyBorder="1" applyAlignment="1" applyProtection="1">
      <protection locked="0"/>
    </xf>
    <xf numFmtId="3" fontId="16" fillId="0" borderId="13" xfId="0" applyNumberFormat="1" applyFont="1" applyFill="1" applyBorder="1" applyAlignment="1" applyProtection="1"/>
    <xf numFmtId="169" fontId="8" fillId="0" borderId="7" xfId="8" applyNumberFormat="1" applyFont="1" applyFill="1" applyBorder="1" applyAlignment="1" applyProtection="1">
      <alignment vertical="top"/>
      <protection locked="0"/>
    </xf>
    <xf numFmtId="173" fontId="8" fillId="0" borderId="2" xfId="8" applyNumberFormat="1" applyFont="1" applyFill="1" applyBorder="1" applyAlignment="1" applyProtection="1">
      <alignment horizontal="center" vertical="top"/>
    </xf>
    <xf numFmtId="3" fontId="16" fillId="2" borderId="4" xfId="0" applyNumberFormat="1" applyFont="1" applyFill="1" applyBorder="1" applyProtection="1">
      <protection locked="0"/>
    </xf>
    <xf numFmtId="3" fontId="16" fillId="2" borderId="10" xfId="0" applyNumberFormat="1" applyFont="1" applyFill="1" applyBorder="1" applyProtection="1">
      <protection locked="0"/>
    </xf>
    <xf numFmtId="3" fontId="16" fillId="0" borderId="15" xfId="0" applyNumberFormat="1" applyFont="1" applyFill="1" applyBorder="1" applyAlignment="1" applyProtection="1"/>
    <xf numFmtId="3" fontId="8" fillId="0" borderId="13" xfId="40" applyNumberFormat="1" applyFont="1" applyFill="1" applyBorder="1" applyAlignment="1" applyProtection="1"/>
    <xf numFmtId="3" fontId="8" fillId="0" borderId="4" xfId="40" applyNumberFormat="1" applyFont="1" applyFill="1" applyBorder="1" applyAlignment="1" applyProtection="1"/>
    <xf numFmtId="1" fontId="8" fillId="0" borderId="0" xfId="40" applyNumberFormat="1" applyFont="1" applyBorder="1" applyAlignment="1" applyProtection="1"/>
    <xf numFmtId="3" fontId="8" fillId="0" borderId="0" xfId="40" applyNumberFormat="1" applyFont="1" applyBorder="1" applyProtection="1"/>
    <xf numFmtId="3" fontId="8" fillId="0" borderId="0" xfId="40" applyNumberFormat="1" applyFont="1" applyFill="1" applyBorder="1" applyAlignment="1" applyProtection="1"/>
    <xf numFmtId="3" fontId="8" fillId="0" borderId="4" xfId="40" applyNumberFormat="1" applyFont="1" applyBorder="1" applyProtection="1"/>
    <xf numFmtId="169" fontId="8" fillId="0" borderId="13" xfId="40" applyNumberFormat="1" applyFont="1" applyFill="1" applyBorder="1" applyAlignment="1" applyProtection="1"/>
    <xf numFmtId="3" fontId="8" fillId="2" borderId="4" xfId="40" applyNumberFormat="1" applyFont="1" applyFill="1" applyBorder="1" applyAlignment="1" applyProtection="1">
      <protection locked="0"/>
    </xf>
    <xf numFmtId="3" fontId="8" fillId="2" borderId="7" xfId="40" applyNumberFormat="1" applyFont="1" applyFill="1" applyBorder="1" applyAlignment="1" applyProtection="1">
      <protection locked="0"/>
    </xf>
    <xf numFmtId="3" fontId="8" fillId="0" borderId="4" xfId="40" applyNumberFormat="1" applyFont="1" applyBorder="1" applyAlignment="1" applyProtection="1">
      <alignment vertical="top"/>
    </xf>
    <xf numFmtId="3" fontId="8" fillId="2" borderId="12" xfId="40" applyNumberFormat="1" applyFont="1" applyFill="1" applyBorder="1" applyAlignment="1" applyProtection="1">
      <alignment vertical="top"/>
      <protection locked="0"/>
    </xf>
    <xf numFmtId="3" fontId="8" fillId="0" borderId="7" xfId="40" applyNumberFormat="1" applyFont="1" applyBorder="1" applyAlignment="1" applyProtection="1">
      <alignment vertical="top"/>
    </xf>
    <xf numFmtId="3" fontId="8" fillId="2" borderId="4" xfId="40" applyNumberFormat="1" applyFont="1" applyFill="1" applyBorder="1" applyAlignment="1" applyProtection="1">
      <alignment vertical="top"/>
      <protection locked="0"/>
    </xf>
    <xf numFmtId="3" fontId="8" fillId="2" borderId="7" xfId="40" applyNumberFormat="1" applyFont="1" applyFill="1" applyBorder="1" applyAlignment="1" applyProtection="1">
      <alignment vertical="top"/>
      <protection locked="0"/>
    </xf>
    <xf numFmtId="0" fontId="8" fillId="0" borderId="7" xfId="9" applyFont="1" applyBorder="1"/>
    <xf numFmtId="3" fontId="8" fillId="2" borderId="7" xfId="9" applyNumberFormat="1" applyFont="1" applyFill="1" applyBorder="1" applyAlignment="1" applyProtection="1">
      <protection locked="0"/>
    </xf>
    <xf numFmtId="0" fontId="8" fillId="0" borderId="7" xfId="9" applyFont="1" applyBorder="1" applyProtection="1"/>
    <xf numFmtId="3" fontId="8" fillId="0" borderId="12" xfId="9" applyNumberFormat="1" applyFont="1" applyFill="1" applyBorder="1" applyProtection="1"/>
    <xf numFmtId="3" fontId="8" fillId="0" borderId="13" xfId="9" applyNumberFormat="1" applyFont="1" applyFill="1" applyBorder="1" applyProtection="1"/>
    <xf numFmtId="1" fontId="8" fillId="0" borderId="12" xfId="9" applyNumberFormat="1" applyFont="1" applyFill="1" applyBorder="1" applyProtection="1"/>
    <xf numFmtId="3" fontId="8" fillId="2" borderId="4" xfId="9" applyNumberFormat="1" applyFont="1" applyFill="1" applyBorder="1" applyAlignment="1" applyProtection="1">
      <protection locked="0"/>
    </xf>
    <xf numFmtId="3" fontId="8" fillId="2" borderId="4" xfId="9" applyNumberFormat="1" applyFont="1" applyFill="1" applyBorder="1" applyAlignment="1" applyProtection="1">
      <alignment vertical="top"/>
      <protection locked="0"/>
    </xf>
    <xf numFmtId="3" fontId="8" fillId="0" borderId="13" xfId="9" applyNumberFormat="1" applyFont="1" applyFill="1" applyBorder="1" applyAlignment="1" applyProtection="1">
      <alignment vertical="top"/>
    </xf>
    <xf numFmtId="3" fontId="8" fillId="2" borderId="7" xfId="10" applyNumberFormat="1" applyFont="1" applyFill="1" applyBorder="1" applyAlignment="1" applyProtection="1">
      <protection locked="0"/>
    </xf>
    <xf numFmtId="3" fontId="12" fillId="0" borderId="4" xfId="10" applyNumberFormat="1" applyFont="1" applyBorder="1" applyAlignment="1" applyProtection="1"/>
    <xf numFmtId="3" fontId="8" fillId="2" borderId="4" xfId="10" applyNumberFormat="1" applyFont="1" applyFill="1" applyBorder="1" applyAlignment="1" applyProtection="1">
      <protection locked="0"/>
    </xf>
    <xf numFmtId="3" fontId="8" fillId="0" borderId="12" xfId="10" applyNumberFormat="1" applyFont="1" applyFill="1" applyBorder="1" applyAlignment="1" applyProtection="1"/>
    <xf numFmtId="3" fontId="8" fillId="0" borderId="13" xfId="10" applyNumberFormat="1" applyFont="1" applyFill="1" applyBorder="1" applyAlignment="1" applyProtection="1"/>
    <xf numFmtId="3" fontId="12" fillId="0" borderId="7" xfId="10" applyNumberFormat="1" applyFont="1" applyBorder="1" applyAlignment="1" applyProtection="1"/>
    <xf numFmtId="3" fontId="8" fillId="3" borderId="4" xfId="10" applyNumberFormat="1" applyFont="1" applyFill="1" applyBorder="1" applyAlignment="1" applyProtection="1">
      <alignment horizontal="center"/>
    </xf>
    <xf numFmtId="3" fontId="8" fillId="2" borderId="4" xfId="10" applyNumberFormat="1" applyFont="1" applyFill="1" applyBorder="1" applyAlignment="1" applyProtection="1">
      <alignment vertical="top"/>
      <protection locked="0"/>
    </xf>
    <xf numFmtId="3" fontId="8" fillId="0" borderId="13" xfId="10" applyNumberFormat="1" applyFont="1" applyFill="1" applyBorder="1" applyAlignment="1" applyProtection="1">
      <alignment vertical="top"/>
    </xf>
    <xf numFmtId="3" fontId="8" fillId="0" borderId="12" xfId="11" applyNumberFormat="1" applyFont="1" applyFill="1" applyBorder="1" applyAlignment="1" applyProtection="1"/>
    <xf numFmtId="3" fontId="8" fillId="0" borderId="13" xfId="11" applyNumberFormat="1" applyFont="1" applyFill="1" applyBorder="1" applyAlignment="1" applyProtection="1"/>
    <xf numFmtId="3" fontId="8" fillId="3" borderId="12" xfId="11" applyNumberFormat="1" applyFont="1" applyFill="1" applyBorder="1" applyAlignment="1" applyProtection="1">
      <alignment horizontal="center"/>
    </xf>
    <xf numFmtId="3" fontId="8" fillId="2" borderId="4" xfId="11" applyNumberFormat="1" applyFont="1" applyFill="1" applyBorder="1" applyAlignment="1" applyProtection="1">
      <protection locked="0"/>
    </xf>
    <xf numFmtId="0" fontId="19" fillId="0" borderId="0" xfId="12" applyFont="1" applyProtection="1"/>
    <xf numFmtId="3" fontId="8" fillId="2" borderId="7" xfId="13" applyNumberFormat="1" applyFont="1" applyFill="1" applyBorder="1" applyAlignment="1" applyProtection="1">
      <protection locked="0"/>
    </xf>
    <xf numFmtId="3" fontId="8" fillId="0" borderId="12" xfId="13" applyNumberFormat="1" applyFont="1" applyFill="1" applyBorder="1" applyAlignment="1" applyProtection="1"/>
    <xf numFmtId="3" fontId="8" fillId="0" borderId="13" xfId="13" applyNumberFormat="1" applyFont="1" applyFill="1" applyBorder="1" applyAlignment="1" applyProtection="1"/>
    <xf numFmtId="3" fontId="8" fillId="3" borderId="12" xfId="13" applyNumberFormat="1" applyFont="1" applyFill="1" applyBorder="1" applyAlignment="1" applyProtection="1">
      <alignment horizontal="center"/>
    </xf>
    <xf numFmtId="3" fontId="8" fillId="2" borderId="4" xfId="13" applyNumberFormat="1" applyFont="1" applyFill="1" applyBorder="1" applyAlignment="1" applyProtection="1">
      <protection locked="0"/>
    </xf>
    <xf numFmtId="3" fontId="8" fillId="0" borderId="7" xfId="15" applyNumberFormat="1" applyFont="1" applyBorder="1" applyAlignment="1" applyProtection="1">
      <protection locked="0"/>
    </xf>
    <xf numFmtId="3" fontId="8" fillId="0" borderId="12" xfId="15" applyNumberFormat="1" applyFont="1" applyFill="1" applyBorder="1" applyAlignment="1" applyProtection="1"/>
    <xf numFmtId="3" fontId="8" fillId="0" borderId="13" xfId="15" applyNumberFormat="1" applyFont="1" applyFill="1" applyBorder="1" applyAlignment="1" applyProtection="1"/>
    <xf numFmtId="3" fontId="8" fillId="0" borderId="13" xfId="15" applyNumberFormat="1" applyFont="1" applyFill="1" applyBorder="1" applyProtection="1"/>
    <xf numFmtId="3" fontId="8" fillId="3" borderId="13" xfId="15" applyNumberFormat="1" applyFont="1" applyFill="1" applyBorder="1" applyAlignment="1" applyProtection="1">
      <alignment horizontal="center"/>
    </xf>
    <xf numFmtId="3" fontId="8" fillId="0" borderId="4" xfId="15" applyNumberFormat="1" applyFont="1" applyBorder="1" applyAlignment="1" applyProtection="1">
      <alignment vertical="center"/>
    </xf>
    <xf numFmtId="3" fontId="8" fillId="2" borderId="12" xfId="15" applyNumberFormat="1" applyFont="1" applyFill="1" applyBorder="1" applyAlignment="1" applyProtection="1">
      <alignment vertical="center"/>
      <protection locked="0"/>
    </xf>
    <xf numFmtId="3" fontId="8" fillId="0" borderId="7" xfId="15" applyNumberFormat="1" applyFont="1" applyBorder="1" applyAlignment="1" applyProtection="1">
      <alignment vertical="center"/>
    </xf>
    <xf numFmtId="3" fontId="8" fillId="2" borderId="7" xfId="16" applyNumberFormat="1" applyFont="1" applyFill="1" applyBorder="1" applyAlignment="1" applyProtection="1">
      <protection locked="0"/>
    </xf>
    <xf numFmtId="3" fontId="8" fillId="2" borderId="4" xfId="16" applyNumberFormat="1" applyFont="1" applyFill="1" applyBorder="1" applyAlignment="1" applyProtection="1">
      <protection locked="0"/>
    </xf>
    <xf numFmtId="3" fontId="8" fillId="0" borderId="12" xfId="16" applyNumberFormat="1" applyFont="1" applyFill="1" applyBorder="1" applyAlignment="1" applyProtection="1"/>
    <xf numFmtId="3" fontId="8" fillId="0" borderId="13" xfId="16" applyNumberFormat="1" applyFont="1" applyFill="1" applyBorder="1" applyAlignment="1" applyProtection="1"/>
    <xf numFmtId="3" fontId="8" fillId="0" borderId="7" xfId="16" applyNumberFormat="1" applyFont="1" applyFill="1" applyBorder="1" applyAlignment="1" applyProtection="1"/>
    <xf numFmtId="3" fontId="8" fillId="3" borderId="12" xfId="16" applyNumberFormat="1" applyFont="1" applyFill="1" applyBorder="1" applyAlignment="1" applyProtection="1">
      <alignment horizontal="center"/>
    </xf>
    <xf numFmtId="3" fontId="8" fillId="2" borderId="7" xfId="17" applyNumberFormat="1" applyFont="1" applyFill="1" applyBorder="1" applyAlignment="1" applyProtection="1">
      <alignment vertical="top"/>
      <protection locked="0"/>
    </xf>
    <xf numFmtId="3" fontId="8" fillId="0" borderId="4" xfId="17" applyNumberFormat="1" applyFont="1" applyBorder="1" applyAlignment="1" applyProtection="1">
      <alignment vertical="top"/>
    </xf>
    <xf numFmtId="3" fontId="8" fillId="0" borderId="7" xfId="17" applyNumberFormat="1" applyFont="1" applyBorder="1" applyAlignment="1" applyProtection="1">
      <alignment vertical="top"/>
    </xf>
    <xf numFmtId="3" fontId="8" fillId="2" borderId="12" xfId="17" applyNumberFormat="1" applyFont="1" applyFill="1" applyBorder="1" applyAlignment="1" applyProtection="1">
      <alignment vertical="top"/>
      <protection locked="0"/>
    </xf>
    <xf numFmtId="3" fontId="8" fillId="0" borderId="12" xfId="17" applyNumberFormat="1" applyFont="1" applyFill="1" applyBorder="1" applyAlignment="1" applyProtection="1">
      <alignment vertical="top"/>
    </xf>
    <xf numFmtId="3" fontId="8" fillId="0" borderId="13" xfId="17" applyNumberFormat="1" applyFont="1" applyFill="1" applyBorder="1" applyAlignment="1" applyProtection="1">
      <alignment vertical="top"/>
    </xf>
    <xf numFmtId="3" fontId="8" fillId="2" borderId="4" xfId="17" applyNumberFormat="1" applyFont="1" applyFill="1" applyBorder="1" applyAlignment="1" applyProtection="1">
      <alignment vertical="top"/>
      <protection locked="0"/>
    </xf>
    <xf numFmtId="3" fontId="8" fillId="2" borderId="13" xfId="18" applyNumberFormat="1" applyFont="1" applyFill="1" applyBorder="1" applyAlignment="1" applyProtection="1">
      <protection locked="0"/>
    </xf>
    <xf numFmtId="3" fontId="8" fillId="2" borderId="12" xfId="18" applyNumberFormat="1" applyFont="1" applyFill="1" applyBorder="1" applyAlignment="1" applyProtection="1">
      <protection locked="0"/>
    </xf>
    <xf numFmtId="3" fontId="8" fillId="0" borderId="7" xfId="18" applyNumberFormat="1" applyFont="1" applyBorder="1" applyAlignment="1" applyProtection="1"/>
    <xf numFmtId="3" fontId="8" fillId="0" borderId="4" xfId="18" applyNumberFormat="1" applyFont="1" applyFill="1" applyBorder="1" applyAlignment="1" applyProtection="1"/>
    <xf numFmtId="3" fontId="8" fillId="0" borderId="4" xfId="18" applyNumberFormat="1" applyFont="1" applyBorder="1" applyAlignment="1" applyProtection="1"/>
    <xf numFmtId="3" fontId="8" fillId="0" borderId="12" xfId="18" applyNumberFormat="1" applyFont="1" applyFill="1" applyBorder="1" applyAlignment="1" applyProtection="1"/>
    <xf numFmtId="3" fontId="8" fillId="0" borderId="13" xfId="18" applyNumberFormat="1" applyFont="1" applyFill="1" applyBorder="1" applyAlignment="1" applyProtection="1"/>
    <xf numFmtId="3" fontId="8" fillId="2" borderId="4" xfId="18" applyNumberFormat="1" applyFont="1" applyFill="1" applyBorder="1" applyAlignment="1" applyProtection="1">
      <alignment vertical="top"/>
      <protection locked="0"/>
    </xf>
    <xf numFmtId="3" fontId="8" fillId="2" borderId="7" xfId="18" applyNumberFormat="1" applyFont="1" applyFill="1" applyBorder="1" applyAlignment="1" applyProtection="1">
      <alignment vertical="top"/>
      <protection locked="0"/>
    </xf>
    <xf numFmtId="3" fontId="8" fillId="2" borderId="13" xfId="19" applyNumberFormat="1" applyFont="1" applyFill="1" applyBorder="1" applyAlignment="1" applyProtection="1">
      <protection locked="0"/>
    </xf>
    <xf numFmtId="3" fontId="8" fillId="2" borderId="12" xfId="19" applyNumberFormat="1" applyFont="1" applyFill="1" applyBorder="1" applyAlignment="1" applyProtection="1">
      <protection locked="0"/>
    </xf>
    <xf numFmtId="3" fontId="8" fillId="0" borderId="7" xfId="19" applyNumberFormat="1" applyFont="1" applyBorder="1" applyAlignment="1" applyProtection="1"/>
    <xf numFmtId="3" fontId="8" fillId="2" borderId="4" xfId="19" applyNumberFormat="1" applyFont="1" applyFill="1" applyBorder="1" applyAlignment="1" applyProtection="1">
      <protection locked="0"/>
    </xf>
    <xf numFmtId="3" fontId="8" fillId="0" borderId="4" xfId="19" applyNumberFormat="1" applyFont="1" applyBorder="1" applyAlignment="1" applyProtection="1"/>
    <xf numFmtId="3" fontId="8" fillId="0" borderId="12" xfId="19" applyNumberFormat="1" applyFont="1" applyFill="1" applyBorder="1" applyAlignment="1" applyProtection="1"/>
    <xf numFmtId="3" fontId="8" fillId="0" borderId="4" xfId="19" applyNumberFormat="1" applyFont="1" applyFill="1" applyBorder="1" applyAlignment="1" applyProtection="1"/>
    <xf numFmtId="3" fontId="8" fillId="0" borderId="13" xfId="19" applyNumberFormat="1" applyFont="1" applyFill="1" applyBorder="1" applyAlignment="1" applyProtection="1"/>
    <xf numFmtId="3" fontId="8" fillId="2" borderId="7" xfId="19" applyNumberFormat="1" applyFont="1" applyFill="1" applyBorder="1" applyAlignment="1" applyProtection="1">
      <alignment vertical="top"/>
      <protection locked="0"/>
    </xf>
    <xf numFmtId="3" fontId="8" fillId="2" borderId="4" xfId="19" applyNumberFormat="1" applyFont="1" applyFill="1" applyBorder="1" applyAlignment="1" applyProtection="1">
      <alignment vertical="top"/>
      <protection locked="0"/>
    </xf>
    <xf numFmtId="3" fontId="8" fillId="2" borderId="13" xfId="20" applyNumberFormat="1" applyFont="1" applyFill="1" applyBorder="1" applyAlignment="1" applyProtection="1">
      <protection locked="0"/>
    </xf>
    <xf numFmtId="3" fontId="8" fillId="0" borderId="7" xfId="20" applyNumberFormat="1" applyFont="1" applyFill="1" applyBorder="1" applyAlignment="1" applyProtection="1"/>
    <xf numFmtId="3" fontId="8" fillId="0" borderId="13" xfId="20" applyNumberFormat="1" applyFont="1" applyFill="1" applyBorder="1" applyAlignment="1" applyProtection="1"/>
    <xf numFmtId="3" fontId="8" fillId="0" borderId="12" xfId="20" applyNumberFormat="1" applyFont="1" applyFill="1" applyBorder="1" applyAlignment="1" applyProtection="1"/>
    <xf numFmtId="3" fontId="8" fillId="0" borderId="4" xfId="20" applyNumberFormat="1" applyFont="1" applyFill="1" applyBorder="1" applyAlignment="1" applyProtection="1"/>
    <xf numFmtId="173" fontId="8" fillId="0" borderId="12" xfId="20" applyNumberFormat="1" applyFont="1" applyBorder="1" applyAlignment="1" applyProtection="1">
      <alignment horizontal="center"/>
    </xf>
    <xf numFmtId="3" fontId="8" fillId="2" borderId="13" xfId="21" applyNumberFormat="1" applyFont="1" applyFill="1" applyBorder="1" applyAlignment="1" applyProtection="1">
      <alignment vertical="top"/>
      <protection locked="0"/>
    </xf>
    <xf numFmtId="3" fontId="8" fillId="0" borderId="7" xfId="22" applyNumberFormat="1" applyFont="1" applyBorder="1" applyAlignment="1" applyProtection="1">
      <alignment horizontal="left" vertical="top"/>
    </xf>
    <xf numFmtId="3" fontId="8" fillId="2" borderId="12" xfId="22" applyNumberFormat="1" applyFont="1" applyFill="1" applyBorder="1" applyAlignment="1" applyProtection="1">
      <alignment horizontal="right" vertical="top"/>
      <protection locked="0"/>
    </xf>
    <xf numFmtId="3" fontId="8" fillId="2" borderId="13" xfId="22" applyNumberFormat="1" applyFont="1" applyFill="1" applyBorder="1" applyAlignment="1" applyProtection="1">
      <alignment horizontal="right" vertical="top"/>
      <protection locked="0"/>
    </xf>
    <xf numFmtId="3" fontId="8" fillId="0" borderId="4" xfId="22" applyNumberFormat="1" applyFont="1" applyBorder="1" applyAlignment="1" applyProtection="1">
      <alignment horizontal="right" vertical="top"/>
    </xf>
    <xf numFmtId="3" fontId="8" fillId="0" borderId="7" xfId="22" applyNumberFormat="1" applyFont="1" applyBorder="1" applyAlignment="1" applyProtection="1">
      <alignment horizontal="right" vertical="top"/>
    </xf>
    <xf numFmtId="3" fontId="8" fillId="0" borderId="4" xfId="22" applyNumberFormat="1" applyFont="1" applyBorder="1" applyAlignment="1" applyProtection="1">
      <alignment horizontal="left" vertical="top"/>
    </xf>
    <xf numFmtId="3" fontId="8" fillId="0" borderId="12" xfId="22" applyNumberFormat="1" applyFont="1" applyFill="1" applyBorder="1" applyAlignment="1" applyProtection="1">
      <alignment vertical="top"/>
    </xf>
    <xf numFmtId="3" fontId="8" fillId="0" borderId="13" xfId="22" applyNumberFormat="1" applyFont="1" applyFill="1" applyBorder="1" applyAlignment="1" applyProtection="1">
      <alignment vertical="top"/>
    </xf>
    <xf numFmtId="3" fontId="8" fillId="2" borderId="7" xfId="22" applyNumberFormat="1" applyFont="1" applyFill="1" applyBorder="1" applyAlignment="1" applyProtection="1">
      <alignment horizontal="right" vertical="top"/>
      <protection locked="0"/>
    </xf>
    <xf numFmtId="3" fontId="8" fillId="0" borderId="4" xfId="22" applyNumberFormat="1" applyFont="1" applyBorder="1" applyAlignment="1" applyProtection="1"/>
    <xf numFmtId="3" fontId="8" fillId="2" borderId="12" xfId="22" applyNumberFormat="1" applyFont="1" applyFill="1" applyBorder="1" applyAlignment="1" applyProtection="1">
      <protection locked="0"/>
    </xf>
    <xf numFmtId="3" fontId="8" fillId="2" borderId="4" xfId="22" applyNumberFormat="1" applyFont="1" applyFill="1" applyBorder="1" applyAlignment="1" applyProtection="1">
      <protection locked="0"/>
    </xf>
    <xf numFmtId="3" fontId="8" fillId="0" borderId="7" xfId="22" applyNumberFormat="1" applyFont="1" applyBorder="1" applyAlignment="1" applyProtection="1"/>
    <xf numFmtId="3" fontId="8" fillId="2" borderId="7" xfId="22" applyNumberFormat="1" applyFont="1" applyFill="1" applyBorder="1" applyAlignment="1" applyProtection="1">
      <protection locked="0"/>
    </xf>
    <xf numFmtId="3" fontId="8" fillId="2" borderId="4" xfId="22" applyNumberFormat="1" applyFont="1" applyFill="1" applyBorder="1" applyAlignment="1" applyProtection="1">
      <alignment vertical="top"/>
      <protection locked="0"/>
    </xf>
    <xf numFmtId="3" fontId="8" fillId="2" borderId="7" xfId="22" applyNumberFormat="1" applyFont="1" applyFill="1" applyBorder="1" applyAlignment="1" applyProtection="1">
      <alignment vertical="top"/>
      <protection locked="0"/>
    </xf>
    <xf numFmtId="3" fontId="8" fillId="0" borderId="12" xfId="23" applyNumberFormat="1" applyFont="1" applyFill="1" applyBorder="1" applyAlignment="1" applyProtection="1"/>
    <xf numFmtId="3" fontId="8" fillId="0" borderId="13" xfId="23" applyNumberFormat="1" applyFont="1" applyFill="1" applyBorder="1" applyAlignment="1" applyProtection="1"/>
    <xf numFmtId="3" fontId="8" fillId="0" borderId="12" xfId="30" applyNumberFormat="1" applyFont="1" applyFill="1" applyBorder="1" applyAlignment="1" applyProtection="1"/>
    <xf numFmtId="3" fontId="8" fillId="0" borderId="13" xfId="30" applyNumberFormat="1" applyFont="1" applyFill="1" applyBorder="1" applyAlignment="1" applyProtection="1"/>
    <xf numFmtId="3" fontId="8" fillId="2" borderId="4" xfId="30" applyNumberFormat="1" applyFont="1" applyFill="1" applyBorder="1" applyAlignment="1" applyProtection="1">
      <protection locked="0"/>
    </xf>
    <xf numFmtId="3" fontId="8" fillId="0" borderId="4" xfId="30" applyNumberFormat="1" applyFont="1" applyBorder="1" applyAlignment="1" applyProtection="1">
      <alignment vertical="top"/>
      <protection locked="0"/>
    </xf>
    <xf numFmtId="3" fontId="8" fillId="2" borderId="12" xfId="30" applyNumberFormat="1" applyFont="1" applyFill="1" applyBorder="1" applyAlignment="1" applyProtection="1">
      <alignment vertical="top"/>
      <protection locked="0"/>
    </xf>
    <xf numFmtId="3" fontId="8" fillId="0" borderId="4" xfId="30" applyNumberFormat="1" applyFont="1" applyBorder="1" applyAlignment="1" applyProtection="1">
      <alignment vertical="top"/>
    </xf>
    <xf numFmtId="3" fontId="8" fillId="0" borderId="7" xfId="30" applyNumberFormat="1" applyFont="1" applyBorder="1" applyAlignment="1" applyProtection="1">
      <alignment vertical="top"/>
    </xf>
    <xf numFmtId="3" fontId="8" fillId="2" borderId="4" xfId="30" applyNumberFormat="1" applyFont="1" applyFill="1" applyBorder="1" applyAlignment="1" applyProtection="1">
      <alignment vertical="top"/>
      <protection locked="0"/>
    </xf>
    <xf numFmtId="3" fontId="8" fillId="2" borderId="7" xfId="39" applyNumberFormat="1" applyFont="1" applyFill="1" applyBorder="1" applyAlignment="1" applyProtection="1">
      <alignment vertical="top"/>
      <protection locked="0"/>
    </xf>
    <xf numFmtId="3" fontId="8" fillId="0" borderId="13" xfId="39" applyNumberFormat="1" applyFont="1" applyFill="1" applyBorder="1" applyAlignment="1" applyProtection="1">
      <alignment vertical="top"/>
    </xf>
    <xf numFmtId="3" fontId="8" fillId="2" borderId="4" xfId="39" applyNumberFormat="1" applyFont="1" applyFill="1" applyBorder="1" applyAlignment="1" applyProtection="1">
      <alignment vertical="top"/>
      <protection locked="0"/>
    </xf>
    <xf numFmtId="3" fontId="8" fillId="2" borderId="12" xfId="39" applyNumberFormat="1" applyFont="1" applyFill="1" applyBorder="1" applyAlignment="1" applyProtection="1">
      <protection locked="0"/>
    </xf>
    <xf numFmtId="3" fontId="8" fillId="0" borderId="4" xfId="39" applyNumberFormat="1" applyFont="1" applyBorder="1" applyAlignment="1" applyProtection="1"/>
    <xf numFmtId="3" fontId="8" fillId="0" borderId="7" xfId="39" applyNumberFormat="1" applyFont="1" applyBorder="1" applyAlignment="1" applyProtection="1"/>
    <xf numFmtId="3" fontId="8" fillId="2" borderId="7" xfId="39" applyNumberFormat="1" applyFont="1" applyFill="1" applyBorder="1" applyAlignment="1" applyProtection="1">
      <protection locked="0"/>
    </xf>
    <xf numFmtId="3" fontId="8" fillId="2" borderId="4" xfId="39" applyNumberFormat="1" applyFont="1" applyFill="1" applyBorder="1" applyAlignment="1" applyProtection="1">
      <protection locked="0"/>
    </xf>
    <xf numFmtId="3" fontId="8" fillId="0" borderId="13" xfId="39" applyNumberFormat="1" applyFont="1" applyFill="1" applyBorder="1" applyAlignment="1" applyProtection="1"/>
    <xf numFmtId="3" fontId="16" fillId="0" borderId="2" xfId="46" applyNumberFormat="1" applyFont="1" applyFill="1" applyBorder="1" applyAlignment="1" applyProtection="1">
      <alignment vertical="top"/>
    </xf>
    <xf numFmtId="3" fontId="16" fillId="0" borderId="14" xfId="46" applyNumberFormat="1" applyFont="1" applyFill="1" applyBorder="1" applyAlignment="1" applyProtection="1">
      <alignment vertical="top"/>
    </xf>
    <xf numFmtId="3" fontId="8" fillId="2" borderId="13" xfId="33" applyNumberFormat="1" applyFont="1" applyFill="1" applyBorder="1" applyAlignment="1" applyProtection="1">
      <alignment vertical="top"/>
      <protection locked="0"/>
    </xf>
    <xf numFmtId="3" fontId="8" fillId="2" borderId="4" xfId="33" applyNumberFormat="1" applyFont="1" applyFill="1" applyBorder="1" applyAlignment="1" applyProtection="1">
      <alignment vertical="top"/>
      <protection locked="0"/>
    </xf>
    <xf numFmtId="3" fontId="8" fillId="0" borderId="13" xfId="33" applyNumberFormat="1" applyFont="1" applyFill="1" applyBorder="1" applyAlignment="1" applyProtection="1">
      <alignment vertical="top"/>
    </xf>
    <xf numFmtId="3" fontId="8" fillId="2" borderId="4" xfId="33" applyNumberFormat="1" applyFont="1" applyFill="1" applyBorder="1" applyAlignment="1" applyProtection="1">
      <protection locked="0"/>
    </xf>
    <xf numFmtId="0" fontId="25" fillId="0" borderId="0" xfId="48" applyFont="1" applyProtection="1"/>
    <xf numFmtId="3" fontId="8" fillId="2" borderId="10" xfId="33" applyNumberFormat="1" applyFont="1" applyFill="1" applyBorder="1" applyAlignment="1" applyProtection="1">
      <alignment vertical="top"/>
      <protection locked="0"/>
    </xf>
    <xf numFmtId="3" fontId="8" fillId="3" borderId="12" xfId="25" applyNumberFormat="1" applyFont="1" applyFill="1" applyBorder="1" applyAlignment="1" applyProtection="1"/>
    <xf numFmtId="3" fontId="8" fillId="3" borderId="13" xfId="25" applyNumberFormat="1" applyFont="1" applyFill="1" applyBorder="1" applyAlignment="1" applyProtection="1"/>
    <xf numFmtId="0" fontId="40" fillId="0" borderId="0" xfId="25" applyFont="1" applyProtection="1">
      <protection locked="0"/>
    </xf>
    <xf numFmtId="3" fontId="19" fillId="0" borderId="7" xfId="25" applyNumberFormat="1" applyFont="1" applyFill="1" applyBorder="1" applyAlignment="1" applyProtection="1"/>
    <xf numFmtId="1" fontId="8" fillId="3" borderId="10" xfId="40" applyNumberFormat="1" applyFont="1" applyFill="1" applyBorder="1" applyAlignment="1" applyProtection="1">
      <alignment horizontal="center" vertical="top"/>
    </xf>
    <xf numFmtId="169" fontId="16" fillId="0" borderId="8" xfId="46" applyNumberFormat="1" applyFont="1" applyFill="1" applyBorder="1" applyAlignment="1" applyProtection="1">
      <alignment vertical="top"/>
    </xf>
    <xf numFmtId="0" fontId="0" fillId="0" borderId="0" xfId="0" applyAlignment="1">
      <alignment horizontal="center"/>
    </xf>
    <xf numFmtId="3" fontId="0" fillId="0" borderId="13" xfId="0" applyNumberFormat="1" applyBorder="1"/>
    <xf numFmtId="0" fontId="0" fillId="0" borderId="0" xfId="0" applyAlignment="1">
      <alignment horizontal="right"/>
    </xf>
    <xf numFmtId="0" fontId="30" fillId="0" borderId="0" xfId="11" applyFont="1" applyProtection="1">
      <protection locked="0"/>
    </xf>
    <xf numFmtId="0" fontId="16" fillId="0" borderId="0" xfId="22" applyFont="1" applyAlignment="1" applyProtection="1">
      <alignment vertical="top"/>
      <protection locked="0"/>
    </xf>
    <xf numFmtId="3" fontId="8" fillId="2" borderId="13" xfId="28" applyNumberFormat="1" applyFont="1" applyFill="1" applyBorder="1" applyAlignment="1" applyProtection="1">
      <protection locked="0"/>
    </xf>
    <xf numFmtId="176" fontId="16" fillId="0" borderId="5" xfId="0" applyNumberFormat="1" applyFont="1" applyBorder="1" applyAlignment="1" applyProtection="1">
      <alignment horizontal="center"/>
    </xf>
    <xf numFmtId="176" fontId="16" fillId="0" borderId="4" xfId="0" applyNumberFormat="1" applyFont="1" applyBorder="1" applyAlignment="1" applyProtection="1">
      <alignment horizontal="center"/>
    </xf>
    <xf numFmtId="176" fontId="16" fillId="0" borderId="12" xfId="0" applyNumberFormat="1" applyFont="1" applyBorder="1" applyAlignment="1" applyProtection="1">
      <alignment horizontal="center"/>
    </xf>
    <xf numFmtId="173" fontId="16" fillId="0" borderId="13" xfId="8" applyNumberFormat="1" applyFont="1" applyFill="1" applyBorder="1" applyAlignment="1" applyProtection="1">
      <alignment horizontal="center" vertical="top"/>
    </xf>
    <xf numFmtId="3" fontId="8" fillId="0" borderId="2" xfId="8" applyNumberFormat="1" applyFont="1" applyFill="1" applyBorder="1" applyAlignment="1" applyProtection="1">
      <alignment vertical="top"/>
    </xf>
    <xf numFmtId="169" fontId="8" fillId="0" borderId="6" xfId="8" applyNumberFormat="1" applyFont="1" applyFill="1" applyBorder="1" applyAlignment="1" applyProtection="1">
      <alignment vertical="top"/>
    </xf>
    <xf numFmtId="169" fontId="8" fillId="0" borderId="9" xfId="8" applyNumberFormat="1" applyFont="1" applyFill="1" applyBorder="1" applyAlignment="1" applyProtection="1">
      <alignment vertical="top"/>
    </xf>
    <xf numFmtId="169" fontId="16" fillId="0" borderId="11" xfId="8" applyNumberFormat="1" applyFont="1" applyFill="1" applyBorder="1" applyAlignment="1" applyProtection="1">
      <alignment vertical="top"/>
      <protection locked="0"/>
    </xf>
    <xf numFmtId="3" fontId="16" fillId="0" borderId="5" xfId="46" applyNumberFormat="1" applyFont="1" applyFill="1" applyBorder="1" applyAlignment="1" applyProtection="1">
      <alignment vertical="top"/>
    </xf>
    <xf numFmtId="3" fontId="16" fillId="0" borderId="10" xfId="46" applyNumberFormat="1" applyFont="1" applyFill="1" applyBorder="1" applyAlignment="1" applyProtection="1">
      <alignment vertical="top"/>
    </xf>
    <xf numFmtId="3" fontId="16" fillId="0" borderId="8" xfId="46" applyNumberFormat="1" applyFont="1" applyFill="1" applyBorder="1" applyAlignment="1" applyProtection="1">
      <alignment vertical="top"/>
    </xf>
    <xf numFmtId="0" fontId="0" fillId="0" borderId="0" xfId="0" applyFill="1" applyBorder="1"/>
    <xf numFmtId="173" fontId="16" fillId="0" borderId="13" xfId="8" applyNumberFormat="1" applyFont="1" applyFill="1" applyBorder="1" applyAlignment="1" applyProtection="1">
      <alignment horizontal="left" vertical="top"/>
    </xf>
    <xf numFmtId="173" fontId="8" fillId="0" borderId="13" xfId="28" applyNumberFormat="1" applyFont="1" applyBorder="1" applyAlignment="1" applyProtection="1">
      <alignment horizontal="left"/>
    </xf>
    <xf numFmtId="3" fontId="8" fillId="0" borderId="5" xfId="25" applyNumberFormat="1" applyFont="1" applyBorder="1" applyAlignment="1" applyProtection="1"/>
    <xf numFmtId="3" fontId="8" fillId="2" borderId="10" xfId="25" applyNumberFormat="1" applyFont="1" applyFill="1" applyBorder="1" applyAlignment="1" applyProtection="1">
      <protection locked="0"/>
    </xf>
    <xf numFmtId="3" fontId="8" fillId="0" borderId="2" xfId="25" applyNumberFormat="1" applyFont="1" applyFill="1" applyBorder="1" applyAlignment="1" applyProtection="1"/>
    <xf numFmtId="3" fontId="8" fillId="0" borderId="9" xfId="25" applyNumberFormat="1" applyFont="1" applyBorder="1" applyAlignment="1" applyProtection="1"/>
    <xf numFmtId="3" fontId="8" fillId="0" borderId="11" xfId="25" applyNumberFormat="1" applyFont="1" applyFill="1" applyBorder="1" applyAlignment="1" applyProtection="1"/>
    <xf numFmtId="3" fontId="8" fillId="2" borderId="4" xfId="25" applyNumberFormat="1" applyFont="1" applyFill="1" applyBorder="1" applyAlignment="1" applyProtection="1">
      <protection locked="0"/>
    </xf>
    <xf numFmtId="3" fontId="8" fillId="3" borderId="11" xfId="25" applyNumberFormat="1" applyFont="1" applyFill="1" applyBorder="1" applyAlignment="1" applyProtection="1"/>
    <xf numFmtId="3" fontId="8" fillId="2" borderId="4" xfId="12" applyNumberFormat="1" applyFont="1" applyFill="1" applyBorder="1" applyAlignment="1" applyProtection="1">
      <protection locked="0"/>
    </xf>
    <xf numFmtId="3" fontId="8" fillId="2" borderId="1" xfId="12" applyNumberFormat="1" applyFont="1" applyFill="1" applyBorder="1" applyAlignment="1" applyProtection="1">
      <protection locked="0"/>
    </xf>
    <xf numFmtId="0" fontId="19" fillId="0" borderId="6" xfId="12" applyFont="1" applyBorder="1" applyAlignment="1" applyProtection="1">
      <alignment horizontal="center"/>
    </xf>
    <xf numFmtId="3" fontId="8" fillId="0" borderId="15" xfId="12" applyNumberFormat="1" applyFont="1" applyFill="1" applyBorder="1" applyAlignment="1" applyProtection="1"/>
    <xf numFmtId="3" fontId="8" fillId="0" borderId="5" xfId="12" applyNumberFormat="1" applyFont="1" applyFill="1" applyBorder="1" applyAlignment="1" applyProtection="1"/>
    <xf numFmtId="3" fontId="16" fillId="0" borderId="13" xfId="10" applyNumberFormat="1" applyFont="1" applyFill="1" applyBorder="1" applyAlignment="1" applyProtection="1">
      <alignment horizontal="right"/>
    </xf>
    <xf numFmtId="3" fontId="16" fillId="0" borderId="13" xfId="13" applyNumberFormat="1" applyFont="1" applyFill="1" applyBorder="1" applyAlignment="1" applyProtection="1">
      <alignment horizontal="right"/>
    </xf>
    <xf numFmtId="3" fontId="16" fillId="0" borderId="13" xfId="15" applyNumberFormat="1" applyFont="1" applyFill="1" applyBorder="1" applyAlignment="1" applyProtection="1">
      <alignment horizontal="right"/>
    </xf>
    <xf numFmtId="3" fontId="16" fillId="0" borderId="12" xfId="16" applyNumberFormat="1" applyFont="1" applyFill="1" applyBorder="1" applyAlignment="1" applyProtection="1">
      <alignment horizontal="right"/>
    </xf>
    <xf numFmtId="3" fontId="20" fillId="0" borderId="0" xfId="17" applyNumberFormat="1" applyFont="1" applyProtection="1">
      <protection locked="0"/>
    </xf>
    <xf numFmtId="3" fontId="16" fillId="0" borderId="13" xfId="17" applyNumberFormat="1" applyFont="1" applyFill="1" applyBorder="1" applyAlignment="1" applyProtection="1">
      <alignment horizontal="right" vertical="top"/>
    </xf>
    <xf numFmtId="3" fontId="16" fillId="0" borderId="13" xfId="18" applyNumberFormat="1" applyFont="1" applyFill="1" applyBorder="1" applyAlignment="1" applyProtection="1"/>
    <xf numFmtId="3" fontId="16" fillId="0" borderId="13" xfId="19" applyNumberFormat="1" applyFont="1" applyFill="1" applyBorder="1" applyAlignment="1" applyProtection="1"/>
    <xf numFmtId="3" fontId="16" fillId="0" borderId="13" xfId="20" applyNumberFormat="1" applyFont="1" applyFill="1" applyBorder="1" applyAlignment="1" applyProtection="1"/>
    <xf numFmtId="3" fontId="16" fillId="0" borderId="13" xfId="23" applyNumberFormat="1" applyFont="1" applyFill="1" applyBorder="1" applyAlignment="1" applyProtection="1"/>
    <xf numFmtId="3" fontId="16" fillId="0" borderId="13" xfId="39" applyNumberFormat="1" applyFont="1" applyFill="1" applyBorder="1" applyAlignment="1" applyProtection="1">
      <alignment vertical="top"/>
    </xf>
    <xf numFmtId="166" fontId="0" fillId="0" borderId="0" xfId="0" applyNumberFormat="1"/>
    <xf numFmtId="3" fontId="0" fillId="0" borderId="0" xfId="0" applyNumberFormat="1"/>
    <xf numFmtId="3" fontId="8" fillId="2" borderId="10" xfId="33" applyNumberFormat="1" applyFont="1" applyFill="1" applyBorder="1" applyAlignment="1" applyProtection="1">
      <protection locked="0"/>
    </xf>
    <xf numFmtId="3" fontId="8" fillId="2" borderId="3" xfId="33" applyNumberFormat="1" applyFont="1" applyFill="1" applyBorder="1" applyAlignment="1" applyProtection="1">
      <protection locked="0"/>
    </xf>
    <xf numFmtId="3" fontId="8" fillId="0" borderId="5" xfId="33" applyNumberFormat="1" applyFont="1" applyBorder="1" applyAlignment="1" applyProtection="1"/>
    <xf numFmtId="3" fontId="8" fillId="0" borderId="8" xfId="33" applyNumberFormat="1" applyFont="1" applyBorder="1" applyAlignment="1" applyProtection="1"/>
    <xf numFmtId="3" fontId="8" fillId="0" borderId="6" xfId="33" applyNumberFormat="1" applyFont="1" applyBorder="1" applyAlignment="1" applyProtection="1"/>
    <xf numFmtId="3" fontId="8" fillId="0" borderId="9" xfId="33" applyNumberFormat="1" applyFont="1" applyBorder="1" applyAlignment="1" applyProtection="1"/>
    <xf numFmtId="3" fontId="8" fillId="2" borderId="11" xfId="33" applyNumberFormat="1" applyFont="1" applyFill="1" applyBorder="1" applyAlignment="1" applyProtection="1">
      <protection locked="0"/>
    </xf>
    <xf numFmtId="3" fontId="8" fillId="2" borderId="6" xfId="33" applyNumberFormat="1" applyFont="1" applyFill="1" applyBorder="1" applyAlignment="1" applyProtection="1">
      <protection locked="0"/>
    </xf>
    <xf numFmtId="3" fontId="8" fillId="0" borderId="6" xfId="21" applyNumberFormat="1" applyFont="1" applyBorder="1" applyAlignment="1" applyProtection="1">
      <alignment vertical="top"/>
    </xf>
    <xf numFmtId="3" fontId="8" fillId="0" borderId="9" xfId="21" applyNumberFormat="1" applyFont="1" applyBorder="1" applyAlignment="1" applyProtection="1">
      <alignment vertical="top"/>
    </xf>
    <xf numFmtId="172" fontId="8" fillId="0" borderId="7" xfId="33" applyNumberFormat="1" applyFont="1" applyBorder="1" applyAlignment="1" applyProtection="1">
      <alignment horizontal="center"/>
    </xf>
    <xf numFmtId="3" fontId="8" fillId="0" borderId="5" xfId="21" applyNumberFormat="1" applyFont="1" applyBorder="1" applyAlignment="1" applyProtection="1">
      <alignment vertical="top"/>
    </xf>
    <xf numFmtId="3" fontId="8" fillId="0" borderId="8" xfId="21" applyNumberFormat="1" applyFont="1" applyBorder="1" applyAlignment="1" applyProtection="1">
      <alignment vertical="top"/>
    </xf>
    <xf numFmtId="3" fontId="8" fillId="2" borderId="11" xfId="21" applyNumberFormat="1" applyFont="1" applyFill="1" applyBorder="1" applyAlignment="1" applyProtection="1">
      <alignment vertical="top"/>
      <protection locked="0"/>
    </xf>
    <xf numFmtId="3" fontId="8" fillId="2" borderId="3" xfId="21" applyNumberFormat="1" applyFont="1" applyFill="1" applyBorder="1" applyAlignment="1" applyProtection="1">
      <alignment vertical="top"/>
      <protection locked="0"/>
    </xf>
    <xf numFmtId="3" fontId="8" fillId="2" borderId="6" xfId="21" applyNumberFormat="1" applyFont="1" applyFill="1" applyBorder="1" applyAlignment="1" applyProtection="1">
      <alignment vertical="top"/>
      <protection locked="0"/>
    </xf>
    <xf numFmtId="0" fontId="19" fillId="0" borderId="9" xfId="12" applyFont="1" applyBorder="1" applyAlignment="1" applyProtection="1">
      <alignment horizontal="center"/>
    </xf>
    <xf numFmtId="3" fontId="8" fillId="0" borderId="0" xfId="12" applyNumberFormat="1" applyFont="1" applyFill="1" applyBorder="1" applyAlignment="1" applyProtection="1"/>
    <xf numFmtId="3" fontId="8" fillId="0" borderId="8" xfId="12" applyNumberFormat="1" applyFont="1" applyFill="1" applyBorder="1" applyAlignment="1" applyProtection="1"/>
    <xf numFmtId="0" fontId="8" fillId="0" borderId="12" xfId="12" quotePrefix="1" applyFont="1" applyBorder="1" applyAlignment="1" applyProtection="1">
      <alignment horizontal="left"/>
    </xf>
    <xf numFmtId="0" fontId="19" fillId="0" borderId="0" xfId="33" applyFont="1" applyProtection="1">
      <protection locked="0"/>
    </xf>
    <xf numFmtId="3" fontId="8" fillId="2" borderId="10" xfId="40" applyNumberFormat="1" applyFont="1" applyFill="1" applyBorder="1" applyAlignment="1" applyProtection="1">
      <alignment vertical="top"/>
      <protection locked="0"/>
    </xf>
    <xf numFmtId="3" fontId="8" fillId="2" borderId="6" xfId="40" applyNumberFormat="1" applyFont="1" applyFill="1" applyBorder="1" applyAlignment="1" applyProtection="1">
      <alignment vertical="top"/>
      <protection locked="0"/>
    </xf>
    <xf numFmtId="3" fontId="8" fillId="2" borderId="0" xfId="12" applyNumberFormat="1" applyFont="1" applyFill="1" applyBorder="1" applyAlignment="1" applyProtection="1">
      <protection locked="0"/>
    </xf>
    <xf numFmtId="3" fontId="8" fillId="2" borderId="8" xfId="12" applyNumberFormat="1" applyFont="1" applyFill="1" applyBorder="1" applyAlignment="1" applyProtection="1">
      <protection locked="0"/>
    </xf>
    <xf numFmtId="0" fontId="8" fillId="0" borderId="5" xfId="12" applyFont="1" applyBorder="1" applyAlignment="1" applyProtection="1">
      <alignment horizontal="left"/>
    </xf>
    <xf numFmtId="0" fontId="8" fillId="0" borderId="10" xfId="12" quotePrefix="1" applyFont="1" applyBorder="1" applyAlignment="1" applyProtection="1">
      <alignment horizontal="left"/>
    </xf>
    <xf numFmtId="3" fontId="8" fillId="2" borderId="11" xfId="12" applyNumberFormat="1" applyFont="1" applyFill="1" applyBorder="1" applyAlignment="1" applyProtection="1">
      <protection locked="0"/>
    </xf>
    <xf numFmtId="3" fontId="8" fillId="0" borderId="6" xfId="12" applyNumberFormat="1" applyFont="1" applyFill="1" applyBorder="1" applyAlignment="1" applyProtection="1"/>
    <xf numFmtId="173" fontId="16" fillId="0" borderId="2" xfId="8" applyNumberFormat="1" applyFont="1" applyFill="1" applyBorder="1" applyAlignment="1" applyProtection="1">
      <alignment horizontal="center" vertical="top"/>
    </xf>
    <xf numFmtId="1" fontId="16" fillId="0" borderId="13" xfId="33" applyNumberFormat="1" applyFont="1" applyBorder="1" applyAlignment="1" applyProtection="1">
      <alignment horizontal="left"/>
    </xf>
    <xf numFmtId="173" fontId="16" fillId="0" borderId="2" xfId="33" applyNumberFormat="1" applyFont="1" applyBorder="1" applyAlignment="1" applyProtection="1">
      <alignment horizontal="center"/>
    </xf>
    <xf numFmtId="173" fontId="16" fillId="0" borderId="13" xfId="33" applyNumberFormat="1" applyFont="1" applyBorder="1" applyAlignment="1" applyProtection="1">
      <alignment horizontal="center"/>
    </xf>
    <xf numFmtId="173" fontId="16" fillId="0" borderId="10" xfId="33" applyNumberFormat="1" applyFont="1" applyBorder="1" applyAlignment="1" applyProtection="1">
      <alignment horizontal="center"/>
    </xf>
    <xf numFmtId="173" fontId="16" fillId="0" borderId="5" xfId="33" applyNumberFormat="1" applyFont="1" applyBorder="1" applyAlignment="1" applyProtection="1">
      <alignment horizontal="center"/>
    </xf>
    <xf numFmtId="0" fontId="16" fillId="0" borderId="10" xfId="21" applyFont="1" applyBorder="1" applyAlignment="1" applyProtection="1">
      <alignment horizontal="center" vertical="top"/>
    </xf>
    <xf numFmtId="173" fontId="16" fillId="0" borderId="5" xfId="21" applyNumberFormat="1" applyFont="1" applyBorder="1" applyAlignment="1" applyProtection="1">
      <alignment horizontal="center" vertical="top"/>
    </xf>
    <xf numFmtId="173" fontId="16" fillId="0" borderId="10" xfId="21" applyNumberFormat="1" applyFont="1" applyBorder="1" applyAlignment="1" applyProtection="1">
      <alignment horizontal="center" vertical="top"/>
    </xf>
    <xf numFmtId="0" fontId="16" fillId="0" borderId="2" xfId="21" applyFont="1" applyBorder="1" applyAlignment="1" applyProtection="1">
      <alignment horizontal="center" vertical="top"/>
    </xf>
    <xf numFmtId="0" fontId="16" fillId="0" borderId="5" xfId="21" applyFont="1" applyBorder="1" applyAlignment="1" applyProtection="1">
      <alignment horizontal="center" vertical="top"/>
    </xf>
    <xf numFmtId="0" fontId="16" fillId="0" borderId="8" xfId="21" applyFont="1" applyBorder="1" applyAlignment="1" applyProtection="1">
      <alignment horizontal="center" vertical="top"/>
    </xf>
    <xf numFmtId="173" fontId="16" fillId="0" borderId="2" xfId="21" applyNumberFormat="1" applyFont="1" applyBorder="1" applyAlignment="1" applyProtection="1">
      <alignment horizontal="center" vertical="top"/>
    </xf>
    <xf numFmtId="1" fontId="16" fillId="0" borderId="13" xfId="40" applyNumberFormat="1" applyFont="1" applyBorder="1" applyAlignment="1" applyProtection="1">
      <alignment horizontal="left" vertical="top"/>
    </xf>
    <xf numFmtId="1" fontId="16" fillId="0" borderId="2" xfId="40" applyNumberFormat="1" applyFont="1" applyBorder="1" applyAlignment="1" applyProtection="1">
      <alignment horizontal="center" vertical="top"/>
    </xf>
    <xf numFmtId="0" fontId="16" fillId="0" borderId="9" xfId="12" applyFont="1" applyBorder="1" applyAlignment="1" applyProtection="1">
      <alignment horizontal="center"/>
    </xf>
    <xf numFmtId="0" fontId="16" fillId="0" borderId="4" xfId="12" applyFont="1" applyBorder="1" applyAlignment="1" applyProtection="1">
      <alignment horizontal="center"/>
    </xf>
    <xf numFmtId="0" fontId="16" fillId="0" borderId="12" xfId="12" applyFont="1" applyBorder="1" applyAlignment="1" applyProtection="1">
      <alignment horizontal="center"/>
    </xf>
    <xf numFmtId="173" fontId="16" fillId="0" borderId="12" xfId="28" applyNumberFormat="1" applyFont="1" applyBorder="1" applyAlignment="1" applyProtection="1">
      <alignment horizontal="center"/>
    </xf>
    <xf numFmtId="173" fontId="16" fillId="0" borderId="13" xfId="28" applyNumberFormat="1" applyFont="1" applyBorder="1" applyAlignment="1" applyProtection="1">
      <alignment horizontal="center"/>
    </xf>
    <xf numFmtId="173" fontId="16" fillId="0" borderId="12" xfId="28" applyNumberFormat="1" applyFont="1" applyFill="1" applyBorder="1" applyAlignment="1" applyProtection="1">
      <alignment horizontal="center"/>
    </xf>
    <xf numFmtId="173" fontId="16" fillId="0" borderId="4" xfId="28" applyNumberFormat="1" applyFont="1" applyBorder="1" applyAlignment="1" applyProtection="1">
      <alignment horizontal="center"/>
    </xf>
    <xf numFmtId="0" fontId="16" fillId="0" borderId="12" xfId="28" applyFont="1" applyBorder="1" applyAlignment="1" applyProtection="1">
      <alignment horizontal="center"/>
    </xf>
    <xf numFmtId="1" fontId="16" fillId="0" borderId="13" xfId="30" applyNumberFormat="1" applyFont="1" applyBorder="1" applyAlignment="1" applyProtection="1">
      <alignment horizontal="left"/>
    </xf>
    <xf numFmtId="173" fontId="16" fillId="0" borderId="2" xfId="30" applyNumberFormat="1" applyFont="1" applyBorder="1" applyAlignment="1" applyProtection="1">
      <alignment horizontal="center"/>
    </xf>
    <xf numFmtId="173" fontId="16" fillId="0" borderId="12" xfId="31" applyNumberFormat="1" applyFont="1" applyBorder="1" applyAlignment="1" applyProtection="1">
      <alignment horizontal="center"/>
    </xf>
    <xf numFmtId="173" fontId="16" fillId="0" borderId="7" xfId="31" applyNumberFormat="1" applyFont="1" applyBorder="1" applyAlignment="1" applyProtection="1">
      <alignment horizontal="center"/>
    </xf>
    <xf numFmtId="173" fontId="16" fillId="0" borderId="4" xfId="31" applyNumberFormat="1" applyFont="1" applyBorder="1" applyAlignment="1" applyProtection="1">
      <alignment horizontal="center"/>
    </xf>
    <xf numFmtId="173" fontId="16" fillId="0" borderId="13" xfId="31" applyNumberFormat="1" applyFont="1" applyBorder="1" applyAlignment="1" applyProtection="1">
      <alignment horizontal="center"/>
    </xf>
    <xf numFmtId="173" fontId="16" fillId="0" borderId="13" xfId="25" applyNumberFormat="1" applyFont="1" applyBorder="1" applyAlignment="1" applyProtection="1">
      <alignment horizontal="left"/>
    </xf>
    <xf numFmtId="173" fontId="16" fillId="0" borderId="12" xfId="25" applyNumberFormat="1" applyFont="1" applyBorder="1" applyAlignment="1" applyProtection="1">
      <alignment horizontal="left"/>
    </xf>
    <xf numFmtId="3" fontId="16" fillId="0" borderId="12" xfId="25" applyNumberFormat="1" applyFont="1" applyFill="1" applyBorder="1" applyAlignment="1" applyProtection="1"/>
    <xf numFmtId="3" fontId="16" fillId="0" borderId="13" xfId="25" applyNumberFormat="1" applyFont="1" applyFill="1" applyBorder="1" applyAlignment="1" applyProtection="1"/>
    <xf numFmtId="173" fontId="16" fillId="0" borderId="12" xfId="25" applyNumberFormat="1" applyFont="1" applyBorder="1" applyAlignment="1" applyProtection="1">
      <alignment horizontal="center"/>
    </xf>
    <xf numFmtId="173" fontId="16" fillId="0" borderId="13" xfId="25" applyNumberFormat="1" applyFont="1" applyBorder="1" applyAlignment="1" applyProtection="1">
      <alignment horizontal="center"/>
    </xf>
    <xf numFmtId="0" fontId="16" fillId="0" borderId="4" xfId="12" applyFont="1" applyBorder="1" applyAlignment="1" applyProtection="1">
      <alignment horizontal="left"/>
    </xf>
    <xf numFmtId="3" fontId="8" fillId="3" borderId="13" xfId="24" applyNumberFormat="1" applyFont="1" applyFill="1" applyBorder="1" applyAlignment="1" applyProtection="1"/>
    <xf numFmtId="3" fontId="8" fillId="2" borderId="7" xfId="33" applyNumberFormat="1" applyFont="1" applyFill="1" applyBorder="1" applyAlignment="1" applyProtection="1">
      <protection locked="0"/>
    </xf>
    <xf numFmtId="3" fontId="8" fillId="2" borderId="7" xfId="21" applyNumberFormat="1" applyFont="1" applyFill="1" applyBorder="1" applyAlignment="1" applyProtection="1">
      <alignment vertical="top"/>
      <protection locked="0"/>
    </xf>
    <xf numFmtId="0" fontId="41" fillId="0" borderId="0" xfId="33" applyFont="1" applyProtection="1"/>
    <xf numFmtId="173" fontId="8" fillId="0" borderId="13" xfId="33" applyNumberFormat="1" applyFont="1" applyBorder="1" applyAlignment="1" applyProtection="1">
      <alignment horizontal="center" vertical="top"/>
    </xf>
    <xf numFmtId="173" fontId="8" fillId="0" borderId="9" xfId="33" applyNumberFormat="1" applyFont="1" applyBorder="1" applyAlignment="1" applyProtection="1">
      <alignment horizontal="center" vertical="top"/>
    </xf>
    <xf numFmtId="3" fontId="8" fillId="2" borderId="2" xfId="33" applyNumberFormat="1" applyFont="1" applyFill="1" applyBorder="1" applyAlignment="1" applyProtection="1">
      <protection locked="0"/>
    </xf>
    <xf numFmtId="0" fontId="0" fillId="0" borderId="0" xfId="0" applyProtection="1"/>
    <xf numFmtId="3" fontId="16" fillId="0" borderId="1" xfId="46" applyNumberFormat="1" applyFont="1" applyFill="1" applyBorder="1" applyAlignment="1" applyProtection="1">
      <alignment vertical="top"/>
    </xf>
    <xf numFmtId="3" fontId="8" fillId="2" borderId="2" xfId="40" applyNumberFormat="1" applyFont="1" applyFill="1" applyBorder="1" applyAlignment="1" applyProtection="1">
      <alignment vertical="top"/>
      <protection locked="0"/>
    </xf>
    <xf numFmtId="3" fontId="8" fillId="2" borderId="11" xfId="40" applyNumberFormat="1" applyFont="1" applyFill="1" applyBorder="1" applyAlignment="1" applyProtection="1">
      <alignment vertical="top"/>
      <protection locked="0"/>
    </xf>
    <xf numFmtId="1" fontId="8" fillId="0" borderId="5" xfId="33" applyNumberFormat="1" applyFont="1" applyBorder="1" applyAlignment="1" applyProtection="1">
      <alignment horizontal="left"/>
    </xf>
    <xf numFmtId="1" fontId="8" fillId="0" borderId="8" xfId="33" applyNumberFormat="1" applyFont="1" applyBorder="1" applyAlignment="1" applyProtection="1">
      <alignment horizontal="left"/>
    </xf>
    <xf numFmtId="1" fontId="8" fillId="0" borderId="10" xfId="33" applyNumberFormat="1" applyFont="1" applyBorder="1" applyAlignment="1" applyProtection="1">
      <alignment horizontal="left"/>
    </xf>
    <xf numFmtId="1" fontId="8" fillId="0" borderId="4" xfId="40" applyNumberFormat="1" applyFont="1" applyBorder="1" applyAlignment="1" applyProtection="1">
      <alignment horizontal="center" vertical="top"/>
    </xf>
    <xf numFmtId="3" fontId="8" fillId="2" borderId="8" xfId="40" applyNumberFormat="1" applyFont="1" applyFill="1" applyBorder="1" applyAlignment="1" applyProtection="1">
      <alignment vertical="top"/>
      <protection locked="0"/>
    </xf>
    <xf numFmtId="3" fontId="8" fillId="0" borderId="5" xfId="40" applyNumberFormat="1" applyFont="1" applyFill="1" applyBorder="1" applyAlignment="1" applyProtection="1">
      <alignment vertical="top"/>
    </xf>
    <xf numFmtId="3" fontId="8" fillId="0" borderId="4" xfId="40" applyNumberFormat="1" applyFont="1" applyFill="1" applyBorder="1" applyAlignment="1" applyProtection="1">
      <alignment vertical="top"/>
    </xf>
    <xf numFmtId="3" fontId="8" fillId="0" borderId="8" xfId="40" applyNumberFormat="1" applyFont="1" applyFill="1" applyBorder="1" applyAlignment="1" applyProtection="1">
      <alignment vertical="top"/>
    </xf>
    <xf numFmtId="3" fontId="8" fillId="0" borderId="7" xfId="40" applyNumberFormat="1" applyFont="1" applyFill="1" applyBorder="1" applyAlignment="1" applyProtection="1">
      <alignment vertical="top"/>
    </xf>
    <xf numFmtId="3" fontId="8" fillId="2" borderId="9" xfId="40" applyNumberFormat="1" applyFont="1" applyFill="1" applyBorder="1" applyAlignment="1" applyProtection="1">
      <alignment vertical="top"/>
      <protection locked="0"/>
    </xf>
    <xf numFmtId="3" fontId="8" fillId="0" borderId="15" xfId="40" applyNumberFormat="1" applyFont="1" applyFill="1" applyBorder="1" applyAlignment="1" applyProtection="1">
      <alignment vertical="top"/>
    </xf>
    <xf numFmtId="3" fontId="8" fillId="0" borderId="0" xfId="40" applyNumberFormat="1" applyFont="1" applyFill="1" applyBorder="1" applyAlignment="1" applyProtection="1">
      <alignment vertical="top"/>
    </xf>
    <xf numFmtId="3" fontId="8" fillId="0" borderId="6" xfId="40" applyNumberFormat="1" applyFont="1" applyFill="1" applyBorder="1" applyAlignment="1" applyProtection="1">
      <alignment vertical="top"/>
    </xf>
    <xf numFmtId="0" fontId="8" fillId="0" borderId="0" xfId="21" applyFont="1" applyFill="1" applyBorder="1" applyAlignment="1" applyProtection="1">
      <alignment horizontal="left" vertical="top"/>
    </xf>
    <xf numFmtId="1" fontId="8" fillId="0" borderId="0" xfId="40" applyNumberFormat="1" applyFont="1" applyFill="1" applyBorder="1" applyAlignment="1" applyProtection="1">
      <alignment horizontal="center" vertical="top"/>
    </xf>
    <xf numFmtId="1" fontId="8" fillId="0" borderId="0" xfId="40" applyNumberFormat="1" applyFont="1" applyFill="1" applyBorder="1" applyAlignment="1" applyProtection="1">
      <alignment horizontal="left" vertical="top"/>
    </xf>
    <xf numFmtId="0" fontId="8" fillId="0" borderId="0" xfId="40" applyFont="1" applyFill="1" applyBorder="1" applyProtection="1"/>
    <xf numFmtId="0" fontId="8" fillId="0" borderId="0" xfId="40" applyFont="1" applyFill="1" applyBorder="1" applyAlignment="1" applyProtection="1">
      <alignment horizontal="center"/>
    </xf>
    <xf numFmtId="0" fontId="8" fillId="0" borderId="5" xfId="21" applyFont="1" applyBorder="1" applyAlignment="1" applyProtection="1">
      <alignment horizontal="left" vertical="top"/>
    </xf>
    <xf numFmtId="0" fontId="8" fillId="0" borderId="8" xfId="21" applyFont="1" applyBorder="1" applyAlignment="1" applyProtection="1">
      <alignment horizontal="left" vertical="top"/>
    </xf>
    <xf numFmtId="0" fontId="8" fillId="0" borderId="10" xfId="21" applyFont="1" applyBorder="1" applyAlignment="1" applyProtection="1">
      <alignment horizontal="left" vertical="top"/>
    </xf>
    <xf numFmtId="3" fontId="8" fillId="0" borderId="9" xfId="40" applyNumberFormat="1" applyFont="1" applyFill="1" applyBorder="1" applyAlignment="1" applyProtection="1">
      <alignment vertical="top"/>
    </xf>
    <xf numFmtId="173" fontId="8" fillId="0" borderId="5" xfId="21" applyNumberFormat="1" applyFont="1" applyBorder="1" applyAlignment="1" applyProtection="1">
      <alignment horizontal="left" vertical="top"/>
    </xf>
    <xf numFmtId="173" fontId="8" fillId="0" borderId="10" xfId="21" applyNumberFormat="1" applyFont="1" applyBorder="1" applyAlignment="1" applyProtection="1">
      <alignment horizontal="left" vertical="top"/>
    </xf>
    <xf numFmtId="1" fontId="8" fillId="0" borderId="7" xfId="40" applyNumberFormat="1" applyFont="1" applyBorder="1" applyAlignment="1" applyProtection="1">
      <alignment horizontal="center"/>
    </xf>
    <xf numFmtId="172" fontId="8" fillId="0" borderId="7" xfId="40" applyNumberFormat="1" applyFont="1" applyBorder="1" applyAlignment="1" applyProtection="1">
      <alignment horizontal="center"/>
    </xf>
    <xf numFmtId="3" fontId="8" fillId="2" borderId="1" xfId="48" applyNumberFormat="1" applyFont="1" applyFill="1" applyBorder="1" applyProtection="1">
      <protection locked="0"/>
    </xf>
    <xf numFmtId="167" fontId="16" fillId="2" borderId="1" xfId="48" applyNumberFormat="1" applyFont="1" applyFill="1" applyBorder="1" applyProtection="1">
      <protection locked="0"/>
    </xf>
    <xf numFmtId="3" fontId="8" fillId="2" borderId="2" xfId="30" applyNumberFormat="1" applyFont="1" applyFill="1" applyBorder="1" applyAlignment="1" applyProtection="1">
      <protection locked="0"/>
    </xf>
    <xf numFmtId="172" fontId="16" fillId="0" borderId="0" xfId="46" applyNumberFormat="1" applyFont="1" applyFill="1" applyBorder="1" applyAlignment="1" applyProtection="1">
      <alignment horizontal="center" vertical="top"/>
    </xf>
    <xf numFmtId="0" fontId="25" fillId="0" borderId="0" xfId="9" applyFont="1" applyAlignment="1" applyProtection="1">
      <alignment horizontal="center"/>
    </xf>
    <xf numFmtId="0" fontId="25" fillId="0" borderId="0" xfId="9" applyFont="1" applyAlignment="1" applyProtection="1">
      <alignment horizontal="center" vertical="top"/>
    </xf>
    <xf numFmtId="0" fontId="42" fillId="0" borderId="0" xfId="48" applyFont="1" applyProtection="1"/>
    <xf numFmtId="165" fontId="43" fillId="0" borderId="0" xfId="48" applyNumberFormat="1" applyFont="1" applyProtection="1"/>
    <xf numFmtId="1" fontId="16" fillId="0" borderId="8" xfId="40" applyNumberFormat="1" applyFont="1" applyBorder="1" applyAlignment="1" applyProtection="1">
      <alignment horizontal="center" vertical="top"/>
    </xf>
    <xf numFmtId="1" fontId="16" fillId="0" borderId="5" xfId="40" applyNumberFormat="1" applyFont="1" applyBorder="1" applyAlignment="1" applyProtection="1">
      <alignment horizontal="center" vertical="top"/>
    </xf>
    <xf numFmtId="1" fontId="16" fillId="0" borderId="10" xfId="40" applyNumberFormat="1" applyFont="1" applyBorder="1" applyAlignment="1" applyProtection="1">
      <alignment horizontal="center" vertical="top"/>
    </xf>
    <xf numFmtId="1" fontId="16" fillId="0" borderId="4" xfId="40" applyNumberFormat="1" applyFont="1" applyBorder="1" applyAlignment="1" applyProtection="1">
      <alignment horizontal="center" vertical="top"/>
    </xf>
    <xf numFmtId="1" fontId="16" fillId="0" borderId="7" xfId="40" applyNumberFormat="1" applyFont="1" applyBorder="1" applyAlignment="1" applyProtection="1">
      <alignment horizontal="center" vertical="top"/>
    </xf>
    <xf numFmtId="1" fontId="16" fillId="0" borderId="12" xfId="40" applyNumberFormat="1" applyFont="1" applyBorder="1" applyAlignment="1" applyProtection="1">
      <alignment horizontal="center" vertical="top"/>
    </xf>
    <xf numFmtId="0" fontId="19" fillId="0" borderId="0" xfId="48" applyFont="1" applyProtection="1"/>
    <xf numFmtId="0" fontId="25" fillId="0" borderId="0" xfId="23" applyFont="1" applyAlignment="1" applyProtection="1">
      <alignment horizontal="center"/>
    </xf>
    <xf numFmtId="0" fontId="30" fillId="0" borderId="0" xfId="23" applyFont="1" applyProtection="1">
      <protection locked="0"/>
    </xf>
    <xf numFmtId="173" fontId="8" fillId="0" borderId="7" xfId="23" applyNumberFormat="1" applyFont="1" applyFill="1" applyBorder="1" applyAlignment="1" applyProtection="1">
      <alignment horizontal="center"/>
    </xf>
    <xf numFmtId="173" fontId="8" fillId="0" borderId="10" xfId="23" applyNumberFormat="1" applyFont="1" applyFill="1" applyBorder="1" applyAlignment="1" applyProtection="1">
      <alignment horizontal="center"/>
    </xf>
    <xf numFmtId="3" fontId="8" fillId="3" borderId="13" xfId="23" applyNumberFormat="1" applyFont="1" applyFill="1" applyBorder="1" applyAlignment="1" applyProtection="1"/>
    <xf numFmtId="3" fontId="8" fillId="3" borderId="7" xfId="23" applyNumberFormat="1" applyFont="1" applyFill="1" applyBorder="1" applyAlignment="1" applyProtection="1"/>
    <xf numFmtId="3" fontId="8" fillId="3" borderId="1" xfId="23" applyNumberFormat="1" applyFont="1" applyFill="1" applyBorder="1" applyAlignment="1" applyProtection="1"/>
    <xf numFmtId="3" fontId="8" fillId="3" borderId="0" xfId="23" applyNumberFormat="1" applyFont="1" applyFill="1" applyBorder="1" applyAlignment="1" applyProtection="1"/>
    <xf numFmtId="38" fontId="8" fillId="3" borderId="12" xfId="27" applyNumberFormat="1" applyFont="1" applyFill="1" applyBorder="1" applyAlignment="1" applyProtection="1">
      <alignment horizontal="left"/>
    </xf>
    <xf numFmtId="0" fontId="20" fillId="0" borderId="0" xfId="23" applyFont="1" applyAlignment="1" applyProtection="1">
      <alignment horizontal="left" wrapText="1"/>
    </xf>
    <xf numFmtId="0" fontId="44" fillId="0" borderId="0" xfId="23" applyFont="1" applyAlignment="1" applyProtection="1">
      <alignment horizontal="left" wrapText="1"/>
      <protection locked="0"/>
    </xf>
    <xf numFmtId="0" fontId="8" fillId="0" borderId="5" xfId="27" applyFont="1" applyBorder="1" applyAlignment="1" applyProtection="1">
      <alignment horizontal="center"/>
    </xf>
    <xf numFmtId="0" fontId="8" fillId="0" borderId="8" xfId="27" applyFont="1" applyBorder="1" applyAlignment="1" applyProtection="1">
      <alignment horizontal="center"/>
    </xf>
    <xf numFmtId="0" fontId="8" fillId="0" borderId="2" xfId="27" applyFont="1" applyBorder="1" applyAlignment="1" applyProtection="1">
      <alignment horizontal="center"/>
    </xf>
    <xf numFmtId="3" fontId="8" fillId="0" borderId="6" xfId="27" applyNumberFormat="1" applyFont="1" applyBorder="1" applyAlignment="1" applyProtection="1"/>
    <xf numFmtId="3" fontId="8" fillId="0" borderId="9" xfId="27" applyNumberFormat="1" applyFont="1" applyBorder="1" applyAlignment="1" applyProtection="1"/>
    <xf numFmtId="3" fontId="8" fillId="0" borderId="8" xfId="27" applyNumberFormat="1" applyFont="1" applyBorder="1" applyAlignment="1" applyProtection="1"/>
    <xf numFmtId="3" fontId="8" fillId="0" borderId="8" xfId="27" applyNumberFormat="1" applyFont="1" applyFill="1" applyBorder="1" applyAlignment="1" applyProtection="1"/>
    <xf numFmtId="3" fontId="8" fillId="0" borderId="9" xfId="23" applyNumberFormat="1" applyFont="1" applyBorder="1" applyAlignment="1" applyProtection="1"/>
    <xf numFmtId="3" fontId="8" fillId="2" borderId="11" xfId="23" applyNumberFormat="1" applyFont="1" applyFill="1" applyBorder="1" applyAlignment="1" applyProtection="1">
      <protection locked="0"/>
    </xf>
    <xf numFmtId="3" fontId="8" fillId="0" borderId="11" xfId="23" applyNumberFormat="1" applyFont="1" applyFill="1" applyBorder="1" applyAlignment="1" applyProtection="1"/>
    <xf numFmtId="3" fontId="8" fillId="0" borderId="3" xfId="27" applyNumberFormat="1" applyFont="1" applyFill="1" applyBorder="1" applyAlignment="1" applyProtection="1"/>
    <xf numFmtId="0" fontId="8" fillId="0" borderId="10" xfId="27" applyFont="1" applyBorder="1" applyAlignment="1" applyProtection="1">
      <alignment horizontal="center"/>
    </xf>
    <xf numFmtId="38" fontId="8" fillId="3" borderId="11" xfId="27" applyNumberFormat="1" applyFont="1" applyFill="1" applyBorder="1" applyAlignment="1" applyProtection="1">
      <alignment horizontal="left"/>
    </xf>
    <xf numFmtId="38" fontId="8" fillId="3" borderId="10" xfId="27" applyNumberFormat="1" applyFont="1" applyFill="1" applyBorder="1" applyAlignment="1" applyProtection="1">
      <alignment horizontal="left"/>
    </xf>
    <xf numFmtId="3" fontId="16" fillId="0" borderId="13" xfId="46" applyNumberFormat="1" applyFont="1" applyFill="1" applyBorder="1" applyAlignment="1" applyProtection="1">
      <alignment horizontal="right" vertical="top"/>
    </xf>
    <xf numFmtId="0" fontId="8" fillId="0" borderId="12" xfId="12" applyFont="1" applyFill="1" applyBorder="1" applyAlignment="1" applyProtection="1">
      <alignment horizontal="left"/>
    </xf>
    <xf numFmtId="0" fontId="16" fillId="0" borderId="12" xfId="12" applyFont="1" applyFill="1" applyBorder="1" applyAlignment="1" applyProtection="1">
      <alignment horizontal="center"/>
    </xf>
    <xf numFmtId="0" fontId="16" fillId="0" borderId="0" xfId="48" applyFont="1" applyBorder="1"/>
    <xf numFmtId="167" fontId="8" fillId="0" borderId="0" xfId="48" applyNumberFormat="1" applyFont="1" applyProtection="1"/>
    <xf numFmtId="0" fontId="31" fillId="0" borderId="0" xfId="48" applyFont="1" applyProtection="1"/>
    <xf numFmtId="0" fontId="19" fillId="0" borderId="0" xfId="48" applyFont="1" applyBorder="1" applyProtection="1"/>
    <xf numFmtId="38" fontId="8" fillId="0" borderId="0" xfId="40" applyNumberFormat="1" applyFont="1" applyProtection="1"/>
    <xf numFmtId="0" fontId="8" fillId="0" borderId="0" xfId="17" applyFont="1" applyBorder="1" applyAlignment="1" applyProtection="1">
      <alignment horizontal="left" vertical="top"/>
    </xf>
    <xf numFmtId="3" fontId="8" fillId="0" borderId="0" xfId="17" applyNumberFormat="1" applyFont="1" applyFill="1" applyBorder="1" applyAlignment="1" applyProtection="1">
      <alignment vertical="top"/>
    </xf>
    <xf numFmtId="3" fontId="16" fillId="0" borderId="0" xfId="17" applyNumberFormat="1" applyFont="1" applyFill="1" applyBorder="1" applyAlignment="1" applyProtection="1">
      <alignment horizontal="right" vertical="top"/>
    </xf>
    <xf numFmtId="0" fontId="45" fillId="0" borderId="0" xfId="25" applyFont="1" applyAlignment="1" applyProtection="1">
      <alignment horizontal="center"/>
    </xf>
    <xf numFmtId="0" fontId="45" fillId="0" borderId="0" xfId="26" applyFont="1" applyBorder="1" applyAlignment="1" applyProtection="1">
      <alignment horizontal="center"/>
    </xf>
    <xf numFmtId="0" fontId="45" fillId="0" borderId="0" xfId="27" applyFont="1" applyBorder="1" applyAlignment="1" applyProtection="1">
      <alignment horizontal="center"/>
    </xf>
    <xf numFmtId="0" fontId="45" fillId="0" borderId="0" xfId="28" applyFont="1" applyAlignment="1" applyProtection="1">
      <alignment horizontal="center"/>
    </xf>
    <xf numFmtId="0" fontId="45" fillId="0" borderId="0" xfId="23" applyFont="1" applyAlignment="1" applyProtection="1">
      <alignment horizontal="center"/>
    </xf>
    <xf numFmtId="173" fontId="45" fillId="0" borderId="0" xfId="31" applyNumberFormat="1" applyFont="1" applyBorder="1" applyAlignment="1" applyProtection="1">
      <alignment horizontal="center"/>
    </xf>
    <xf numFmtId="0" fontId="45" fillId="0" borderId="0" xfId="34" applyFont="1" applyAlignment="1" applyProtection="1">
      <alignment horizontal="center"/>
    </xf>
    <xf numFmtId="0" fontId="45" fillId="0" borderId="0" xfId="35" applyFont="1" applyAlignment="1" applyProtection="1">
      <alignment horizontal="center"/>
    </xf>
    <xf numFmtId="0" fontId="45" fillId="0" borderId="0" xfId="36" applyFont="1" applyBorder="1" applyAlignment="1" applyProtection="1">
      <alignment horizontal="center"/>
    </xf>
    <xf numFmtId="0" fontId="45" fillId="0" borderId="0" xfId="37" applyFont="1" applyBorder="1" applyAlignment="1" applyProtection="1">
      <alignment horizontal="center"/>
    </xf>
    <xf numFmtId="0" fontId="45" fillId="0" borderId="0" xfId="41" applyFont="1" applyBorder="1" applyAlignment="1" applyProtection="1">
      <alignment horizontal="center"/>
    </xf>
    <xf numFmtId="0" fontId="45" fillId="0" borderId="0" xfId="42" applyFont="1" applyBorder="1" applyAlignment="1" applyProtection="1">
      <alignment horizontal="center"/>
    </xf>
    <xf numFmtId="0" fontId="45" fillId="0" borderId="0" xfId="43" applyFont="1" applyBorder="1" applyAlignment="1" applyProtection="1">
      <alignment horizontal="center"/>
    </xf>
    <xf numFmtId="0" fontId="45" fillId="0" borderId="0" xfId="44" applyFont="1" applyBorder="1" applyAlignment="1" applyProtection="1">
      <alignment horizontal="center"/>
    </xf>
    <xf numFmtId="0" fontId="45" fillId="0" borderId="0" xfId="45" applyFont="1" applyBorder="1" applyAlignment="1" applyProtection="1">
      <alignment horizontal="center"/>
    </xf>
    <xf numFmtId="0" fontId="45" fillId="0" borderId="0" xfId="17" applyFont="1" applyProtection="1"/>
    <xf numFmtId="0" fontId="45" fillId="0" borderId="0" xfId="27" applyFont="1" applyAlignment="1" applyProtection="1">
      <alignment horizontal="center"/>
    </xf>
    <xf numFmtId="0" fontId="45" fillId="0" borderId="0" xfId="38" applyFont="1" applyAlignment="1" applyProtection="1">
      <alignment horizontal="center"/>
    </xf>
    <xf numFmtId="173" fontId="16" fillId="0" borderId="2" xfId="46" applyNumberFormat="1" applyFont="1" applyFill="1" applyBorder="1" applyAlignment="1" applyProtection="1">
      <alignment horizontal="center" vertical="top"/>
    </xf>
    <xf numFmtId="0" fontId="41" fillId="0" borderId="0" xfId="48" applyFont="1" applyProtection="1"/>
    <xf numFmtId="0" fontId="16" fillId="0" borderId="0" xfId="35" applyFont="1" applyAlignment="1" applyProtection="1">
      <alignment horizontal="center"/>
    </xf>
    <xf numFmtId="37" fontId="8" fillId="2" borderId="14" xfId="48" applyNumberFormat="1" applyFont="1" applyFill="1" applyBorder="1" applyProtection="1">
      <protection locked="0"/>
    </xf>
    <xf numFmtId="0" fontId="18" fillId="0" borderId="0" xfId="22" applyFont="1" applyAlignment="1" applyProtection="1">
      <alignment vertical="top"/>
    </xf>
    <xf numFmtId="3" fontId="8" fillId="0" borderId="9" xfId="22" applyNumberFormat="1" applyFont="1" applyBorder="1" applyAlignment="1" applyProtection="1">
      <alignment horizontal="right" vertical="top"/>
    </xf>
    <xf numFmtId="172" fontId="8" fillId="0" borderId="7" xfId="22" applyNumberFormat="1" applyFont="1" applyBorder="1" applyAlignment="1" applyProtection="1">
      <alignment horizontal="center" vertical="top"/>
    </xf>
    <xf numFmtId="3" fontId="8" fillId="0" borderId="8" xfId="22" applyNumberFormat="1" applyFont="1" applyBorder="1" applyAlignment="1" applyProtection="1">
      <alignment horizontal="left" vertical="top"/>
    </xf>
    <xf numFmtId="3" fontId="8" fillId="0" borderId="8" xfId="22" applyNumberFormat="1" applyFont="1" applyBorder="1" applyAlignment="1" applyProtection="1">
      <alignment horizontal="right" vertical="top"/>
    </xf>
    <xf numFmtId="3" fontId="8" fillId="0" borderId="6" xfId="22" applyNumberFormat="1" applyFont="1" applyBorder="1" applyAlignment="1" applyProtection="1">
      <alignment horizontal="left" vertical="top"/>
    </xf>
    <xf numFmtId="3" fontId="8" fillId="2" borderId="11" xfId="22" applyNumberFormat="1" applyFont="1" applyFill="1" applyBorder="1" applyAlignment="1" applyProtection="1">
      <alignment horizontal="right" vertical="top"/>
      <protection locked="0"/>
    </xf>
    <xf numFmtId="3" fontId="8" fillId="3" borderId="11" xfId="22" applyNumberFormat="1" applyFont="1" applyFill="1" applyBorder="1" applyAlignment="1" applyProtection="1">
      <alignment vertical="top"/>
    </xf>
    <xf numFmtId="3" fontId="8" fillId="0" borderId="11" xfId="22" applyNumberFormat="1" applyFont="1" applyFill="1" applyBorder="1" applyAlignment="1" applyProtection="1">
      <alignment vertical="top"/>
    </xf>
    <xf numFmtId="3" fontId="8" fillId="0" borderId="3" xfId="22" applyNumberFormat="1" applyFont="1" applyFill="1" applyBorder="1" applyAlignment="1" applyProtection="1">
      <alignment vertical="top"/>
    </xf>
    <xf numFmtId="3" fontId="16" fillId="0" borderId="3" xfId="22" applyNumberFormat="1" applyFont="1" applyFill="1" applyBorder="1" applyAlignment="1" applyProtection="1">
      <alignment vertical="top"/>
    </xf>
    <xf numFmtId="3" fontId="8" fillId="0" borderId="5" xfId="22" applyNumberFormat="1" applyFont="1" applyBorder="1" applyAlignment="1" applyProtection="1">
      <alignment vertical="top"/>
    </xf>
    <xf numFmtId="3" fontId="8" fillId="0" borderId="8" xfId="22" applyNumberFormat="1" applyFont="1" applyBorder="1" applyAlignment="1" applyProtection="1">
      <alignment vertical="top"/>
    </xf>
    <xf numFmtId="3" fontId="8" fillId="0" borderId="6" xfId="22" applyNumberFormat="1" applyFont="1" applyBorder="1" applyAlignment="1" applyProtection="1">
      <alignment vertical="top"/>
    </xf>
    <xf numFmtId="3" fontId="8" fillId="0" borderId="9" xfId="22" applyNumberFormat="1" applyFont="1" applyBorder="1" applyAlignment="1" applyProtection="1">
      <alignment vertical="top"/>
    </xf>
    <xf numFmtId="3" fontId="8" fillId="2" borderId="11" xfId="22" applyNumberFormat="1" applyFont="1" applyFill="1" applyBorder="1" applyAlignment="1" applyProtection="1">
      <alignment vertical="top"/>
      <protection locked="0"/>
    </xf>
    <xf numFmtId="3" fontId="8" fillId="2" borderId="3" xfId="22" applyNumberFormat="1" applyFont="1" applyFill="1" applyBorder="1" applyAlignment="1" applyProtection="1">
      <alignment vertical="top"/>
      <protection locked="0"/>
    </xf>
    <xf numFmtId="172" fontId="8" fillId="0" borderId="7" xfId="22" applyNumberFormat="1" applyFont="1" applyBorder="1" applyAlignment="1" applyProtection="1">
      <alignment horizontal="center"/>
    </xf>
    <xf numFmtId="3" fontId="8" fillId="0" borderId="5" xfId="22" applyNumberFormat="1" applyFont="1" applyBorder="1" applyAlignment="1" applyProtection="1"/>
    <xf numFmtId="3" fontId="8" fillId="0" borderId="8" xfId="22" applyNumberFormat="1" applyFont="1" applyBorder="1" applyAlignment="1" applyProtection="1"/>
    <xf numFmtId="3" fontId="8" fillId="0" borderId="6" xfId="22" applyNumberFormat="1" applyFont="1" applyBorder="1" applyAlignment="1" applyProtection="1"/>
    <xf numFmtId="3" fontId="8" fillId="2" borderId="11" xfId="22" applyNumberFormat="1" applyFont="1" applyFill="1" applyBorder="1" applyAlignment="1" applyProtection="1">
      <protection locked="0"/>
    </xf>
    <xf numFmtId="3" fontId="8" fillId="2" borderId="3" xfId="22" applyNumberFormat="1" applyFont="1" applyFill="1" applyBorder="1" applyAlignment="1" applyProtection="1">
      <protection locked="0"/>
    </xf>
    <xf numFmtId="3" fontId="8" fillId="2" borderId="6" xfId="22" applyNumberFormat="1" applyFont="1" applyFill="1" applyBorder="1" applyAlignment="1" applyProtection="1">
      <protection locked="0"/>
    </xf>
    <xf numFmtId="3" fontId="8" fillId="0" borderId="9" xfId="22" applyNumberFormat="1" applyFont="1" applyBorder="1" applyAlignment="1" applyProtection="1"/>
    <xf numFmtId="3" fontId="8" fillId="2" borderId="9" xfId="22" applyNumberFormat="1" applyFont="1" applyFill="1" applyBorder="1" applyAlignment="1" applyProtection="1">
      <protection locked="0"/>
    </xf>
    <xf numFmtId="3" fontId="8" fillId="2" borderId="6" xfId="22" applyNumberFormat="1" applyFont="1" applyFill="1" applyBorder="1" applyAlignment="1" applyProtection="1">
      <alignment vertical="top"/>
      <protection locked="0"/>
    </xf>
    <xf numFmtId="3" fontId="8" fillId="2" borderId="9" xfId="22" applyNumberFormat="1" applyFont="1" applyFill="1" applyBorder="1" applyAlignment="1" applyProtection="1">
      <alignment vertical="top"/>
      <protection locked="0"/>
    </xf>
    <xf numFmtId="3" fontId="8" fillId="0" borderId="11" xfId="33" applyNumberFormat="1" applyFont="1" applyFill="1" applyBorder="1" applyAlignment="1" applyProtection="1"/>
    <xf numFmtId="169" fontId="8" fillId="2" borderId="14" xfId="48" applyNumberFormat="1" applyFont="1" applyFill="1" applyBorder="1" applyProtection="1">
      <protection locked="0"/>
    </xf>
    <xf numFmtId="1" fontId="41" fillId="0" borderId="0" xfId="48" applyNumberFormat="1" applyFont="1" applyFill="1" applyBorder="1" applyProtection="1"/>
    <xf numFmtId="169" fontId="8" fillId="0" borderId="0" xfId="48" applyNumberFormat="1" applyFont="1" applyFill="1" applyBorder="1" applyProtection="1"/>
    <xf numFmtId="3" fontId="8" fillId="2" borderId="8" xfId="33" applyNumberFormat="1" applyFont="1" applyFill="1" applyBorder="1" applyAlignment="1" applyProtection="1">
      <protection locked="0"/>
    </xf>
    <xf numFmtId="0" fontId="18" fillId="0" borderId="0" xfId="28" applyFont="1" applyProtection="1">
      <protection locked="0"/>
    </xf>
    <xf numFmtId="3" fontId="8" fillId="0" borderId="11" xfId="40" applyNumberFormat="1" applyFont="1" applyFill="1" applyBorder="1" applyAlignment="1" applyProtection="1">
      <alignment vertical="top"/>
    </xf>
    <xf numFmtId="0" fontId="18" fillId="0" borderId="0" xfId="33" applyFont="1" applyProtection="1"/>
    <xf numFmtId="3" fontId="8" fillId="2" borderId="8" xfId="21" applyNumberFormat="1" applyFont="1" applyFill="1" applyBorder="1" applyAlignment="1" applyProtection="1">
      <alignment vertical="top"/>
      <protection locked="0"/>
    </xf>
    <xf numFmtId="0" fontId="8" fillId="0" borderId="0" xfId="40" applyFont="1" applyFill="1" applyAlignment="1" applyProtection="1">
      <alignment vertical="top"/>
      <protection locked="0"/>
    </xf>
    <xf numFmtId="3" fontId="16" fillId="0" borderId="13" xfId="11" applyNumberFormat="1" applyFont="1" applyFill="1" applyBorder="1" applyAlignment="1" applyProtection="1">
      <alignment horizontal="right"/>
    </xf>
    <xf numFmtId="3" fontId="16" fillId="0" borderId="13" xfId="22" applyNumberFormat="1" applyFont="1" applyFill="1" applyBorder="1" applyAlignment="1" applyProtection="1">
      <alignment vertical="top"/>
    </xf>
    <xf numFmtId="0" fontId="8" fillId="0" borderId="12" xfId="40" applyFont="1" applyFill="1" applyBorder="1" applyProtection="1"/>
    <xf numFmtId="0" fontId="41" fillId="0" borderId="0" xfId="40" applyFont="1" applyProtection="1"/>
    <xf numFmtId="38" fontId="8" fillId="7" borderId="1" xfId="40" applyNumberFormat="1" applyFont="1" applyFill="1" applyBorder="1" applyProtection="1"/>
    <xf numFmtId="0" fontId="8" fillId="0" borderId="0" xfId="40" applyFont="1" applyFill="1" applyProtection="1"/>
    <xf numFmtId="3" fontId="8" fillId="0" borderId="4" xfId="33" applyNumberFormat="1" applyFont="1" applyFill="1" applyBorder="1" applyAlignment="1" applyProtection="1">
      <alignment vertical="top"/>
    </xf>
    <xf numFmtId="3" fontId="8" fillId="2" borderId="7" xfId="33" applyNumberFormat="1" applyFont="1" applyFill="1" applyBorder="1" applyAlignment="1" applyProtection="1">
      <alignment vertical="top"/>
      <protection locked="0"/>
    </xf>
    <xf numFmtId="3" fontId="8" fillId="2" borderId="0" xfId="33" applyNumberFormat="1" applyFont="1" applyFill="1" applyBorder="1" applyAlignment="1" applyProtection="1">
      <alignment vertical="top"/>
      <protection locked="0"/>
    </xf>
    <xf numFmtId="0" fontId="8" fillId="0" borderId="5" xfId="33" applyFont="1" applyBorder="1" applyAlignment="1" applyProtection="1">
      <alignment vertical="top"/>
    </xf>
    <xf numFmtId="173" fontId="8" fillId="0" borderId="4" xfId="33" applyNumberFormat="1" applyFont="1" applyBorder="1" applyAlignment="1" applyProtection="1">
      <alignment horizontal="center" vertical="top"/>
    </xf>
    <xf numFmtId="3" fontId="8" fillId="0" borderId="5" xfId="33" applyNumberFormat="1" applyFont="1" applyBorder="1" applyAlignment="1" applyProtection="1">
      <alignment vertical="top"/>
    </xf>
    <xf numFmtId="173" fontId="8" fillId="0" borderId="12" xfId="33" applyNumberFormat="1" applyFont="1" applyBorder="1" applyAlignment="1" applyProtection="1">
      <alignment horizontal="center" vertical="top"/>
    </xf>
    <xf numFmtId="3" fontId="8" fillId="0" borderId="6" xfId="33" applyNumberFormat="1" applyFont="1" applyBorder="1" applyAlignment="1" applyProtection="1">
      <alignment vertical="top"/>
    </xf>
    <xf numFmtId="173" fontId="8" fillId="0" borderId="1" xfId="33" applyNumberFormat="1" applyFont="1" applyBorder="1" applyAlignment="1" applyProtection="1">
      <alignment horizontal="center" vertical="top"/>
    </xf>
    <xf numFmtId="0" fontId="25" fillId="3" borderId="12" xfId="33" applyFont="1" applyFill="1" applyBorder="1" applyAlignment="1" applyProtection="1">
      <alignment vertical="top"/>
    </xf>
    <xf numFmtId="3" fontId="8" fillId="0" borderId="13" xfId="33" applyNumberFormat="1" applyFont="1" applyFill="1" applyBorder="1" applyAlignment="1" applyProtection="1">
      <alignment horizontal="right" vertical="top"/>
    </xf>
    <xf numFmtId="3" fontId="8" fillId="0" borderId="13" xfId="33" applyNumberFormat="1" applyFont="1" applyFill="1" applyBorder="1" applyAlignment="1" applyProtection="1"/>
    <xf numFmtId="0" fontId="36" fillId="0" borderId="0" xfId="33" applyFont="1" applyFill="1" applyBorder="1" applyAlignment="1" applyProtection="1">
      <alignment horizontal="left"/>
    </xf>
    <xf numFmtId="3" fontId="8" fillId="2" borderId="7" xfId="11" applyNumberFormat="1" applyFont="1" applyFill="1" applyBorder="1" applyAlignment="1" applyProtection="1">
      <protection locked="0"/>
    </xf>
    <xf numFmtId="3" fontId="8" fillId="2" borderId="0" xfId="11" applyNumberFormat="1" applyFont="1" applyFill="1" applyBorder="1" applyAlignment="1" applyProtection="1">
      <protection locked="0"/>
    </xf>
    <xf numFmtId="164" fontId="36" fillId="0" borderId="0" xfId="22" applyNumberFormat="1" applyFont="1" applyAlignment="1" applyProtection="1">
      <alignment horizontal="center"/>
    </xf>
    <xf numFmtId="0" fontId="36" fillId="0" borderId="0" xfId="33" applyFont="1" applyAlignment="1" applyProtection="1">
      <alignment horizontal="left"/>
    </xf>
    <xf numFmtId="0" fontId="18" fillId="0" borderId="0" xfId="33" applyFont="1" applyProtection="1">
      <protection locked="0"/>
    </xf>
    <xf numFmtId="0" fontId="8" fillId="0" borderId="13" xfId="20" applyFont="1" applyBorder="1" applyAlignment="1" applyProtection="1">
      <alignment horizontal="center"/>
    </xf>
    <xf numFmtId="3" fontId="16" fillId="0" borderId="4" xfId="28" applyNumberFormat="1" applyFont="1" applyFill="1" applyBorder="1" applyAlignment="1" applyProtection="1"/>
    <xf numFmtId="3" fontId="8" fillId="0" borderId="10" xfId="28" applyNumberFormat="1" applyFont="1" applyFill="1" applyBorder="1" applyAlignment="1" applyProtection="1"/>
    <xf numFmtId="173" fontId="8" fillId="0" borderId="7" xfId="22" applyNumberFormat="1" applyFont="1" applyFill="1" applyBorder="1" applyAlignment="1" applyProtection="1">
      <alignment horizontal="center" vertical="top"/>
    </xf>
    <xf numFmtId="0" fontId="46" fillId="0" borderId="1" xfId="33" applyFont="1" applyBorder="1" applyAlignment="1" applyProtection="1">
      <alignment horizontal="center"/>
    </xf>
    <xf numFmtId="0" fontId="16" fillId="0" borderId="13" xfId="46" applyFont="1" applyFill="1" applyBorder="1" applyProtection="1"/>
    <xf numFmtId="0" fontId="16" fillId="0" borderId="13" xfId="46" applyFont="1" applyFill="1" applyBorder="1" applyAlignment="1" applyProtection="1">
      <alignment horizontal="center"/>
    </xf>
    <xf numFmtId="3" fontId="16" fillId="0" borderId="4" xfId="46" applyNumberFormat="1" applyFont="1" applyFill="1" applyBorder="1"/>
    <xf numFmtId="3" fontId="16" fillId="0" borderId="2" xfId="46" applyNumberFormat="1" applyFont="1" applyFill="1" applyBorder="1" applyProtection="1"/>
    <xf numFmtId="3" fontId="8" fillId="8" borderId="11" xfId="22" applyNumberFormat="1" applyFont="1" applyFill="1" applyBorder="1" applyAlignment="1" applyProtection="1">
      <alignment vertical="top"/>
    </xf>
    <xf numFmtId="3" fontId="8" fillId="8" borderId="3" xfId="22" applyNumberFormat="1" applyFont="1" applyFill="1" applyBorder="1" applyAlignment="1" applyProtection="1">
      <alignment vertical="top"/>
    </xf>
    <xf numFmtId="173" fontId="16" fillId="0" borderId="4" xfId="8" applyNumberFormat="1" applyFont="1" applyFill="1" applyBorder="1" applyAlignment="1" applyProtection="1">
      <alignment horizontal="center" vertical="top"/>
    </xf>
    <xf numFmtId="1" fontId="16" fillId="0" borderId="12" xfId="40" applyNumberFormat="1" applyFont="1" applyFill="1" applyBorder="1" applyAlignment="1" applyProtection="1">
      <alignment horizontal="left" vertical="top"/>
    </xf>
    <xf numFmtId="37" fontId="19" fillId="0" borderId="0" xfId="48" applyNumberFormat="1" applyFont="1" applyFill="1" applyBorder="1" applyAlignment="1" applyProtection="1"/>
    <xf numFmtId="173" fontId="8" fillId="0" borderId="5" xfId="22" applyNumberFormat="1" applyFont="1" applyBorder="1" applyAlignment="1" applyProtection="1">
      <alignment horizontal="left"/>
    </xf>
    <xf numFmtId="173" fontId="8" fillId="0" borderId="8" xfId="22" applyNumberFormat="1" applyFont="1" applyBorder="1" applyAlignment="1" applyProtection="1">
      <alignment horizontal="left"/>
    </xf>
    <xf numFmtId="3" fontId="8" fillId="2" borderId="7" xfId="10" applyNumberFormat="1" applyFont="1" applyFill="1" applyBorder="1" applyAlignment="1" applyProtection="1">
      <alignment vertical="top"/>
      <protection locked="0"/>
    </xf>
    <xf numFmtId="3" fontId="8" fillId="2" borderId="0" xfId="10" applyNumberFormat="1" applyFont="1" applyFill="1" applyBorder="1" applyAlignment="1" applyProtection="1">
      <alignment vertical="top"/>
      <protection locked="0"/>
    </xf>
    <xf numFmtId="173" fontId="8" fillId="0" borderId="10" xfId="22" applyNumberFormat="1" applyFont="1" applyBorder="1" applyAlignment="1" applyProtection="1">
      <alignment horizontal="left"/>
    </xf>
    <xf numFmtId="173" fontId="8" fillId="0" borderId="4" xfId="10" applyNumberFormat="1" applyFont="1" applyFill="1" applyBorder="1" applyAlignment="1" applyProtection="1">
      <alignment horizontal="center" vertical="top"/>
    </xf>
    <xf numFmtId="173" fontId="8" fillId="0" borderId="7" xfId="10" applyNumberFormat="1" applyFont="1" applyFill="1" applyBorder="1" applyAlignment="1" applyProtection="1">
      <alignment horizontal="center" vertical="top"/>
    </xf>
    <xf numFmtId="3" fontId="8" fillId="0" borderId="7" xfId="10" applyNumberFormat="1" applyFont="1" applyFill="1" applyBorder="1" applyAlignment="1" applyProtection="1">
      <alignment vertical="top"/>
    </xf>
    <xf numFmtId="173" fontId="8" fillId="0" borderId="5" xfId="22" applyNumberFormat="1" applyFont="1" applyBorder="1" applyAlignment="1" applyProtection="1">
      <alignment horizontal="left" vertical="top"/>
    </xf>
    <xf numFmtId="173" fontId="8" fillId="0" borderId="10" xfId="22" applyNumberFormat="1" applyFont="1" applyBorder="1" applyAlignment="1" applyProtection="1">
      <alignment horizontal="left" vertical="top"/>
    </xf>
    <xf numFmtId="3" fontId="8" fillId="0" borderId="4" xfId="10" applyNumberFormat="1" applyFont="1" applyFill="1" applyBorder="1" applyAlignment="1" applyProtection="1">
      <alignment vertical="top"/>
    </xf>
    <xf numFmtId="173" fontId="8" fillId="0" borderId="0" xfId="10" applyNumberFormat="1" applyFont="1" applyFill="1" applyBorder="1" applyAlignment="1" applyProtection="1">
      <alignment horizontal="left"/>
    </xf>
    <xf numFmtId="173" fontId="8" fillId="0" borderId="0" xfId="10" applyNumberFormat="1" applyFont="1" applyFill="1" applyBorder="1" applyAlignment="1" applyProtection="1">
      <alignment horizontal="center"/>
    </xf>
    <xf numFmtId="3" fontId="8" fillId="0" borderId="0" xfId="10" applyNumberFormat="1" applyFont="1" applyFill="1" applyBorder="1" applyAlignment="1" applyProtection="1"/>
    <xf numFmtId="3" fontId="8" fillId="2" borderId="3" xfId="10" applyNumberFormat="1" applyFont="1" applyFill="1" applyBorder="1" applyAlignment="1" applyProtection="1">
      <alignment vertical="top"/>
      <protection locked="0"/>
    </xf>
    <xf numFmtId="173" fontId="8" fillId="0" borderId="15" xfId="19" applyNumberFormat="1" applyFont="1" applyBorder="1" applyAlignment="1" applyProtection="1">
      <alignment horizontal="center"/>
    </xf>
    <xf numFmtId="173" fontId="8" fillId="0" borderId="0" xfId="19" applyNumberFormat="1" applyFont="1" applyBorder="1" applyAlignment="1" applyProtection="1">
      <alignment horizontal="center"/>
    </xf>
    <xf numFmtId="173" fontId="8" fillId="0" borderId="1" xfId="19" applyNumberFormat="1" applyFont="1" applyBorder="1" applyAlignment="1" applyProtection="1">
      <alignment horizontal="center"/>
    </xf>
    <xf numFmtId="0" fontId="18" fillId="0" borderId="0" xfId="48" applyFont="1"/>
    <xf numFmtId="0" fontId="8" fillId="0" borderId="4" xfId="40" applyFont="1" applyFill="1" applyBorder="1" applyProtection="1"/>
    <xf numFmtId="173" fontId="8" fillId="0" borderId="15" xfId="9" applyNumberFormat="1" applyFont="1" applyBorder="1" applyAlignment="1" applyProtection="1">
      <alignment horizontal="center"/>
    </xf>
    <xf numFmtId="173" fontId="8" fillId="0" borderId="1" xfId="9" applyNumberFormat="1" applyFont="1" applyBorder="1" applyAlignment="1" applyProtection="1">
      <alignment horizontal="center"/>
    </xf>
    <xf numFmtId="3" fontId="8" fillId="2" borderId="6" xfId="22" applyNumberFormat="1" applyFont="1" applyFill="1" applyBorder="1" applyAlignment="1" applyProtection="1">
      <alignment horizontal="right" vertical="top"/>
      <protection locked="0"/>
    </xf>
    <xf numFmtId="0" fontId="8" fillId="0" borderId="4" xfId="33" applyFont="1" applyFill="1" applyBorder="1" applyProtection="1"/>
    <xf numFmtId="173" fontId="8" fillId="0" borderId="8" xfId="33" applyNumberFormat="1" applyFont="1" applyFill="1" applyBorder="1" applyAlignment="1" applyProtection="1">
      <alignment horizontal="center"/>
    </xf>
    <xf numFmtId="0" fontId="8" fillId="0" borderId="8" xfId="33" applyFont="1" applyFill="1" applyBorder="1" applyProtection="1"/>
    <xf numFmtId="173" fontId="8" fillId="0" borderId="2" xfId="33" applyNumberFormat="1" applyFont="1" applyFill="1" applyBorder="1" applyAlignment="1" applyProtection="1">
      <alignment horizontal="center"/>
    </xf>
    <xf numFmtId="173" fontId="8" fillId="0" borderId="10" xfId="33" applyNumberFormat="1" applyFont="1" applyFill="1" applyBorder="1" applyAlignment="1" applyProtection="1">
      <alignment horizontal="center"/>
    </xf>
    <xf numFmtId="0" fontId="8" fillId="0" borderId="12" xfId="33" applyFont="1" applyFill="1" applyBorder="1" applyProtection="1"/>
    <xf numFmtId="173" fontId="16" fillId="0" borderId="2" xfId="33" applyNumberFormat="1" applyFont="1" applyFill="1" applyBorder="1" applyAlignment="1" applyProtection="1">
      <alignment horizontal="center"/>
    </xf>
    <xf numFmtId="0" fontId="16" fillId="0" borderId="4" xfId="0" applyFont="1" applyFill="1" applyBorder="1" applyProtection="1"/>
    <xf numFmtId="0" fontId="16" fillId="0" borderId="8" xfId="0" applyFont="1" applyFill="1" applyBorder="1" applyProtection="1"/>
    <xf numFmtId="0" fontId="16" fillId="0" borderId="12" xfId="0" applyFont="1" applyFill="1" applyBorder="1" applyProtection="1"/>
    <xf numFmtId="1" fontId="8" fillId="0" borderId="5" xfId="40" applyNumberFormat="1" applyFont="1" applyFill="1" applyBorder="1" applyAlignment="1" applyProtection="1">
      <alignment horizontal="center"/>
    </xf>
    <xf numFmtId="0" fontId="8" fillId="0" borderId="5" xfId="40" applyFont="1" applyFill="1" applyBorder="1" applyAlignment="1" applyProtection="1">
      <alignment horizontal="center"/>
    </xf>
    <xf numFmtId="0" fontId="8" fillId="0" borderId="8" xfId="40" applyFont="1" applyFill="1" applyBorder="1" applyProtection="1"/>
    <xf numFmtId="0" fontId="8" fillId="0" borderId="2" xfId="40" applyFont="1" applyFill="1" applyBorder="1" applyAlignment="1" applyProtection="1">
      <alignment horizontal="center"/>
    </xf>
    <xf numFmtId="1" fontId="16" fillId="0" borderId="10" xfId="40" applyNumberFormat="1" applyFont="1" applyFill="1" applyBorder="1" applyAlignment="1" applyProtection="1">
      <alignment horizontal="center" vertical="top"/>
    </xf>
    <xf numFmtId="173" fontId="8" fillId="0" borderId="4" xfId="9" applyNumberFormat="1" applyFont="1" applyFill="1" applyBorder="1" applyAlignment="1" applyProtection="1">
      <alignment horizontal="left"/>
    </xf>
    <xf numFmtId="173" fontId="8" fillId="0" borderId="5" xfId="9" applyNumberFormat="1" applyFont="1" applyFill="1" applyBorder="1" applyAlignment="1" applyProtection="1">
      <alignment horizontal="center"/>
    </xf>
    <xf numFmtId="173" fontId="8" fillId="0" borderId="12" xfId="9" applyNumberFormat="1" applyFont="1" applyFill="1" applyBorder="1" applyAlignment="1" applyProtection="1">
      <alignment horizontal="left"/>
    </xf>
    <xf numFmtId="173" fontId="8" fillId="0" borderId="10" xfId="9" applyNumberFormat="1" applyFont="1" applyFill="1" applyBorder="1" applyAlignment="1" applyProtection="1">
      <alignment horizontal="center"/>
    </xf>
    <xf numFmtId="0" fontId="8" fillId="0" borderId="4" xfId="22" applyFont="1" applyFill="1" applyBorder="1" applyAlignment="1" applyProtection="1">
      <alignment horizontal="left" vertical="top"/>
    </xf>
    <xf numFmtId="0" fontId="8" fillId="0" borderId="5" xfId="22" applyFont="1" applyFill="1" applyBorder="1" applyAlignment="1" applyProtection="1">
      <alignment horizontal="center" vertical="top"/>
    </xf>
    <xf numFmtId="0" fontId="8" fillId="0" borderId="13" xfId="22" applyFont="1" applyFill="1" applyBorder="1" applyAlignment="1" applyProtection="1">
      <alignment horizontal="left" vertical="top"/>
    </xf>
    <xf numFmtId="0" fontId="8" fillId="0" borderId="2" xfId="22" applyFont="1" applyFill="1" applyBorder="1" applyAlignment="1" applyProtection="1">
      <alignment horizontal="center" vertical="top"/>
    </xf>
    <xf numFmtId="0" fontId="8" fillId="0" borderId="4" xfId="22" applyFont="1" applyFill="1" applyBorder="1" applyAlignment="1" applyProtection="1">
      <alignment horizontal="left"/>
    </xf>
    <xf numFmtId="0" fontId="8" fillId="0" borderId="5" xfId="22" applyFont="1" applyFill="1" applyBorder="1" applyAlignment="1" applyProtection="1">
      <alignment horizontal="center"/>
    </xf>
    <xf numFmtId="173" fontId="8" fillId="0" borderId="12" xfId="10" applyNumberFormat="1" applyFont="1" applyFill="1" applyBorder="1" applyAlignment="1" applyProtection="1">
      <alignment horizontal="left"/>
    </xf>
    <xf numFmtId="173" fontId="8" fillId="0" borderId="5" xfId="10" applyNumberFormat="1" applyFont="1" applyFill="1" applyBorder="1" applyAlignment="1" applyProtection="1">
      <alignment horizontal="center"/>
    </xf>
    <xf numFmtId="173" fontId="8" fillId="0" borderId="10" xfId="10" applyNumberFormat="1" applyFont="1" applyFill="1" applyBorder="1" applyAlignment="1" applyProtection="1">
      <alignment horizontal="center"/>
    </xf>
    <xf numFmtId="0" fontId="8" fillId="0" borderId="13" xfId="11" applyFont="1" applyFill="1" applyBorder="1" applyProtection="1"/>
    <xf numFmtId="173" fontId="8" fillId="0" borderId="10" xfId="11" applyNumberFormat="1" applyFont="1" applyFill="1" applyBorder="1" applyAlignment="1" applyProtection="1">
      <alignment horizontal="center"/>
    </xf>
    <xf numFmtId="173" fontId="8" fillId="0" borderId="13" xfId="11" applyNumberFormat="1" applyFont="1" applyFill="1" applyBorder="1" applyAlignment="1" applyProtection="1">
      <alignment horizontal="center"/>
    </xf>
    <xf numFmtId="173" fontId="8" fillId="0" borderId="4" xfId="11" applyNumberFormat="1" applyFont="1" applyFill="1" applyBorder="1" applyAlignment="1" applyProtection="1">
      <alignment horizontal="left"/>
    </xf>
    <xf numFmtId="173" fontId="8" fillId="0" borderId="5" xfId="11" applyNumberFormat="1" applyFont="1" applyFill="1" applyBorder="1" applyAlignment="1" applyProtection="1">
      <alignment horizontal="center"/>
    </xf>
    <xf numFmtId="173" fontId="8" fillId="0" borderId="2" xfId="11" applyNumberFormat="1" applyFont="1" applyFill="1" applyBorder="1" applyAlignment="1" applyProtection="1">
      <alignment horizontal="center"/>
    </xf>
    <xf numFmtId="173" fontId="8" fillId="0" borderId="7" xfId="11" applyNumberFormat="1" applyFont="1" applyFill="1" applyBorder="1" applyAlignment="1" applyProtection="1">
      <alignment horizontal="left"/>
    </xf>
    <xf numFmtId="173" fontId="8" fillId="0" borderId="8" xfId="11" applyNumberFormat="1" applyFont="1" applyFill="1" applyBorder="1" applyAlignment="1" applyProtection="1">
      <alignment horizontal="center"/>
    </xf>
    <xf numFmtId="173" fontId="8" fillId="0" borderId="12" xfId="11" applyNumberFormat="1" applyFont="1" applyFill="1" applyBorder="1" applyAlignment="1" applyProtection="1">
      <alignment horizontal="left"/>
    </xf>
    <xf numFmtId="173" fontId="8" fillId="0" borderId="12" xfId="13" applyNumberFormat="1" applyFont="1" applyFill="1" applyBorder="1" applyAlignment="1" applyProtection="1">
      <alignment horizontal="left"/>
    </xf>
    <xf numFmtId="173" fontId="8" fillId="0" borderId="10" xfId="13" applyNumberFormat="1" applyFont="1" applyFill="1" applyBorder="1" applyAlignment="1" applyProtection="1">
      <alignment horizontal="center"/>
    </xf>
    <xf numFmtId="173" fontId="8" fillId="0" borderId="4" xfId="13" applyNumberFormat="1" applyFont="1" applyFill="1" applyBorder="1" applyAlignment="1" applyProtection="1">
      <alignment horizontal="left"/>
    </xf>
    <xf numFmtId="173" fontId="8" fillId="0" borderId="5" xfId="13" applyNumberFormat="1" applyFont="1" applyFill="1" applyBorder="1" applyAlignment="1" applyProtection="1">
      <alignment horizontal="center"/>
    </xf>
    <xf numFmtId="173" fontId="8" fillId="0" borderId="4" xfId="15" applyNumberFormat="1" applyFont="1" applyFill="1" applyBorder="1" applyAlignment="1" applyProtection="1">
      <alignment horizontal="left"/>
    </xf>
    <xf numFmtId="173" fontId="8" fillId="0" borderId="5" xfId="15" applyNumberFormat="1" applyFont="1" applyFill="1" applyBorder="1" applyAlignment="1" applyProtection="1">
      <alignment horizontal="center"/>
    </xf>
    <xf numFmtId="173" fontId="8" fillId="0" borderId="12" xfId="15" applyNumberFormat="1" applyFont="1" applyFill="1" applyBorder="1" applyAlignment="1" applyProtection="1">
      <alignment horizontal="left"/>
    </xf>
    <xf numFmtId="173" fontId="8" fillId="0" borderId="10" xfId="15" applyNumberFormat="1" applyFont="1" applyFill="1" applyBorder="1" applyAlignment="1" applyProtection="1">
      <alignment horizontal="center"/>
    </xf>
    <xf numFmtId="173" fontId="8" fillId="0" borderId="13" xfId="15" applyNumberFormat="1" applyFont="1" applyFill="1" applyBorder="1" applyAlignment="1" applyProtection="1">
      <alignment horizontal="left"/>
    </xf>
    <xf numFmtId="173" fontId="8" fillId="0" borderId="13" xfId="15" applyNumberFormat="1" applyFont="1" applyFill="1" applyBorder="1" applyAlignment="1" applyProtection="1">
      <alignment horizontal="center"/>
    </xf>
    <xf numFmtId="0" fontId="8" fillId="0" borderId="13" xfId="22" applyFont="1" applyFill="1" applyBorder="1" applyAlignment="1" applyProtection="1">
      <alignment horizontal="center" vertical="top"/>
    </xf>
    <xf numFmtId="0" fontId="8" fillId="0" borderId="13" xfId="22" applyFont="1" applyFill="1" applyBorder="1" applyAlignment="1" applyProtection="1">
      <alignment vertical="top"/>
    </xf>
    <xf numFmtId="173" fontId="8" fillId="0" borderId="10" xfId="22" applyNumberFormat="1" applyFont="1" applyFill="1" applyBorder="1" applyAlignment="1" applyProtection="1">
      <alignment horizontal="center" vertical="top"/>
    </xf>
    <xf numFmtId="0" fontId="8" fillId="0" borderId="4" xfId="23" applyFont="1" applyFill="1" applyBorder="1" applyAlignment="1" applyProtection="1">
      <alignment horizontal="left"/>
    </xf>
    <xf numFmtId="0" fontId="8" fillId="0" borderId="5" xfId="23" applyFont="1" applyFill="1" applyBorder="1" applyAlignment="1" applyProtection="1">
      <alignment horizontal="center"/>
    </xf>
    <xf numFmtId="0" fontId="8" fillId="0" borderId="12" xfId="23" applyFont="1" applyFill="1" applyBorder="1" applyAlignment="1" applyProtection="1">
      <alignment horizontal="left"/>
    </xf>
    <xf numFmtId="0" fontId="8" fillId="0" borderId="10" xfId="23" applyFont="1" applyFill="1" applyBorder="1" applyAlignment="1" applyProtection="1">
      <alignment horizontal="center"/>
    </xf>
    <xf numFmtId="0" fontId="8" fillId="0" borderId="13" xfId="23" applyFont="1" applyFill="1" applyBorder="1" applyAlignment="1" applyProtection="1">
      <alignment horizontal="left"/>
    </xf>
    <xf numFmtId="0" fontId="8" fillId="0" borderId="2" xfId="23" applyFont="1" applyFill="1" applyBorder="1" applyAlignment="1" applyProtection="1">
      <alignment horizontal="center"/>
    </xf>
    <xf numFmtId="173" fontId="8" fillId="0" borderId="12" xfId="28" applyNumberFormat="1" applyFont="1" applyFill="1" applyBorder="1" applyAlignment="1" applyProtection="1">
      <alignment horizontal="left"/>
    </xf>
    <xf numFmtId="173" fontId="16" fillId="0" borderId="10" xfId="28" applyNumberFormat="1" applyFont="1" applyFill="1" applyBorder="1" applyAlignment="1" applyProtection="1">
      <alignment horizontal="center"/>
    </xf>
    <xf numFmtId="1" fontId="16" fillId="0" borderId="13" xfId="30" applyNumberFormat="1" applyFont="1" applyFill="1" applyBorder="1" applyAlignment="1" applyProtection="1">
      <alignment horizontal="left"/>
    </xf>
    <xf numFmtId="173" fontId="16" fillId="0" borderId="2" xfId="30" applyNumberFormat="1" applyFont="1" applyFill="1" applyBorder="1" applyAlignment="1" applyProtection="1">
      <alignment horizontal="center"/>
    </xf>
    <xf numFmtId="0" fontId="8" fillId="0" borderId="4" xfId="30" applyFont="1" applyFill="1" applyBorder="1" applyAlignment="1" applyProtection="1">
      <alignment vertical="top"/>
    </xf>
    <xf numFmtId="173" fontId="8" fillId="0" borderId="8" xfId="30" applyNumberFormat="1" applyFont="1" applyFill="1" applyBorder="1" applyAlignment="1" applyProtection="1">
      <alignment horizontal="center" vertical="top"/>
    </xf>
    <xf numFmtId="0" fontId="8" fillId="0" borderId="2" xfId="30" applyFont="1" applyFill="1" applyBorder="1" applyAlignment="1" applyProtection="1">
      <alignment vertical="top"/>
    </xf>
    <xf numFmtId="173" fontId="8" fillId="0" borderId="13" xfId="30" applyNumberFormat="1" applyFont="1" applyFill="1" applyBorder="1" applyAlignment="1" applyProtection="1">
      <alignment horizontal="center" vertical="top"/>
    </xf>
    <xf numFmtId="173" fontId="8" fillId="0" borderId="10" xfId="30" applyNumberFormat="1" applyFont="1" applyFill="1" applyBorder="1" applyAlignment="1" applyProtection="1">
      <alignment horizontal="center" vertical="top"/>
    </xf>
    <xf numFmtId="173" fontId="8" fillId="0" borderId="5" xfId="30" applyNumberFormat="1" applyFont="1" applyFill="1" applyBorder="1" applyAlignment="1" applyProtection="1">
      <alignment horizontal="center"/>
    </xf>
    <xf numFmtId="173" fontId="8" fillId="0" borderId="7" xfId="31" applyNumberFormat="1" applyFont="1" applyFill="1" applyBorder="1" applyAlignment="1" applyProtection="1">
      <alignment horizontal="left"/>
    </xf>
    <xf numFmtId="173" fontId="16" fillId="0" borderId="7" xfId="31" applyNumberFormat="1" applyFont="1" applyFill="1" applyBorder="1" applyAlignment="1" applyProtection="1">
      <alignment horizontal="center"/>
    </xf>
    <xf numFmtId="0" fontId="8" fillId="0" borderId="4" xfId="39" applyFont="1" applyFill="1" applyBorder="1" applyAlignment="1" applyProtection="1">
      <alignment horizontal="left" vertical="top"/>
    </xf>
    <xf numFmtId="0" fontId="8" fillId="0" borderId="5" xfId="39" applyFont="1" applyFill="1" applyBorder="1" applyAlignment="1" applyProtection="1">
      <alignment horizontal="center" vertical="top"/>
    </xf>
    <xf numFmtId="0" fontId="8" fillId="0" borderId="12" xfId="39" applyFont="1" applyFill="1" applyBorder="1" applyAlignment="1" applyProtection="1">
      <alignment horizontal="left" vertical="top"/>
    </xf>
    <xf numFmtId="0" fontId="8" fillId="0" borderId="10" xfId="39" applyFont="1" applyFill="1" applyBorder="1" applyAlignment="1" applyProtection="1">
      <alignment horizontal="center" vertical="top"/>
    </xf>
    <xf numFmtId="0" fontId="8" fillId="0" borderId="13" xfId="39" applyFont="1" applyFill="1" applyBorder="1" applyAlignment="1" applyProtection="1">
      <alignment horizontal="left" vertical="top"/>
    </xf>
    <xf numFmtId="0" fontId="8" fillId="0" borderId="2" xfId="39" applyFont="1" applyFill="1" applyBorder="1" applyAlignment="1" applyProtection="1">
      <alignment horizontal="center" vertical="top"/>
    </xf>
    <xf numFmtId="0" fontId="8" fillId="0" borderId="13" xfId="39" applyFont="1" applyFill="1" applyBorder="1" applyAlignment="1" applyProtection="1">
      <alignment horizontal="left"/>
    </xf>
    <xf numFmtId="0" fontId="8" fillId="0" borderId="2" xfId="39" applyFont="1" applyFill="1" applyBorder="1" applyAlignment="1" applyProtection="1">
      <alignment horizontal="center"/>
    </xf>
    <xf numFmtId="0" fontId="18" fillId="0" borderId="0" xfId="40" applyFont="1" applyProtection="1">
      <protection locked="0"/>
    </xf>
    <xf numFmtId="173" fontId="8" fillId="3" borderId="10" xfId="20" applyNumberFormat="1" applyFont="1" applyFill="1" applyBorder="1" applyAlignment="1" applyProtection="1">
      <alignment horizontal="center"/>
    </xf>
    <xf numFmtId="0" fontId="25" fillId="0" borderId="0" xfId="0" applyFont="1" applyProtection="1"/>
    <xf numFmtId="0" fontId="0" fillId="0" borderId="0" xfId="0" applyAlignment="1" applyProtection="1">
      <alignment horizontal="center"/>
    </xf>
    <xf numFmtId="3" fontId="8" fillId="0" borderId="5" xfId="8" applyNumberFormat="1" applyFont="1" applyFill="1" applyBorder="1" applyAlignment="1" applyProtection="1">
      <alignment vertical="top"/>
    </xf>
    <xf numFmtId="169" fontId="8" fillId="0" borderId="6" xfId="8" applyNumberFormat="1" applyFont="1" applyFill="1" applyBorder="1" applyAlignment="1" applyProtection="1">
      <alignment vertical="top"/>
      <protection locked="0"/>
    </xf>
    <xf numFmtId="169" fontId="8" fillId="0" borderId="12" xfId="8" applyNumberFormat="1" applyFont="1" applyFill="1" applyBorder="1" applyAlignment="1" applyProtection="1">
      <alignment vertical="top"/>
    </xf>
    <xf numFmtId="3" fontId="12" fillId="0" borderId="7" xfId="27" applyNumberFormat="1" applyFont="1" applyBorder="1" applyAlignment="1" applyProtection="1"/>
    <xf numFmtId="0" fontId="8" fillId="0" borderId="5" xfId="27" applyFont="1" applyBorder="1" applyAlignment="1" applyProtection="1">
      <alignment horizontal="left"/>
    </xf>
    <xf numFmtId="0" fontId="8" fillId="0" borderId="10" xfId="27" applyFont="1" applyBorder="1" applyAlignment="1" applyProtection="1">
      <alignment horizontal="left"/>
    </xf>
    <xf numFmtId="0" fontId="8" fillId="0" borderId="7" xfId="20" applyFont="1" applyFill="1" applyBorder="1" applyAlignment="1" applyProtection="1">
      <alignment horizontal="left"/>
    </xf>
    <xf numFmtId="0" fontId="8" fillId="0" borderId="8" xfId="20" applyFont="1" applyFill="1" applyBorder="1" applyAlignment="1" applyProtection="1">
      <alignment horizontal="center"/>
    </xf>
    <xf numFmtId="0" fontId="8" fillId="0" borderId="4" xfId="20" applyFont="1" applyFill="1" applyBorder="1" applyAlignment="1" applyProtection="1">
      <alignment horizontal="left"/>
    </xf>
    <xf numFmtId="0" fontId="8" fillId="0" borderId="5" xfId="20" applyFont="1" applyFill="1" applyBorder="1" applyAlignment="1" applyProtection="1">
      <alignment horizontal="center"/>
    </xf>
    <xf numFmtId="0" fontId="8" fillId="0" borderId="13" xfId="20" applyFont="1" applyFill="1" applyBorder="1" applyAlignment="1" applyProtection="1">
      <alignment horizontal="left"/>
    </xf>
    <xf numFmtId="0" fontId="8" fillId="0" borderId="13" xfId="20" applyFont="1" applyFill="1" applyBorder="1" applyAlignment="1" applyProtection="1">
      <alignment horizontal="center"/>
    </xf>
    <xf numFmtId="0" fontId="8" fillId="0" borderId="4" xfId="17" applyFont="1" applyFill="1" applyBorder="1" applyAlignment="1" applyProtection="1">
      <alignment horizontal="left" vertical="top"/>
    </xf>
    <xf numFmtId="0" fontId="8" fillId="0" borderId="5" xfId="17" applyFont="1" applyFill="1" applyBorder="1" applyAlignment="1" applyProtection="1">
      <alignment horizontal="center" vertical="top"/>
    </xf>
    <xf numFmtId="0" fontId="8" fillId="0" borderId="4" xfId="18" applyFont="1" applyFill="1" applyBorder="1" applyAlignment="1" applyProtection="1">
      <alignment horizontal="left" vertical="top"/>
    </xf>
    <xf numFmtId="0" fontId="8" fillId="0" borderId="5" xfId="18" applyFont="1" applyFill="1" applyBorder="1" applyAlignment="1" applyProtection="1">
      <alignment horizontal="center" vertical="top"/>
    </xf>
    <xf numFmtId="0" fontId="8" fillId="0" borderId="7" xfId="19" applyFont="1" applyFill="1" applyBorder="1" applyAlignment="1" applyProtection="1">
      <alignment horizontal="left" vertical="top"/>
    </xf>
    <xf numFmtId="0" fontId="8" fillId="0" borderId="8" xfId="19" applyFont="1" applyFill="1" applyBorder="1" applyAlignment="1" applyProtection="1">
      <alignment horizontal="center" vertical="top"/>
    </xf>
    <xf numFmtId="0" fontId="8" fillId="0" borderId="13" xfId="19" applyFont="1" applyFill="1" applyBorder="1" applyAlignment="1" applyProtection="1">
      <alignment horizontal="left" vertical="top"/>
    </xf>
    <xf numFmtId="0" fontId="8" fillId="0" borderId="2" xfId="19" applyFont="1" applyFill="1" applyBorder="1" applyAlignment="1" applyProtection="1">
      <alignment horizontal="center" vertical="top"/>
    </xf>
    <xf numFmtId="0" fontId="8" fillId="0" borderId="12" xfId="19" applyFont="1" applyFill="1" applyBorder="1" applyAlignment="1" applyProtection="1">
      <alignment horizontal="left" vertical="top"/>
    </xf>
    <xf numFmtId="0" fontId="8" fillId="0" borderId="10" xfId="19" applyFont="1" applyFill="1" applyBorder="1" applyAlignment="1" applyProtection="1">
      <alignment horizontal="center" vertical="top"/>
    </xf>
    <xf numFmtId="173" fontId="8" fillId="0" borderId="4" xfId="10" applyNumberFormat="1" applyFont="1" applyFill="1" applyBorder="1" applyAlignment="1" applyProtection="1">
      <alignment horizontal="left"/>
    </xf>
    <xf numFmtId="173" fontId="8" fillId="0" borderId="12" xfId="10" applyNumberFormat="1" applyFont="1" applyFill="1" applyBorder="1" applyAlignment="1" applyProtection="1">
      <alignment horizontal="center" vertical="top"/>
    </xf>
    <xf numFmtId="173" fontId="8" fillId="0" borderId="5" xfId="10" applyNumberFormat="1" applyFont="1" applyFill="1" applyBorder="1" applyAlignment="1" applyProtection="1">
      <alignment horizontal="center" vertical="top"/>
    </xf>
    <xf numFmtId="173" fontId="8" fillId="0" borderId="8" xfId="10" applyNumberFormat="1" applyFont="1" applyFill="1" applyBorder="1" applyAlignment="1" applyProtection="1">
      <alignment horizontal="center" vertical="top"/>
    </xf>
    <xf numFmtId="173" fontId="8" fillId="0" borderId="2" xfId="10" applyNumberFormat="1" applyFont="1" applyFill="1" applyBorder="1" applyAlignment="1" applyProtection="1">
      <alignment horizontal="center" vertical="top"/>
    </xf>
    <xf numFmtId="173" fontId="8" fillId="0" borderId="0" xfId="33" applyNumberFormat="1" applyFont="1" applyBorder="1" applyAlignment="1" applyProtection="1">
      <alignment horizontal="center" vertical="top"/>
    </xf>
    <xf numFmtId="3" fontId="8" fillId="2" borderId="5" xfId="33" applyNumberFormat="1" applyFont="1" applyFill="1" applyBorder="1" applyAlignment="1" applyProtection="1">
      <alignment vertical="top"/>
      <protection locked="0"/>
    </xf>
    <xf numFmtId="0" fontId="47" fillId="0" borderId="0" xfId="0" applyFont="1" applyAlignment="1"/>
    <xf numFmtId="0" fontId="0" fillId="9" borderId="0" xfId="0" applyFill="1"/>
    <xf numFmtId="0" fontId="35" fillId="9" borderId="0" xfId="1" applyFill="1" applyAlignment="1" applyProtection="1"/>
    <xf numFmtId="0" fontId="35" fillId="0" borderId="0" xfId="1" applyAlignment="1" applyProtection="1"/>
    <xf numFmtId="0" fontId="35" fillId="0" borderId="0" xfId="1" applyFill="1" applyAlignment="1" applyProtection="1"/>
    <xf numFmtId="0" fontId="35" fillId="0" borderId="0" xfId="1" applyFill="1" applyAlignment="1" applyProtection="1">
      <protection locked="0"/>
    </xf>
    <xf numFmtId="3" fontId="48" fillId="0" borderId="0" xfId="8" applyNumberFormat="1" applyFont="1" applyFill="1" applyBorder="1" applyAlignment="1" applyProtection="1">
      <alignment vertical="top"/>
      <protection locked="0"/>
    </xf>
    <xf numFmtId="0" fontId="0" fillId="0" borderId="0" xfId="0" applyFill="1"/>
    <xf numFmtId="0" fontId="8" fillId="3" borderId="0" xfId="48" applyFont="1" applyFill="1"/>
    <xf numFmtId="0" fontId="8" fillId="0" borderId="0" xfId="40" applyFont="1" applyAlignment="1" applyProtection="1">
      <alignment horizontal="left"/>
    </xf>
    <xf numFmtId="0" fontId="45" fillId="0" borderId="0" xfId="17" applyFont="1" applyBorder="1" applyAlignment="1" applyProtection="1">
      <alignment horizontal="center" vertical="top"/>
    </xf>
    <xf numFmtId="0" fontId="8" fillId="0" borderId="0" xfId="27" applyFont="1" applyAlignment="1" applyProtection="1">
      <alignment horizontal="left"/>
    </xf>
    <xf numFmtId="0" fontId="16" fillId="0" borderId="0" xfId="46" applyFont="1" applyFill="1" applyAlignment="1" applyProtection="1">
      <alignment horizontal="right" vertical="top"/>
    </xf>
    <xf numFmtId="0" fontId="25" fillId="0" borderId="0" xfId="8" applyFont="1" applyFill="1" applyProtection="1"/>
    <xf numFmtId="0" fontId="16" fillId="0" borderId="0" xfId="46" applyFont="1" applyFill="1" applyBorder="1" applyAlignment="1" applyProtection="1">
      <alignment horizontal="centerContinuous"/>
    </xf>
    <xf numFmtId="0" fontId="16" fillId="0" borderId="0" xfId="8" applyFont="1" applyFill="1" applyAlignment="1" applyProtection="1">
      <alignment horizontal="centerContinuous"/>
    </xf>
    <xf numFmtId="0" fontId="8" fillId="6" borderId="0" xfId="44" applyFont="1" applyFill="1" applyProtection="1"/>
    <xf numFmtId="0" fontId="20" fillId="6" borderId="0" xfId="44" applyFont="1" applyFill="1" applyProtection="1"/>
    <xf numFmtId="0" fontId="49" fillId="6" borderId="0" xfId="44" applyFont="1" applyFill="1" applyProtection="1"/>
    <xf numFmtId="168" fontId="49" fillId="6" borderId="0" xfId="44" applyNumberFormat="1" applyFont="1" applyFill="1" applyProtection="1"/>
    <xf numFmtId="3" fontId="8" fillId="0" borderId="13" xfId="22" applyNumberFormat="1" applyFont="1" applyFill="1" applyBorder="1" applyAlignment="1" applyProtection="1">
      <alignment horizontal="right" vertical="top"/>
    </xf>
    <xf numFmtId="3" fontId="8" fillId="0" borderId="8" xfId="22" applyNumberFormat="1" applyFont="1" applyFill="1" applyBorder="1" applyAlignment="1" applyProtection="1">
      <alignment vertical="top"/>
    </xf>
    <xf numFmtId="3" fontId="8" fillId="0" borderId="7" xfId="22" applyNumberFormat="1" applyFont="1" applyFill="1" applyBorder="1" applyAlignment="1" applyProtection="1">
      <alignment vertical="top"/>
    </xf>
    <xf numFmtId="3" fontId="8" fillId="2" borderId="8" xfId="22" applyNumberFormat="1" applyFont="1" applyFill="1" applyBorder="1" applyAlignment="1" applyProtection="1">
      <alignment horizontal="right" vertical="top"/>
      <protection locked="0"/>
    </xf>
    <xf numFmtId="3" fontId="8" fillId="0" borderId="7" xfId="11" applyNumberFormat="1" applyFont="1" applyFill="1" applyBorder="1" applyAlignment="1" applyProtection="1">
      <alignment horizontal="right"/>
    </xf>
    <xf numFmtId="172" fontId="8" fillId="0" borderId="7" xfId="27" applyNumberFormat="1" applyFont="1" applyBorder="1" applyAlignment="1" applyProtection="1">
      <alignment horizontal="center"/>
    </xf>
    <xf numFmtId="173" fontId="8" fillId="0" borderId="10" xfId="27" applyNumberFormat="1" applyFont="1" applyBorder="1" applyAlignment="1" applyProtection="1">
      <alignment horizontal="center"/>
    </xf>
    <xf numFmtId="173" fontId="8" fillId="0" borderId="8" xfId="27" applyNumberFormat="1" applyFont="1" applyBorder="1" applyAlignment="1" applyProtection="1">
      <alignment horizontal="center"/>
    </xf>
    <xf numFmtId="173" fontId="8" fillId="0" borderId="5" xfId="27" applyNumberFormat="1" applyFont="1" applyBorder="1" applyAlignment="1" applyProtection="1">
      <alignment horizontal="center"/>
    </xf>
    <xf numFmtId="173" fontId="8" fillId="0" borderId="2" xfId="27" applyNumberFormat="1" applyFont="1" applyBorder="1" applyAlignment="1" applyProtection="1">
      <alignment horizontal="center"/>
    </xf>
    <xf numFmtId="3" fontId="8" fillId="2" borderId="11" xfId="27" applyNumberFormat="1" applyFont="1" applyFill="1" applyBorder="1" applyAlignment="1" applyProtection="1">
      <protection locked="0"/>
    </xf>
    <xf numFmtId="3" fontId="8" fillId="0" borderId="11" xfId="27" applyNumberFormat="1" applyFont="1" applyFill="1" applyBorder="1" applyAlignment="1" applyProtection="1"/>
    <xf numFmtId="3" fontId="8" fillId="0" borderId="8" xfId="15" applyNumberFormat="1" applyFont="1" applyBorder="1" applyAlignment="1" applyProtection="1"/>
    <xf numFmtId="3" fontId="8" fillId="2" borderId="10" xfId="15" applyNumberFormat="1" applyFont="1" applyFill="1" applyBorder="1" applyAlignment="1" applyProtection="1">
      <protection locked="0"/>
    </xf>
    <xf numFmtId="3" fontId="8" fillId="0" borderId="9" xfId="15" applyNumberFormat="1" applyFont="1" applyBorder="1" applyAlignment="1" applyProtection="1"/>
    <xf numFmtId="3" fontId="8" fillId="2" borderId="11" xfId="15" applyNumberFormat="1" applyFont="1" applyFill="1" applyBorder="1" applyAlignment="1" applyProtection="1">
      <protection locked="0"/>
    </xf>
    <xf numFmtId="173" fontId="8" fillId="0" borderId="13" xfId="15" applyNumberFormat="1" applyFont="1" applyBorder="1" applyAlignment="1" applyProtection="1">
      <alignment horizontal="center"/>
    </xf>
    <xf numFmtId="0" fontId="8" fillId="0" borderId="12" xfId="20" applyFont="1" applyBorder="1" applyAlignment="1" applyProtection="1">
      <alignment horizontal="left"/>
    </xf>
    <xf numFmtId="0" fontId="8" fillId="0" borderId="10" xfId="20" applyFont="1" applyBorder="1" applyAlignment="1" applyProtection="1">
      <alignment horizontal="center"/>
    </xf>
    <xf numFmtId="3" fontId="8" fillId="0" borderId="7" xfId="22" applyNumberFormat="1" applyFont="1" applyFill="1" applyBorder="1" applyAlignment="1" applyProtection="1">
      <alignment horizontal="right" vertical="top"/>
    </xf>
    <xf numFmtId="3" fontId="16" fillId="2" borderId="13" xfId="28" applyNumberFormat="1" applyFont="1" applyFill="1" applyBorder="1" applyAlignment="1" applyProtection="1">
      <protection locked="0"/>
    </xf>
    <xf numFmtId="3" fontId="8" fillId="0" borderId="6" xfId="23" applyNumberFormat="1" applyFont="1" applyBorder="1" applyAlignment="1" applyProtection="1"/>
    <xf numFmtId="3" fontId="8" fillId="0" borderId="8" xfId="19" applyNumberFormat="1" applyFont="1" applyBorder="1" applyAlignment="1" applyProtection="1">
      <alignment vertical="top"/>
    </xf>
    <xf numFmtId="3" fontId="8" fillId="2" borderId="10" xfId="19" applyNumberFormat="1" applyFont="1" applyFill="1" applyBorder="1" applyAlignment="1" applyProtection="1">
      <alignment vertical="top"/>
      <protection locked="0"/>
    </xf>
    <xf numFmtId="3" fontId="8" fillId="0" borderId="9" xfId="19" applyNumberFormat="1" applyFont="1" applyBorder="1" applyAlignment="1" applyProtection="1">
      <alignment vertical="top"/>
    </xf>
    <xf numFmtId="3" fontId="8" fillId="2" borderId="11" xfId="19" applyNumberFormat="1" applyFont="1" applyFill="1" applyBorder="1" applyAlignment="1" applyProtection="1">
      <alignment vertical="top"/>
      <protection locked="0"/>
    </xf>
    <xf numFmtId="0" fontId="8" fillId="0" borderId="0" xfId="33" applyFont="1" applyFill="1" applyProtection="1"/>
    <xf numFmtId="0" fontId="18" fillId="0" borderId="0" xfId="40" applyFont="1" applyFill="1" applyAlignment="1" applyProtection="1">
      <alignment vertical="top"/>
      <protection locked="0"/>
    </xf>
    <xf numFmtId="0" fontId="8" fillId="0" borderId="0" xfId="27" applyFont="1" applyFill="1" applyProtection="1"/>
    <xf numFmtId="0" fontId="18" fillId="0" borderId="0" xfId="11" applyFont="1" applyProtection="1"/>
    <xf numFmtId="3" fontId="8" fillId="2" borderId="10" xfId="22" applyNumberFormat="1" applyFont="1" applyFill="1" applyBorder="1" applyAlignment="1" applyProtection="1">
      <protection locked="0"/>
    </xf>
    <xf numFmtId="178" fontId="0" fillId="0" borderId="0" xfId="0" applyNumberFormat="1"/>
    <xf numFmtId="168" fontId="8" fillId="0" borderId="0" xfId="48" applyNumberFormat="1" applyFont="1" applyProtection="1"/>
    <xf numFmtId="0" fontId="24" fillId="0" borderId="0" xfId="48" applyFont="1" applyProtection="1"/>
    <xf numFmtId="167" fontId="8" fillId="0" borderId="0" xfId="48" applyNumberFormat="1" applyFont="1" applyFill="1" applyBorder="1" applyProtection="1"/>
    <xf numFmtId="173" fontId="16" fillId="0" borderId="4" xfId="8" applyNumberFormat="1" applyFont="1" applyFill="1" applyBorder="1" applyAlignment="1" applyProtection="1">
      <alignment horizontal="left" vertical="top"/>
    </xf>
    <xf numFmtId="0" fontId="0" fillId="0" borderId="0" xfId="0" applyFill="1" applyProtection="1"/>
    <xf numFmtId="3" fontId="8" fillId="0" borderId="0" xfId="22" applyNumberFormat="1" applyFont="1" applyFill="1" applyBorder="1" applyAlignment="1" applyProtection="1">
      <alignment vertical="top"/>
    </xf>
    <xf numFmtId="3" fontId="8" fillId="2" borderId="8" xfId="22" applyNumberFormat="1" applyFont="1" applyFill="1" applyBorder="1" applyAlignment="1" applyProtection="1">
      <alignment vertical="top"/>
      <protection locked="0"/>
    </xf>
    <xf numFmtId="3" fontId="8" fillId="0" borderId="4" xfId="22" applyNumberFormat="1" applyFont="1" applyFill="1" applyBorder="1" applyAlignment="1" applyProtection="1">
      <alignment vertical="top"/>
    </xf>
    <xf numFmtId="3" fontId="8" fillId="0" borderId="4" xfId="11" applyNumberFormat="1" applyFont="1" applyFill="1" applyBorder="1" applyAlignment="1" applyProtection="1"/>
    <xf numFmtId="3" fontId="8" fillId="0" borderId="5" xfId="11" applyNumberFormat="1" applyFont="1" applyFill="1" applyBorder="1" applyAlignment="1" applyProtection="1"/>
    <xf numFmtId="3" fontId="8" fillId="2" borderId="10" xfId="11" applyNumberFormat="1" applyFont="1" applyFill="1" applyBorder="1" applyAlignment="1" applyProtection="1">
      <protection locked="0"/>
    </xf>
    <xf numFmtId="3" fontId="16" fillId="0" borderId="13" xfId="46" applyNumberFormat="1" applyFont="1" applyFill="1" applyBorder="1" applyProtection="1"/>
    <xf numFmtId="169" fontId="16" fillId="0" borderId="12" xfId="46" applyNumberFormat="1" applyFont="1" applyFill="1" applyBorder="1" applyProtection="1"/>
    <xf numFmtId="0" fontId="18" fillId="0" borderId="0" xfId="27" applyFont="1"/>
    <xf numFmtId="173" fontId="8" fillId="0" borderId="7" xfId="27" applyNumberFormat="1" applyFont="1" applyFill="1" applyBorder="1" applyAlignment="1" applyProtection="1">
      <alignment horizontal="center"/>
    </xf>
    <xf numFmtId="17" fontId="8" fillId="0" borderId="13" xfId="8" quotePrefix="1" applyNumberFormat="1" applyFont="1" applyFill="1" applyBorder="1" applyProtection="1"/>
    <xf numFmtId="169" fontId="8" fillId="0" borderId="4" xfId="8" applyNumberFormat="1" applyFont="1" applyFill="1" applyBorder="1" applyProtection="1">
      <protection locked="0"/>
    </xf>
    <xf numFmtId="0" fontId="25" fillId="0" borderId="7" xfId="8" applyFont="1" applyFill="1" applyBorder="1" applyProtection="1"/>
    <xf numFmtId="0" fontId="8" fillId="0" borderId="7" xfId="8" applyFont="1" applyFill="1" applyBorder="1" applyProtection="1"/>
    <xf numFmtId="169" fontId="8" fillId="0" borderId="7" xfId="8" applyNumberFormat="1" applyFont="1" applyFill="1" applyBorder="1" applyProtection="1">
      <protection locked="0"/>
    </xf>
    <xf numFmtId="0" fontId="25" fillId="0" borderId="4" xfId="8" applyFont="1" applyFill="1" applyBorder="1" applyProtection="1"/>
    <xf numFmtId="49" fontId="8" fillId="0" borderId="0" xfId="48" applyNumberFormat="1" applyFont="1" applyProtection="1"/>
    <xf numFmtId="3" fontId="8" fillId="2" borderId="8" xfId="22" applyNumberFormat="1" applyFont="1" applyFill="1" applyBorder="1" applyAlignment="1" applyProtection="1">
      <protection locked="0"/>
    </xf>
    <xf numFmtId="3" fontId="8" fillId="0" borderId="10" xfId="22" applyNumberFormat="1" applyFont="1" applyFill="1" applyBorder="1" applyAlignment="1" applyProtection="1">
      <alignment vertical="top"/>
    </xf>
    <xf numFmtId="169" fontId="16" fillId="0" borderId="11" xfId="46" applyNumberFormat="1" applyFont="1" applyFill="1" applyBorder="1" applyProtection="1"/>
    <xf numFmtId="3" fontId="16" fillId="0" borderId="12" xfId="46" applyNumberFormat="1" applyFont="1" applyFill="1" applyBorder="1" applyProtection="1"/>
    <xf numFmtId="0" fontId="18" fillId="0" borderId="0" xfId="34" applyFont="1" applyProtection="1">
      <protection locked="0"/>
    </xf>
    <xf numFmtId="0" fontId="8" fillId="0" borderId="0" xfId="19" applyFont="1" applyFill="1" applyBorder="1" applyAlignment="1" applyProtection="1">
      <alignment horizontal="left" vertical="top"/>
    </xf>
    <xf numFmtId="0" fontId="8" fillId="0" borderId="0" xfId="19" applyFont="1" applyFill="1" applyBorder="1" applyAlignment="1" applyProtection="1">
      <alignment horizontal="center" vertical="top"/>
    </xf>
    <xf numFmtId="3" fontId="8" fillId="2" borderId="2" xfId="22" applyNumberFormat="1" applyFont="1" applyFill="1" applyBorder="1" applyAlignment="1" applyProtection="1">
      <protection locked="0"/>
    </xf>
    <xf numFmtId="0" fontId="8" fillId="0" borderId="0" xfId="22" applyFont="1" applyBorder="1" applyAlignment="1" applyProtection="1">
      <alignment horizontal="left" vertical="top"/>
    </xf>
    <xf numFmtId="0" fontId="8" fillId="0" borderId="0" xfId="22" applyFont="1" applyBorder="1" applyAlignment="1" applyProtection="1">
      <alignment horizontal="center" vertical="top"/>
    </xf>
    <xf numFmtId="3" fontId="8" fillId="0" borderId="0" xfId="15" applyNumberFormat="1" applyFont="1" applyFill="1" applyBorder="1" applyAlignment="1" applyProtection="1"/>
    <xf numFmtId="3" fontId="8" fillId="2" borderId="2" xfId="19" applyNumberFormat="1" applyFont="1" applyFill="1" applyBorder="1" applyAlignment="1" applyProtection="1">
      <alignment vertical="top"/>
      <protection locked="0"/>
    </xf>
    <xf numFmtId="0" fontId="18" fillId="0" borderId="0" xfId="9" applyFont="1" applyProtection="1">
      <protection locked="0"/>
    </xf>
    <xf numFmtId="3" fontId="19" fillId="0" borderId="0" xfId="0" applyNumberFormat="1" applyFont="1" applyAlignment="1" applyProtection="1">
      <alignment vertical="top"/>
    </xf>
    <xf numFmtId="0" fontId="19" fillId="0" borderId="0" xfId="0" applyFont="1" applyAlignment="1" applyProtection="1">
      <alignment vertical="top"/>
    </xf>
    <xf numFmtId="0" fontId="19" fillId="0" borderId="0" xfId="10" applyFont="1" applyProtection="1"/>
    <xf numFmtId="0" fontId="19" fillId="0" borderId="0" xfId="13" applyFont="1" applyProtection="1"/>
    <xf numFmtId="0" fontId="19" fillId="0" borderId="0" xfId="15" applyFont="1" applyProtection="1"/>
    <xf numFmtId="0" fontId="19" fillId="0" borderId="0" xfId="16" applyFont="1" applyProtection="1"/>
    <xf numFmtId="0" fontId="18" fillId="0" borderId="0" xfId="17" applyFont="1" applyProtection="1"/>
    <xf numFmtId="0" fontId="19" fillId="0" borderId="0" xfId="18" applyFont="1" applyProtection="1"/>
    <xf numFmtId="0" fontId="19" fillId="0" borderId="0" xfId="19" applyFont="1" applyProtection="1"/>
    <xf numFmtId="0" fontId="18" fillId="0" borderId="0" xfId="20" applyFont="1" applyBorder="1" applyProtection="1"/>
    <xf numFmtId="0" fontId="19" fillId="0" borderId="0" xfId="23" applyFont="1" applyProtection="1"/>
    <xf numFmtId="0" fontId="18" fillId="0" borderId="0" xfId="33" applyFont="1" applyAlignment="1" applyProtection="1">
      <alignment vertical="top"/>
    </xf>
    <xf numFmtId="0" fontId="19" fillId="0" borderId="0" xfId="39" applyFont="1" applyProtection="1"/>
    <xf numFmtId="0" fontId="18" fillId="0" borderId="0" xfId="12" applyFont="1" applyProtection="1"/>
    <xf numFmtId="0" fontId="11" fillId="0" borderId="1" xfId="48" applyFont="1" applyFill="1" applyBorder="1" applyAlignment="1" applyProtection="1">
      <alignment horizontal="left"/>
      <protection locked="0"/>
    </xf>
    <xf numFmtId="0" fontId="18" fillId="0" borderId="0" xfId="48" applyFont="1" applyFill="1"/>
    <xf numFmtId="3" fontId="8" fillId="0" borderId="9" xfId="33" applyNumberFormat="1" applyFont="1" applyBorder="1" applyAlignment="1" applyProtection="1">
      <alignment vertical="top"/>
    </xf>
    <xf numFmtId="3" fontId="8" fillId="0" borderId="1" xfId="11" applyNumberFormat="1" applyFont="1" applyFill="1" applyBorder="1" applyAlignment="1" applyProtection="1">
      <alignment horizontal="right"/>
    </xf>
    <xf numFmtId="3" fontId="8" fillId="0" borderId="1" xfId="22" applyNumberFormat="1" applyFont="1" applyFill="1" applyBorder="1" applyAlignment="1" applyProtection="1">
      <alignment horizontal="right" vertical="top"/>
    </xf>
    <xf numFmtId="0" fontId="12" fillId="3" borderId="12" xfId="26" applyFont="1" applyFill="1" applyBorder="1" applyAlignment="1" applyProtection="1">
      <alignment horizontal="left"/>
    </xf>
    <xf numFmtId="0" fontId="12" fillId="3" borderId="12" xfId="27" applyFont="1" applyFill="1" applyBorder="1" applyAlignment="1" applyProtection="1">
      <alignment horizontal="left"/>
    </xf>
    <xf numFmtId="0" fontId="12" fillId="3" borderId="12" xfId="36" applyFont="1" applyFill="1" applyBorder="1" applyAlignment="1" applyProtection="1">
      <alignment horizontal="left"/>
    </xf>
    <xf numFmtId="0" fontId="12" fillId="3" borderId="12" xfId="37" applyFont="1" applyFill="1" applyBorder="1" applyAlignment="1" applyProtection="1">
      <alignment horizontal="left"/>
    </xf>
    <xf numFmtId="2" fontId="53" fillId="0" borderId="0" xfId="48" applyNumberFormat="1" applyFont="1" applyBorder="1" applyProtection="1"/>
    <xf numFmtId="3" fontId="8" fillId="0" borderId="0" xfId="27" applyNumberFormat="1" applyFont="1" applyBorder="1" applyAlignment="1" applyProtection="1"/>
    <xf numFmtId="3" fontId="8" fillId="0" borderId="9" xfId="27" applyNumberFormat="1" applyFont="1" applyFill="1" applyBorder="1" applyAlignment="1" applyProtection="1"/>
    <xf numFmtId="169" fontId="16" fillId="0" borderId="6" xfId="46" applyNumberFormat="1" applyFont="1" applyFill="1" applyBorder="1" applyAlignment="1" applyProtection="1">
      <alignment vertical="top"/>
    </xf>
    <xf numFmtId="169" fontId="16" fillId="0" borderId="9" xfId="46" applyNumberFormat="1" applyFont="1" applyFill="1" applyBorder="1" applyAlignment="1" applyProtection="1">
      <alignment vertical="top"/>
    </xf>
    <xf numFmtId="0" fontId="16" fillId="0" borderId="9" xfId="46" applyFont="1" applyFill="1" applyBorder="1" applyProtection="1"/>
    <xf numFmtId="169" fontId="16" fillId="0" borderId="11" xfId="46" applyNumberFormat="1" applyFont="1" applyFill="1" applyBorder="1" applyAlignment="1" applyProtection="1">
      <alignment vertical="top"/>
    </xf>
    <xf numFmtId="3" fontId="19" fillId="0" borderId="5" xfId="46" applyNumberFormat="1" applyFont="1" applyFill="1" applyBorder="1" applyAlignment="1" applyProtection="1">
      <alignment vertical="top"/>
    </xf>
    <xf numFmtId="3" fontId="19" fillId="0" borderId="4" xfId="46" applyNumberFormat="1" applyFont="1" applyFill="1" applyBorder="1"/>
    <xf numFmtId="3" fontId="16" fillId="0" borderId="7" xfId="46" applyNumberFormat="1" applyFont="1" applyFill="1" applyBorder="1"/>
    <xf numFmtId="0" fontId="16" fillId="0" borderId="7" xfId="46" applyFont="1" applyFill="1" applyBorder="1" applyProtection="1"/>
    <xf numFmtId="3" fontId="16" fillId="0" borderId="12" xfId="46" applyNumberFormat="1" applyFont="1" applyFill="1" applyBorder="1"/>
    <xf numFmtId="0" fontId="8" fillId="0" borderId="0" xfId="16" applyFont="1" applyFill="1" applyProtection="1"/>
    <xf numFmtId="0" fontId="20" fillId="0" borderId="0" xfId="42" applyFont="1" applyBorder="1" applyProtection="1">
      <protection locked="0"/>
    </xf>
    <xf numFmtId="3" fontId="20" fillId="0" borderId="0" xfId="42" applyNumberFormat="1" applyFont="1" applyBorder="1" applyProtection="1">
      <protection locked="0"/>
    </xf>
    <xf numFmtId="2" fontId="20" fillId="0" borderId="0" xfId="42" applyNumberFormat="1" applyFont="1" applyBorder="1" applyProtection="1">
      <protection locked="0"/>
    </xf>
    <xf numFmtId="0" fontId="20" fillId="0" borderId="0" xfId="42" applyFont="1" applyBorder="1" applyAlignment="1" applyProtection="1">
      <alignment horizontal="center"/>
      <protection locked="0"/>
    </xf>
    <xf numFmtId="0" fontId="8" fillId="0" borderId="0" xfId="42" applyFont="1" applyBorder="1" applyProtection="1">
      <protection locked="0"/>
    </xf>
    <xf numFmtId="0" fontId="8" fillId="0" borderId="0" xfId="42" applyFont="1" applyBorder="1" applyProtection="1"/>
    <xf numFmtId="0" fontId="20" fillId="0" borderId="0" xfId="42" applyFont="1" applyBorder="1" applyProtection="1"/>
    <xf numFmtId="3" fontId="8" fillId="0" borderId="0" xfId="30" applyNumberFormat="1" applyFont="1" applyAlignment="1" applyProtection="1"/>
    <xf numFmtId="173" fontId="8" fillId="0" borderId="5" xfId="12" applyNumberFormat="1" applyFont="1" applyFill="1" applyBorder="1" applyAlignment="1" applyProtection="1">
      <alignment horizontal="center"/>
    </xf>
    <xf numFmtId="173" fontId="8" fillId="0" borderId="5" xfId="12" applyNumberFormat="1" applyFont="1" applyBorder="1" applyAlignment="1" applyProtection="1">
      <alignment horizontal="center"/>
    </xf>
    <xf numFmtId="173" fontId="8" fillId="0" borderId="8" xfId="12" applyNumberFormat="1" applyFont="1" applyBorder="1" applyAlignment="1" applyProtection="1">
      <alignment horizontal="center"/>
    </xf>
    <xf numFmtId="3" fontId="8" fillId="0" borderId="6" xfId="12" applyNumberFormat="1" applyFont="1" applyBorder="1" applyAlignment="1" applyProtection="1"/>
    <xf numFmtId="1" fontId="8" fillId="0" borderId="0" xfId="48" applyNumberFormat="1" applyFont="1" applyFill="1" applyBorder="1" applyAlignment="1" applyProtection="1">
      <alignment horizontal="right"/>
    </xf>
    <xf numFmtId="0" fontId="8" fillId="0" borderId="0" xfId="40" applyFont="1" applyFill="1" applyBorder="1" applyProtection="1">
      <protection locked="0"/>
    </xf>
    <xf numFmtId="0" fontId="41" fillId="0" borderId="0" xfId="48" applyFont="1"/>
    <xf numFmtId="3" fontId="46" fillId="0" borderId="0" xfId="9" applyNumberFormat="1" applyFont="1" applyProtection="1"/>
    <xf numFmtId="169" fontId="51" fillId="10" borderId="0" xfId="9" applyNumberFormat="1" applyFont="1" applyFill="1" applyProtection="1"/>
    <xf numFmtId="0" fontId="41" fillId="0" borderId="0" xfId="9" applyFont="1" applyProtection="1"/>
    <xf numFmtId="0" fontId="46" fillId="0" borderId="0" xfId="40" applyFont="1" applyFill="1" applyBorder="1" applyProtection="1"/>
    <xf numFmtId="169" fontId="46" fillId="10" borderId="0" xfId="40" applyNumberFormat="1" applyFont="1" applyFill="1" applyBorder="1" applyProtection="1"/>
    <xf numFmtId="0" fontId="41" fillId="0" borderId="0" xfId="40" applyFont="1" applyFill="1" applyBorder="1" applyProtection="1"/>
    <xf numFmtId="0" fontId="46" fillId="0" borderId="0" xfId="12" applyFont="1" applyProtection="1"/>
    <xf numFmtId="169" fontId="51" fillId="10" borderId="0" xfId="12" applyNumberFormat="1" applyFont="1" applyFill="1" applyProtection="1"/>
    <xf numFmtId="0" fontId="41" fillId="0" borderId="0" xfId="12" applyFont="1" applyProtection="1"/>
    <xf numFmtId="0" fontId="46" fillId="0" borderId="0" xfId="25" applyFont="1" applyProtection="1"/>
    <xf numFmtId="0" fontId="41" fillId="0" borderId="0" xfId="25" applyFont="1" applyProtection="1"/>
    <xf numFmtId="0" fontId="46" fillId="0" borderId="0" xfId="26" applyFont="1" applyProtection="1"/>
    <xf numFmtId="0" fontId="41" fillId="0" borderId="0" xfId="26" applyFont="1" applyProtection="1"/>
    <xf numFmtId="0" fontId="46" fillId="0" borderId="0" xfId="27" applyFont="1" applyProtection="1"/>
    <xf numFmtId="169" fontId="46" fillId="10" borderId="0" xfId="27" applyNumberFormat="1" applyFont="1" applyFill="1" applyProtection="1"/>
    <xf numFmtId="0" fontId="41" fillId="0" borderId="0" xfId="27" applyFont="1" applyProtection="1"/>
    <xf numFmtId="0" fontId="46" fillId="0" borderId="0" xfId="0" applyFont="1" applyProtection="1">
      <protection locked="0"/>
    </xf>
    <xf numFmtId="0" fontId="41" fillId="0" borderId="0" xfId="0" applyFont="1" applyProtection="1">
      <protection locked="0"/>
    </xf>
    <xf numFmtId="0" fontId="0" fillId="0" borderId="0" xfId="0" applyProtection="1">
      <protection locked="0"/>
    </xf>
    <xf numFmtId="169" fontId="51" fillId="10" borderId="0" xfId="0" applyNumberFormat="1" applyFont="1" applyFill="1" applyProtection="1">
      <protection locked="0"/>
    </xf>
    <xf numFmtId="0" fontId="46" fillId="0" borderId="0" xfId="0" applyFont="1" applyProtection="1"/>
    <xf numFmtId="169" fontId="46" fillId="10" borderId="0" xfId="0" applyNumberFormat="1" applyFont="1" applyFill="1" applyProtection="1"/>
    <xf numFmtId="0" fontId="41" fillId="0" borderId="0" xfId="0" applyFont="1" applyProtection="1"/>
    <xf numFmtId="0" fontId="46" fillId="0" borderId="0" xfId="34" applyFont="1" applyProtection="1"/>
    <xf numFmtId="0" fontId="41" fillId="0" borderId="0" xfId="34" applyFont="1" applyProtection="1"/>
    <xf numFmtId="169" fontId="51" fillId="10" borderId="0" xfId="34" applyNumberFormat="1" applyFont="1" applyFill="1" applyProtection="1"/>
    <xf numFmtId="0" fontId="46" fillId="0" borderId="0" xfId="35" applyFont="1" applyFill="1" applyProtection="1"/>
    <xf numFmtId="169" fontId="46" fillId="10" borderId="0" xfId="35" applyNumberFormat="1" applyFont="1" applyFill="1" applyProtection="1"/>
    <xf numFmtId="0" fontId="41" fillId="0" borderId="0" xfId="35" applyFont="1" applyProtection="1"/>
    <xf numFmtId="0" fontId="46" fillId="0" borderId="0" xfId="36" applyFont="1" applyProtection="1"/>
    <xf numFmtId="0" fontId="41" fillId="0" borderId="0" xfId="36" applyFont="1" applyProtection="1"/>
    <xf numFmtId="0" fontId="46" fillId="0" borderId="0" xfId="37" applyFont="1" applyProtection="1"/>
    <xf numFmtId="0" fontId="41" fillId="0" borderId="0" xfId="37" applyFont="1" applyProtection="1"/>
    <xf numFmtId="169" fontId="46" fillId="10" borderId="0" xfId="37" applyNumberFormat="1" applyFont="1" applyFill="1" applyProtection="1"/>
    <xf numFmtId="169" fontId="46" fillId="10" borderId="0" xfId="36" applyNumberFormat="1" applyFont="1" applyFill="1" applyProtection="1"/>
    <xf numFmtId="0" fontId="46" fillId="0" borderId="0" xfId="38" applyFont="1" applyProtection="1"/>
    <xf numFmtId="169" fontId="46" fillId="10" borderId="0" xfId="38" applyNumberFormat="1" applyFont="1" applyFill="1" applyProtection="1"/>
    <xf numFmtId="0" fontId="41" fillId="0" borderId="0" xfId="38" applyFont="1" applyProtection="1"/>
    <xf numFmtId="0" fontId="46" fillId="0" borderId="0" xfId="41" applyFont="1" applyProtection="1">
      <protection locked="0"/>
    </xf>
    <xf numFmtId="0" fontId="41" fillId="0" borderId="0" xfId="41" applyFont="1" applyProtection="1">
      <protection locked="0"/>
    </xf>
    <xf numFmtId="169" fontId="46" fillId="10" borderId="0" xfId="41" applyNumberFormat="1" applyFont="1" applyFill="1" applyProtection="1">
      <protection locked="0"/>
    </xf>
    <xf numFmtId="0" fontId="46" fillId="0" borderId="0" xfId="42" applyFont="1" applyProtection="1"/>
    <xf numFmtId="169" fontId="46" fillId="10" borderId="0" xfId="42" applyNumberFormat="1" applyFont="1" applyFill="1" applyProtection="1"/>
    <xf numFmtId="0" fontId="41" fillId="0" borderId="0" xfId="42" applyFont="1" applyProtection="1"/>
    <xf numFmtId="0" fontId="46" fillId="0" borderId="0" xfId="43" applyFont="1" applyProtection="1"/>
    <xf numFmtId="169" fontId="46" fillId="10" borderId="0" xfId="43" applyNumberFormat="1" applyFont="1" applyFill="1" applyProtection="1"/>
    <xf numFmtId="0" fontId="41" fillId="0" borderId="0" xfId="43" applyFont="1" applyProtection="1"/>
    <xf numFmtId="0" fontId="8" fillId="0" borderId="0" xfId="44" applyFont="1" applyFill="1" applyProtection="1"/>
    <xf numFmtId="0" fontId="20" fillId="0" borderId="0" xfId="44" applyFont="1" applyFill="1" applyProtection="1"/>
    <xf numFmtId="0" fontId="46" fillId="0" borderId="0" xfId="44" applyFont="1" applyFill="1" applyProtection="1"/>
    <xf numFmtId="168" fontId="41" fillId="0" borderId="0" xfId="44" applyNumberFormat="1" applyFont="1" applyFill="1" applyProtection="1"/>
    <xf numFmtId="169" fontId="46" fillId="10" borderId="0" xfId="44" applyNumberFormat="1" applyFont="1" applyFill="1" applyProtection="1"/>
    <xf numFmtId="0" fontId="46" fillId="0" borderId="0" xfId="45" applyFont="1" applyProtection="1"/>
    <xf numFmtId="0" fontId="41" fillId="0" borderId="0" xfId="45" applyFont="1" applyProtection="1"/>
    <xf numFmtId="169" fontId="46" fillId="10" borderId="0" xfId="45" applyNumberFormat="1" applyFont="1" applyFill="1" applyProtection="1"/>
    <xf numFmtId="169" fontId="51" fillId="10" borderId="0" xfId="25" applyNumberFormat="1" applyFont="1" applyFill="1" applyProtection="1"/>
    <xf numFmtId="169" fontId="51" fillId="10" borderId="0" xfId="26" applyNumberFormat="1" applyFont="1" applyFill="1" applyProtection="1"/>
    <xf numFmtId="0" fontId="8" fillId="0" borderId="0" xfId="48" applyFont="1" applyFill="1" applyProtection="1"/>
    <xf numFmtId="3" fontId="8" fillId="0" borderId="0" xfId="10" applyNumberFormat="1" applyFont="1" applyFill="1" applyBorder="1" applyAlignment="1" applyProtection="1">
      <alignment vertical="top"/>
    </xf>
    <xf numFmtId="3" fontId="8" fillId="0" borderId="0" xfId="19" applyNumberFormat="1" applyFont="1" applyFill="1" applyBorder="1" applyAlignment="1" applyProtection="1">
      <alignment vertical="top"/>
    </xf>
    <xf numFmtId="166" fontId="16" fillId="0" borderId="0" xfId="0" applyNumberFormat="1" applyFont="1" applyFill="1" applyBorder="1"/>
    <xf numFmtId="0" fontId="50" fillId="0" borderId="0" xfId="48" applyFont="1" applyAlignment="1" applyProtection="1"/>
    <xf numFmtId="0" fontId="39" fillId="0" borderId="0" xfId="48" applyFont="1" applyAlignment="1" applyProtection="1"/>
    <xf numFmtId="0" fontId="16" fillId="0" borderId="0" xfId="48" applyFont="1" applyAlignment="1" applyProtection="1"/>
    <xf numFmtId="0" fontId="54" fillId="0" borderId="0" xfId="0" applyFont="1"/>
    <xf numFmtId="0" fontId="55" fillId="0" borderId="0" xfId="0" applyFont="1" applyProtection="1"/>
    <xf numFmtId="0" fontId="51" fillId="0" borderId="0" xfId="0" applyFont="1" applyProtection="1"/>
    <xf numFmtId="3" fontId="0" fillId="0" borderId="0" xfId="0" applyNumberFormat="1" applyProtection="1"/>
    <xf numFmtId="3" fontId="16" fillId="2" borderId="12" xfId="38" applyNumberFormat="1" applyFont="1" applyFill="1" applyBorder="1" applyAlignment="1" applyProtection="1">
      <protection locked="0"/>
    </xf>
    <xf numFmtId="0" fontId="51" fillId="0" borderId="0" xfId="0" applyFont="1" applyFill="1" applyProtection="1"/>
    <xf numFmtId="3" fontId="51" fillId="0" borderId="0" xfId="0" applyNumberFormat="1" applyFont="1" applyFill="1" applyProtection="1"/>
    <xf numFmtId="0" fontId="56" fillId="0" borderId="0" xfId="0" applyFont="1" applyProtection="1"/>
    <xf numFmtId="3" fontId="51" fillId="0" borderId="0" xfId="0" applyNumberFormat="1" applyFont="1" applyProtection="1"/>
    <xf numFmtId="3" fontId="51" fillId="0" borderId="1" xfId="0" applyNumberFormat="1" applyFont="1" applyBorder="1" applyProtection="1"/>
    <xf numFmtId="3" fontId="8" fillId="0" borderId="4" xfId="23" applyNumberFormat="1" applyFont="1" applyFill="1" applyBorder="1" applyAlignment="1" applyProtection="1"/>
    <xf numFmtId="3" fontId="8" fillId="0" borderId="7" xfId="23" applyNumberFormat="1" applyFont="1" applyFill="1" applyBorder="1" applyAlignment="1" applyProtection="1"/>
    <xf numFmtId="3" fontId="8" fillId="0" borderId="4" xfId="23" applyNumberFormat="1" applyFont="1" applyFill="1" applyBorder="1" applyAlignment="1" applyProtection="1">
      <alignment vertical="top"/>
    </xf>
    <xf numFmtId="3" fontId="8" fillId="0" borderId="7" xfId="23" applyNumberFormat="1" applyFont="1" applyFill="1" applyBorder="1" applyAlignment="1" applyProtection="1">
      <alignment vertical="top"/>
    </xf>
    <xf numFmtId="172" fontId="8" fillId="0" borderId="7" xfId="23" applyNumberFormat="1" applyFont="1" applyBorder="1" applyAlignment="1" applyProtection="1">
      <alignment horizontal="center"/>
    </xf>
    <xf numFmtId="3" fontId="8" fillId="0" borderId="5" xfId="23" applyNumberFormat="1" applyFont="1" applyBorder="1" applyAlignment="1" applyProtection="1"/>
    <xf numFmtId="3" fontId="8" fillId="0" borderId="8" xfId="23" applyNumberFormat="1" applyFont="1" applyBorder="1" applyAlignment="1" applyProtection="1"/>
    <xf numFmtId="3" fontId="8" fillId="0" borderId="8" xfId="23" applyNumberFormat="1" applyFont="1" applyFill="1" applyBorder="1" applyAlignment="1" applyProtection="1"/>
    <xf numFmtId="3" fontId="8" fillId="0" borderId="8" xfId="23" applyNumberFormat="1" applyFont="1" applyFill="1" applyBorder="1" applyAlignment="1" applyProtection="1">
      <alignment vertical="top"/>
    </xf>
    <xf numFmtId="3" fontId="8" fillId="2" borderId="3" xfId="23" applyNumberFormat="1" applyFont="1" applyFill="1" applyBorder="1" applyAlignment="1" applyProtection="1">
      <protection locked="0"/>
    </xf>
    <xf numFmtId="3" fontId="8" fillId="2" borderId="6" xfId="23" applyNumberFormat="1" applyFont="1" applyFill="1" applyBorder="1" applyAlignment="1" applyProtection="1">
      <protection locked="0"/>
    </xf>
    <xf numFmtId="3" fontId="8" fillId="0" borderId="6" xfId="23" applyNumberFormat="1" applyFont="1" applyBorder="1" applyAlignment="1" applyProtection="1">
      <alignment vertical="top"/>
    </xf>
    <xf numFmtId="3" fontId="8" fillId="2" borderId="11" xfId="23" applyNumberFormat="1" applyFont="1" applyFill="1" applyBorder="1" applyAlignment="1" applyProtection="1">
      <alignment vertical="top"/>
      <protection locked="0"/>
    </xf>
    <xf numFmtId="3" fontId="8" fillId="2" borderId="3" xfId="23" applyNumberFormat="1" applyFont="1" applyFill="1" applyBorder="1" applyAlignment="1" applyProtection="1">
      <alignment vertical="top"/>
      <protection locked="0"/>
    </xf>
    <xf numFmtId="3" fontId="8" fillId="0" borderId="5" xfId="23" applyNumberFormat="1" applyFont="1" applyFill="1" applyBorder="1" applyAlignment="1" applyProtection="1">
      <alignment vertical="top"/>
    </xf>
    <xf numFmtId="3" fontId="8" fillId="0" borderId="9" xfId="23" applyNumberFormat="1" applyFont="1" applyBorder="1" applyAlignment="1" applyProtection="1">
      <alignment vertical="top"/>
    </xf>
    <xf numFmtId="3" fontId="8" fillId="2" borderId="6" xfId="23" applyNumberFormat="1" applyFont="1" applyFill="1" applyBorder="1" applyAlignment="1" applyProtection="1">
      <alignment vertical="top"/>
      <protection locked="0"/>
    </xf>
    <xf numFmtId="3" fontId="8" fillId="0" borderId="10" xfId="23" applyNumberFormat="1" applyFont="1" applyFill="1" applyBorder="1" applyAlignment="1" applyProtection="1"/>
    <xf numFmtId="3" fontId="8" fillId="2" borderId="4" xfId="27" applyNumberFormat="1" applyFont="1" applyFill="1" applyBorder="1" applyAlignment="1" applyProtection="1">
      <protection locked="0"/>
    </xf>
    <xf numFmtId="3" fontId="16" fillId="0" borderId="0" xfId="48" applyNumberFormat="1" applyFont="1" applyFill="1" applyBorder="1" applyAlignment="1" applyProtection="1">
      <alignment horizontal="right"/>
    </xf>
    <xf numFmtId="0" fontId="51" fillId="0" borderId="0" xfId="48" applyFont="1" applyProtection="1"/>
    <xf numFmtId="3" fontId="8" fillId="2" borderId="3" xfId="40" applyNumberFormat="1" applyFont="1" applyFill="1" applyBorder="1" applyAlignment="1" applyProtection="1">
      <alignment vertical="top"/>
      <protection locked="0"/>
    </xf>
    <xf numFmtId="3" fontId="8" fillId="0" borderId="0" xfId="23" applyNumberFormat="1" applyFont="1" applyFill="1" applyBorder="1" applyAlignment="1" applyProtection="1"/>
    <xf numFmtId="0" fontId="33" fillId="0" borderId="0" xfId="23" applyFont="1" applyProtection="1"/>
    <xf numFmtId="0" fontId="58" fillId="0" borderId="0" xfId="0" applyFont="1" applyFill="1" applyAlignment="1" applyProtection="1">
      <alignment horizontal="right"/>
      <protection locked="0"/>
    </xf>
    <xf numFmtId="3" fontId="58" fillId="0" borderId="0" xfId="0" applyNumberFormat="1" applyFont="1" applyBorder="1"/>
    <xf numFmtId="3" fontId="58" fillId="0" borderId="0" xfId="0" applyNumberFormat="1" applyFont="1" applyFill="1" applyBorder="1" applyProtection="1">
      <protection locked="0"/>
    </xf>
    <xf numFmtId="0" fontId="19" fillId="0" borderId="0" xfId="48" applyFont="1" applyFill="1" applyBorder="1"/>
    <xf numFmtId="0" fontId="16" fillId="0" borderId="0" xfId="48" applyFont="1" applyFill="1" applyProtection="1">
      <protection locked="0"/>
    </xf>
    <xf numFmtId="0" fontId="16" fillId="0" borderId="0" xfId="48" applyFont="1" applyFill="1"/>
    <xf numFmtId="166" fontId="58" fillId="0" borderId="0" xfId="0" applyNumberFormat="1" applyFont="1" applyFill="1" applyProtection="1">
      <protection locked="0"/>
    </xf>
    <xf numFmtId="167" fontId="0" fillId="0" borderId="0" xfId="0" applyNumberFormat="1" applyFill="1" applyBorder="1"/>
    <xf numFmtId="166" fontId="16" fillId="0" borderId="0" xfId="0" applyNumberFormat="1" applyFont="1" applyFill="1" applyBorder="1" applyProtection="1"/>
    <xf numFmtId="3" fontId="58" fillId="0" borderId="0" xfId="0" applyNumberFormat="1" applyFont="1"/>
    <xf numFmtId="3" fontId="8" fillId="2" borderId="10" xfId="30" applyNumberFormat="1" applyFont="1" applyFill="1" applyBorder="1" applyAlignment="1" applyProtection="1">
      <protection locked="0"/>
    </xf>
    <xf numFmtId="49" fontId="8" fillId="0" borderId="0" xfId="14" applyNumberFormat="1" applyFont="1" applyBorder="1" applyProtection="1"/>
    <xf numFmtId="173" fontId="20" fillId="0" borderId="0" xfId="14" applyNumberFormat="1" applyFont="1" applyAlignment="1" applyProtection="1">
      <alignment horizontal="center"/>
    </xf>
    <xf numFmtId="0" fontId="20" fillId="0" borderId="0" xfId="14" applyNumberFormat="1" applyFont="1" applyAlignment="1" applyProtection="1">
      <alignment horizontal="center"/>
    </xf>
    <xf numFmtId="3" fontId="8" fillId="2" borderId="12" xfId="11" applyNumberFormat="1" applyFont="1" applyFill="1" applyBorder="1" applyAlignment="1" applyProtection="1">
      <alignment horizontal="right"/>
      <protection locked="0"/>
    </xf>
    <xf numFmtId="0" fontId="51" fillId="0" borderId="0" xfId="27" applyFont="1"/>
    <xf numFmtId="0" fontId="51" fillId="0" borderId="0" xfId="0" applyFont="1"/>
    <xf numFmtId="0" fontId="65" fillId="0" borderId="0" xfId="48" applyFont="1"/>
    <xf numFmtId="3" fontId="8" fillId="0" borderId="13" xfId="40" applyNumberFormat="1" applyFont="1" applyFill="1" applyBorder="1" applyAlignment="1" applyProtection="1">
      <alignment vertical="top"/>
    </xf>
    <xf numFmtId="3" fontId="8" fillId="2" borderId="8" xfId="23" applyNumberFormat="1" applyFont="1" applyFill="1" applyBorder="1" applyAlignment="1" applyProtection="1">
      <protection locked="0"/>
    </xf>
    <xf numFmtId="3" fontId="8" fillId="2" borderId="13" xfId="23" applyNumberFormat="1" applyFont="1" applyFill="1" applyBorder="1" applyAlignment="1" applyProtection="1">
      <protection locked="0"/>
    </xf>
    <xf numFmtId="173" fontId="8" fillId="0" borderId="5" xfId="23" applyNumberFormat="1" applyFont="1" applyBorder="1" applyAlignment="1" applyProtection="1">
      <alignment horizontal="left"/>
    </xf>
    <xf numFmtId="173" fontId="8" fillId="0" borderId="10" xfId="23" applyNumberFormat="1" applyFont="1" applyBorder="1" applyAlignment="1" applyProtection="1">
      <alignment horizontal="left"/>
    </xf>
    <xf numFmtId="3" fontId="8" fillId="2" borderId="7" xfId="23" applyNumberFormat="1" applyFont="1" applyFill="1" applyBorder="1" applyAlignment="1" applyProtection="1">
      <protection locked="0"/>
    </xf>
    <xf numFmtId="3" fontId="8" fillId="2" borderId="7" xfId="23" applyNumberFormat="1" applyFont="1" applyFill="1" applyBorder="1" applyAlignment="1" applyProtection="1">
      <alignment vertical="top"/>
      <protection locked="0"/>
    </xf>
    <xf numFmtId="3" fontId="8" fillId="2" borderId="12" xfId="23" applyNumberFormat="1" applyFont="1" applyFill="1" applyBorder="1" applyAlignment="1" applyProtection="1">
      <alignment vertical="top"/>
      <protection locked="0"/>
    </xf>
    <xf numFmtId="3" fontId="8" fillId="2" borderId="13" xfId="23" applyNumberFormat="1" applyFont="1" applyFill="1" applyBorder="1" applyAlignment="1" applyProtection="1">
      <alignment vertical="top"/>
      <protection locked="0"/>
    </xf>
    <xf numFmtId="3" fontId="16" fillId="11" borderId="7" xfId="27" applyNumberFormat="1" applyFont="1" applyFill="1" applyBorder="1" applyAlignment="1" applyProtection="1"/>
    <xf numFmtId="49" fontId="66" fillId="0" borderId="0" xfId="48" applyNumberFormat="1" applyFont="1" applyFill="1"/>
    <xf numFmtId="169" fontId="16" fillId="0" borderId="10" xfId="46" applyNumberFormat="1" applyFont="1" applyFill="1" applyBorder="1" applyAlignment="1" applyProtection="1">
      <alignment vertical="top"/>
    </xf>
    <xf numFmtId="3" fontId="8" fillId="0" borderId="15" xfId="48" applyNumberFormat="1" applyFont="1" applyFill="1" applyBorder="1" applyProtection="1"/>
    <xf numFmtId="0" fontId="32" fillId="0" borderId="0" xfId="48" applyFont="1" applyAlignment="1" applyProtection="1"/>
    <xf numFmtId="0" fontId="8" fillId="0" borderId="16" xfId="27" applyFont="1" applyBorder="1"/>
    <xf numFmtId="0" fontId="8" fillId="0" borderId="0" xfId="27" applyFont="1" applyBorder="1"/>
    <xf numFmtId="0" fontId="8" fillId="0" borderId="17" xfId="27" applyFont="1" applyBorder="1"/>
    <xf numFmtId="0" fontId="8" fillId="0" borderId="18" xfId="27" applyFont="1" applyFill="1" applyBorder="1"/>
    <xf numFmtId="0" fontId="8" fillId="0" borderId="19" xfId="27" applyFont="1" applyBorder="1"/>
    <xf numFmtId="0" fontId="8" fillId="0" borderId="20" xfId="27" applyFont="1" applyBorder="1"/>
    <xf numFmtId="3" fontId="8" fillId="0" borderId="21" xfId="27" applyNumberFormat="1" applyFont="1" applyBorder="1"/>
    <xf numFmtId="0" fontId="8" fillId="0" borderId="22" xfId="27" applyFont="1" applyBorder="1"/>
    <xf numFmtId="0" fontId="8" fillId="0" borderId="21" xfId="27" applyFont="1" applyBorder="1"/>
    <xf numFmtId="0" fontId="8" fillId="0" borderId="24" xfId="27" applyFont="1" applyBorder="1"/>
    <xf numFmtId="0" fontId="8" fillId="0" borderId="25" xfId="27" applyFont="1" applyBorder="1"/>
    <xf numFmtId="0" fontId="8" fillId="0" borderId="26" xfId="27" applyFont="1" applyBorder="1"/>
    <xf numFmtId="0" fontId="65" fillId="0" borderId="0" xfId="48" applyFont="1" applyFill="1"/>
    <xf numFmtId="0" fontId="67" fillId="0" borderId="0" xfId="48" applyFont="1"/>
    <xf numFmtId="0" fontId="8" fillId="0" borderId="5" xfId="34" applyFont="1" applyBorder="1" applyAlignment="1" applyProtection="1">
      <alignment horizontal="left"/>
    </xf>
    <xf numFmtId="0" fontId="8" fillId="0" borderId="10" xfId="34" applyFont="1" applyBorder="1" applyAlignment="1" applyProtection="1">
      <alignment horizontal="left"/>
    </xf>
    <xf numFmtId="3" fontId="8" fillId="0" borderId="9" xfId="34" applyNumberFormat="1" applyFont="1" applyBorder="1" applyAlignment="1" applyProtection="1"/>
    <xf numFmtId="3" fontId="8" fillId="0" borderId="8" xfId="35" applyNumberFormat="1" applyFont="1" applyBorder="1" applyAlignment="1" applyProtection="1"/>
    <xf numFmtId="0" fontId="8" fillId="0" borderId="5" xfId="35" applyFont="1" applyBorder="1" applyAlignment="1" applyProtection="1">
      <alignment horizontal="left"/>
    </xf>
    <xf numFmtId="0" fontId="8" fillId="0" borderId="10" xfId="35" applyFont="1" applyBorder="1" applyAlignment="1" applyProtection="1">
      <alignment horizontal="left"/>
    </xf>
    <xf numFmtId="3" fontId="8" fillId="0" borderId="9" xfId="35" applyNumberFormat="1" applyFont="1" applyBorder="1" applyAlignment="1" applyProtection="1"/>
    <xf numFmtId="3" fontId="8" fillId="0" borderId="12" xfId="33" applyNumberFormat="1" applyFont="1" applyFill="1" applyBorder="1" applyAlignment="1" applyProtection="1">
      <alignment horizontal="right" vertical="top"/>
    </xf>
    <xf numFmtId="0" fontId="16" fillId="0" borderId="0" xfId="33" applyFont="1" applyAlignment="1" applyProtection="1">
      <alignment vertical="top"/>
      <protection locked="0"/>
    </xf>
    <xf numFmtId="173" fontId="16" fillId="0" borderId="0" xfId="39" applyNumberFormat="1" applyFont="1" applyBorder="1" applyAlignment="1" applyProtection="1">
      <alignment horizontal="left" vertical="top"/>
    </xf>
    <xf numFmtId="14" fontId="16" fillId="0" borderId="0" xfId="48" applyNumberFormat="1" applyFont="1" applyFill="1"/>
    <xf numFmtId="0" fontId="65" fillId="0" borderId="0" xfId="48" applyFont="1" applyBorder="1"/>
    <xf numFmtId="167" fontId="68" fillId="0" borderId="0" xfId="0" applyNumberFormat="1" applyFont="1" applyFill="1"/>
    <xf numFmtId="166" fontId="68" fillId="0" borderId="0" xfId="0" applyNumberFormat="1" applyFont="1" applyFill="1"/>
    <xf numFmtId="3" fontId="68" fillId="0" borderId="0" xfId="0" applyNumberFormat="1" applyFont="1" applyFill="1"/>
    <xf numFmtId="0" fontId="68" fillId="0" borderId="0" xfId="0" applyFont="1" applyFill="1"/>
    <xf numFmtId="0" fontId="16" fillId="0" borderId="12" xfId="34" applyFont="1" applyBorder="1" applyAlignment="1" applyProtection="1">
      <alignment horizontal="center"/>
    </xf>
    <xf numFmtId="0" fontId="16" fillId="0" borderId="12" xfId="35" applyFont="1" applyBorder="1" applyAlignment="1" applyProtection="1">
      <alignment horizontal="center"/>
    </xf>
    <xf numFmtId="0" fontId="69" fillId="0" borderId="0" xfId="23" applyFont="1" applyAlignment="1" applyProtection="1">
      <alignment horizontal="left"/>
    </xf>
    <xf numFmtId="3" fontId="16" fillId="0" borderId="11" xfId="46" applyNumberFormat="1" applyFont="1" applyFill="1" applyBorder="1" applyAlignment="1" applyProtection="1">
      <alignment vertical="top"/>
    </xf>
    <xf numFmtId="14" fontId="65" fillId="0" borderId="0" xfId="48" applyNumberFormat="1" applyFont="1"/>
    <xf numFmtId="14" fontId="65" fillId="0" borderId="0" xfId="48" applyNumberFormat="1" applyFont="1" applyFill="1"/>
    <xf numFmtId="0" fontId="65" fillId="0" borderId="0" xfId="48" applyFont="1" applyFill="1" applyProtection="1">
      <protection locked="0"/>
    </xf>
    <xf numFmtId="0" fontId="65" fillId="0" borderId="0" xfId="48" applyFont="1" applyProtection="1"/>
    <xf numFmtId="3" fontId="8" fillId="2" borderId="2" xfId="28" applyNumberFormat="1" applyFont="1" applyFill="1" applyBorder="1" applyAlignment="1" applyProtection="1">
      <protection locked="0"/>
    </xf>
    <xf numFmtId="0" fontId="19" fillId="0" borderId="0" xfId="48" applyFont="1" applyFill="1" applyBorder="1" applyProtection="1">
      <protection locked="0"/>
    </xf>
    <xf numFmtId="0" fontId="16" fillId="0" borderId="0" xfId="48" applyFont="1" applyFill="1" applyBorder="1" applyProtection="1">
      <protection locked="0"/>
    </xf>
    <xf numFmtId="0" fontId="71" fillId="0" borderId="0" xfId="48" applyFont="1" applyFill="1" applyProtection="1">
      <protection locked="0"/>
    </xf>
    <xf numFmtId="0" fontId="71" fillId="0" borderId="0" xfId="48" applyFont="1" applyFill="1"/>
    <xf numFmtId="3" fontId="8" fillId="0" borderId="12" xfId="27" applyNumberFormat="1" applyFont="1" applyFill="1" applyBorder="1" applyAlignment="1" applyProtection="1">
      <alignment horizontal="right"/>
    </xf>
    <xf numFmtId="0" fontId="67" fillId="0" borderId="0" xfId="48" applyFont="1" applyFill="1"/>
    <xf numFmtId="14" fontId="67" fillId="0" borderId="0" xfId="48" applyNumberFormat="1" applyFont="1" applyFill="1"/>
    <xf numFmtId="169" fontId="12" fillId="0" borderId="0" xfId="48" applyNumberFormat="1" applyFont="1" applyFill="1" applyBorder="1" applyAlignment="1" applyProtection="1"/>
    <xf numFmtId="0" fontId="65" fillId="0" borderId="0" xfId="48" applyFont="1" applyFill="1" applyAlignment="1"/>
    <xf numFmtId="3" fontId="72" fillId="0" borderId="0" xfId="0" applyNumberFormat="1" applyFont="1" applyFill="1" applyAlignment="1" applyProtection="1">
      <alignment horizontal="left"/>
      <protection locked="0"/>
    </xf>
    <xf numFmtId="0" fontId="63" fillId="0" borderId="0" xfId="0" applyFont="1" applyFill="1" applyAlignment="1">
      <alignment horizontal="center"/>
    </xf>
    <xf numFmtId="0" fontId="16" fillId="0" borderId="0" xfId="0" applyFont="1" applyAlignment="1">
      <alignment horizontal="center"/>
    </xf>
    <xf numFmtId="49" fontId="0" fillId="0" borderId="0" xfId="0" applyNumberFormat="1" applyBorder="1" applyAlignment="1">
      <alignment horizontal="center"/>
    </xf>
    <xf numFmtId="3" fontId="0" fillId="0" borderId="0" xfId="0" applyNumberFormat="1" applyBorder="1"/>
    <xf numFmtId="0" fontId="12" fillId="3" borderId="12" xfId="40" applyFont="1" applyFill="1" applyBorder="1" applyProtection="1"/>
    <xf numFmtId="0" fontId="8" fillId="0" borderId="5" xfId="40" applyFont="1" applyBorder="1" applyProtection="1"/>
    <xf numFmtId="0" fontId="8" fillId="0" borderId="10" xfId="40" applyFont="1" applyBorder="1" applyProtection="1"/>
    <xf numFmtId="3" fontId="8" fillId="0" borderId="1" xfId="40" applyNumberFormat="1" applyFont="1" applyFill="1" applyBorder="1" applyAlignment="1" applyProtection="1">
      <alignment horizontal="right"/>
    </xf>
    <xf numFmtId="0" fontId="16" fillId="0" borderId="0" xfId="0" applyFont="1" applyFill="1" applyAlignment="1">
      <alignment horizontal="center"/>
    </xf>
    <xf numFmtId="3" fontId="0" fillId="0" borderId="0" xfId="0" applyNumberFormat="1" applyFill="1"/>
    <xf numFmtId="3" fontId="8" fillId="0" borderId="0" xfId="22" applyNumberFormat="1" applyFont="1" applyAlignment="1" applyProtection="1">
      <alignment horizontal="right" vertical="top"/>
    </xf>
    <xf numFmtId="3" fontId="16" fillId="0" borderId="0" xfId="11" applyNumberFormat="1" applyFont="1" applyAlignment="1" applyProtection="1">
      <alignment horizontal="right"/>
    </xf>
    <xf numFmtId="3" fontId="8" fillId="0" borderId="9" xfId="12" applyNumberFormat="1" applyFont="1" applyBorder="1" applyAlignment="1" applyProtection="1"/>
    <xf numFmtId="3" fontId="8" fillId="0" borderId="9" xfId="17" applyNumberFormat="1" applyFont="1" applyBorder="1" applyAlignment="1" applyProtection="1">
      <alignment vertical="top"/>
    </xf>
    <xf numFmtId="3" fontId="8" fillId="2" borderId="11" xfId="17" applyNumberFormat="1" applyFont="1" applyFill="1" applyBorder="1" applyAlignment="1" applyProtection="1">
      <alignment vertical="top"/>
      <protection locked="0"/>
    </xf>
    <xf numFmtId="3" fontId="63" fillId="0" borderId="0" xfId="0" applyNumberFormat="1" applyFont="1" applyFill="1"/>
    <xf numFmtId="167" fontId="63" fillId="0" borderId="0" xfId="0" applyNumberFormat="1" applyFont="1" applyFill="1"/>
    <xf numFmtId="167" fontId="0" fillId="0" borderId="0" xfId="0" applyNumberFormat="1" applyFill="1"/>
    <xf numFmtId="3" fontId="70" fillId="0" borderId="0" xfId="0" applyNumberFormat="1" applyFont="1" applyFill="1" applyAlignment="1" applyProtection="1">
      <alignment horizontal="right"/>
      <protection locked="0"/>
    </xf>
    <xf numFmtId="0" fontId="63" fillId="0" borderId="0" xfId="0" applyFont="1" applyFill="1" applyAlignment="1">
      <alignment horizontal="left"/>
    </xf>
    <xf numFmtId="3" fontId="0" fillId="0" borderId="0" xfId="0" applyNumberFormat="1" applyFill="1" applyBorder="1"/>
    <xf numFmtId="49" fontId="0" fillId="0" borderId="0" xfId="0" applyNumberFormat="1" applyFill="1" applyBorder="1" applyAlignment="1">
      <alignment horizontal="center"/>
    </xf>
    <xf numFmtId="169" fontId="16" fillId="0" borderId="0" xfId="46" applyNumberFormat="1" applyFont="1" applyFill="1" applyProtection="1"/>
    <xf numFmtId="0" fontId="12" fillId="0" borderId="1" xfId="35" applyFont="1" applyBorder="1" applyAlignment="1" applyProtection="1">
      <alignment horizontal="center"/>
    </xf>
    <xf numFmtId="0" fontId="12" fillId="0" borderId="1" xfId="34" applyFont="1" applyBorder="1" applyAlignment="1" applyProtection="1">
      <alignment horizontal="center"/>
    </xf>
    <xf numFmtId="0" fontId="8" fillId="0" borderId="6" xfId="9" applyFont="1" applyBorder="1" applyProtection="1"/>
    <xf numFmtId="3" fontId="8" fillId="0" borderId="9" xfId="9" applyNumberFormat="1" applyFont="1" applyBorder="1" applyAlignment="1" applyProtection="1"/>
    <xf numFmtId="3" fontId="8" fillId="2" borderId="11" xfId="9" applyNumberFormat="1" applyFont="1" applyFill="1" applyBorder="1" applyAlignment="1" applyProtection="1">
      <protection locked="0"/>
    </xf>
    <xf numFmtId="3" fontId="8" fillId="0" borderId="6" xfId="25" applyNumberFormat="1" applyFont="1" applyBorder="1" applyAlignment="1" applyProtection="1"/>
    <xf numFmtId="3" fontId="16" fillId="0" borderId="11" xfId="25" applyNumberFormat="1" applyFont="1" applyFill="1" applyBorder="1" applyAlignment="1" applyProtection="1"/>
    <xf numFmtId="3" fontId="12" fillId="0" borderId="6" xfId="26" applyNumberFormat="1" applyFont="1" applyBorder="1" applyAlignment="1" applyProtection="1"/>
    <xf numFmtId="3" fontId="8" fillId="0" borderId="11" xfId="26" applyNumberFormat="1" applyFont="1" applyFill="1" applyBorder="1" applyAlignment="1" applyProtection="1"/>
    <xf numFmtId="3" fontId="8" fillId="0" borderId="6" xfId="34" applyNumberFormat="1" applyFont="1" applyBorder="1" applyAlignment="1" applyProtection="1"/>
    <xf numFmtId="3" fontId="8" fillId="0" borderId="0" xfId="34" applyNumberFormat="1" applyFont="1" applyBorder="1" applyAlignment="1" applyProtection="1"/>
    <xf numFmtId="3" fontId="8" fillId="0" borderId="6" xfId="35" applyNumberFormat="1" applyFont="1" applyBorder="1" applyAlignment="1" applyProtection="1"/>
    <xf numFmtId="3" fontId="12" fillId="0" borderId="6" xfId="36" applyNumberFormat="1" applyFont="1" applyBorder="1" applyAlignment="1" applyProtection="1"/>
    <xf numFmtId="3" fontId="8" fillId="0" borderId="11" xfId="36" applyNumberFormat="1" applyFont="1" applyFill="1" applyBorder="1" applyAlignment="1" applyProtection="1"/>
    <xf numFmtId="3" fontId="12" fillId="0" borderId="6" xfId="37" applyNumberFormat="1" applyFont="1" applyBorder="1" applyAlignment="1" applyProtection="1"/>
    <xf numFmtId="3" fontId="8" fillId="0" borderId="11" xfId="37" applyNumberFormat="1" applyFont="1" applyFill="1" applyBorder="1" applyAlignment="1" applyProtection="1"/>
    <xf numFmtId="3" fontId="8" fillId="0" borderId="6" xfId="38" applyNumberFormat="1" applyFont="1" applyBorder="1" applyAlignment="1" applyProtection="1"/>
    <xf numFmtId="3" fontId="8" fillId="0" borderId="11" xfId="38" applyNumberFormat="1" applyFont="1" applyFill="1" applyBorder="1" applyAlignment="1" applyProtection="1"/>
    <xf numFmtId="3" fontId="8" fillId="0" borderId="9" xfId="38" applyNumberFormat="1" applyFont="1" applyFill="1" applyBorder="1" applyAlignment="1" applyProtection="1"/>
    <xf numFmtId="3" fontId="12" fillId="0" borderId="6" xfId="41" applyNumberFormat="1" applyFont="1" applyBorder="1" applyAlignment="1" applyProtection="1"/>
    <xf numFmtId="3" fontId="8" fillId="0" borderId="11" xfId="41" applyNumberFormat="1" applyFont="1" applyFill="1" applyBorder="1" applyAlignment="1" applyProtection="1"/>
    <xf numFmtId="3" fontId="12" fillId="0" borderId="6" xfId="42" applyNumberFormat="1" applyFont="1" applyBorder="1" applyAlignment="1" applyProtection="1"/>
    <xf numFmtId="3" fontId="8" fillId="0" borderId="11" xfId="42" applyNumberFormat="1" applyFont="1" applyFill="1" applyBorder="1" applyAlignment="1" applyProtection="1"/>
    <xf numFmtId="3" fontId="12" fillId="0" borderId="6" xfId="43" applyNumberFormat="1" applyFont="1" applyBorder="1" applyAlignment="1" applyProtection="1"/>
    <xf numFmtId="3" fontId="8" fillId="0" borderId="11" xfId="43" applyNumberFormat="1" applyFont="1" applyFill="1" applyBorder="1" applyAlignment="1" applyProtection="1"/>
    <xf numFmtId="3" fontId="12" fillId="0" borderId="6" xfId="44" applyNumberFormat="1" applyFont="1" applyBorder="1" applyAlignment="1" applyProtection="1"/>
    <xf numFmtId="3" fontId="8" fillId="0" borderId="11" xfId="44" applyNumberFormat="1" applyFont="1" applyFill="1" applyBorder="1" applyAlignment="1" applyProtection="1"/>
    <xf numFmtId="3" fontId="12" fillId="0" borderId="6" xfId="45" applyNumberFormat="1" applyFont="1" applyBorder="1" applyAlignment="1" applyProtection="1"/>
    <xf numFmtId="3" fontId="8" fillId="0" borderId="11" xfId="45" applyNumberFormat="1" applyFont="1" applyFill="1" applyBorder="1" applyAlignment="1" applyProtection="1"/>
    <xf numFmtId="0" fontId="16" fillId="0" borderId="0" xfId="46" applyFont="1" applyFill="1" applyAlignment="1" applyProtection="1">
      <alignment horizontal="center"/>
      <protection locked="0"/>
    </xf>
    <xf numFmtId="0" fontId="73" fillId="0" borderId="0" xfId="48" applyFont="1"/>
    <xf numFmtId="0" fontId="41" fillId="0" borderId="0" xfId="34" applyFont="1" applyProtection="1">
      <protection locked="0"/>
    </xf>
    <xf numFmtId="0" fontId="0" fillId="0" borderId="0" xfId="14" applyFont="1" applyProtection="1"/>
    <xf numFmtId="169" fontId="16" fillId="2" borderId="1" xfId="14" applyNumberFormat="1" applyFont="1" applyFill="1" applyBorder="1" applyProtection="1">
      <protection locked="0"/>
    </xf>
    <xf numFmtId="0" fontId="16" fillId="6" borderId="0" xfId="44" applyFont="1" applyFill="1" applyProtection="1"/>
    <xf numFmtId="14" fontId="65" fillId="0" borderId="0" xfId="48" applyNumberFormat="1" applyFont="1" applyFill="1" applyProtection="1">
      <protection locked="0"/>
    </xf>
    <xf numFmtId="0" fontId="65" fillId="0" borderId="0" xfId="33" applyFont="1" applyProtection="1"/>
    <xf numFmtId="0" fontId="16" fillId="0" borderId="0" xfId="33" applyFont="1" applyProtection="1"/>
    <xf numFmtId="3" fontId="16" fillId="2" borderId="11" xfId="0" applyNumberFormat="1" applyFont="1" applyFill="1" applyBorder="1" applyProtection="1">
      <protection locked="0"/>
    </xf>
    <xf numFmtId="3" fontId="8" fillId="0" borderId="6" xfId="9" applyNumberFormat="1" applyFont="1" applyBorder="1" applyAlignment="1" applyProtection="1"/>
    <xf numFmtId="0" fontId="8" fillId="0" borderId="10" xfId="12" applyFont="1" applyBorder="1" applyAlignment="1" applyProtection="1">
      <alignment horizontal="center"/>
    </xf>
    <xf numFmtId="173" fontId="8" fillId="0" borderId="8" xfId="25" applyNumberFormat="1" applyFont="1" applyBorder="1" applyAlignment="1" applyProtection="1">
      <alignment horizontal="center"/>
    </xf>
    <xf numFmtId="173" fontId="16" fillId="0" borderId="10" xfId="25" applyNumberFormat="1" applyFont="1" applyBorder="1" applyAlignment="1" applyProtection="1">
      <alignment horizontal="center"/>
    </xf>
    <xf numFmtId="0" fontId="8" fillId="0" borderId="5" xfId="26" applyFont="1" applyBorder="1" applyAlignment="1" applyProtection="1">
      <alignment horizontal="center"/>
    </xf>
    <xf numFmtId="0" fontId="8" fillId="0" borderId="10" xfId="26" applyFont="1" applyBorder="1" applyAlignment="1" applyProtection="1">
      <alignment horizontal="center"/>
    </xf>
    <xf numFmtId="0" fontId="8" fillId="0" borderId="2" xfId="34" applyFont="1" applyFill="1" applyBorder="1" applyAlignment="1" applyProtection="1">
      <alignment horizontal="center"/>
    </xf>
    <xf numFmtId="0" fontId="8" fillId="0" borderId="5" xfId="34" applyFont="1" applyBorder="1" applyAlignment="1" applyProtection="1">
      <alignment horizontal="center"/>
    </xf>
    <xf numFmtId="0" fontId="8" fillId="0" borderId="2" xfId="35" applyFont="1" applyFill="1" applyBorder="1" applyAlignment="1" applyProtection="1">
      <alignment horizontal="center"/>
    </xf>
    <xf numFmtId="0" fontId="8" fillId="0" borderId="5" xfId="35" applyFont="1" applyBorder="1" applyAlignment="1" applyProtection="1">
      <alignment horizontal="center"/>
    </xf>
    <xf numFmtId="0" fontId="12" fillId="0" borderId="10" xfId="36" applyFont="1" applyBorder="1" applyAlignment="1" applyProtection="1">
      <alignment horizontal="center"/>
    </xf>
    <xf numFmtId="0" fontId="8" fillId="0" borderId="5" xfId="37" applyFont="1" applyBorder="1" applyAlignment="1" applyProtection="1">
      <alignment horizontal="center"/>
    </xf>
    <xf numFmtId="0" fontId="12" fillId="0" borderId="10" xfId="37" applyFont="1" applyBorder="1" applyAlignment="1" applyProtection="1">
      <alignment horizontal="center"/>
    </xf>
    <xf numFmtId="0" fontId="8" fillId="0" borderId="5" xfId="38" applyFont="1" applyBorder="1" applyAlignment="1" applyProtection="1">
      <alignment horizontal="center"/>
    </xf>
    <xf numFmtId="0" fontId="12" fillId="0" borderId="2" xfId="38" applyFont="1" applyBorder="1" applyAlignment="1" applyProtection="1">
      <alignment horizontal="center"/>
    </xf>
    <xf numFmtId="0" fontId="8" fillId="0" borderId="5" xfId="41" applyFont="1" applyBorder="1" applyAlignment="1" applyProtection="1">
      <alignment horizontal="center"/>
    </xf>
    <xf numFmtId="0" fontId="8" fillId="0" borderId="2" xfId="41" applyFont="1" applyBorder="1" applyAlignment="1" applyProtection="1">
      <alignment horizontal="center"/>
    </xf>
    <xf numFmtId="0" fontId="8" fillId="0" borderId="5" xfId="42" applyFont="1" applyBorder="1" applyAlignment="1" applyProtection="1">
      <alignment horizontal="center"/>
    </xf>
    <xf numFmtId="0" fontId="8" fillId="0" borderId="2" xfId="42" applyFont="1" applyBorder="1" applyAlignment="1" applyProtection="1">
      <alignment horizontal="center"/>
    </xf>
    <xf numFmtId="0" fontId="8" fillId="0" borderId="5" xfId="43" applyFont="1" applyBorder="1" applyAlignment="1" applyProtection="1">
      <alignment horizontal="center"/>
    </xf>
    <xf numFmtId="0" fontId="8" fillId="0" borderId="2" xfId="43" applyFont="1" applyBorder="1" applyAlignment="1" applyProtection="1">
      <alignment horizontal="center"/>
    </xf>
    <xf numFmtId="0" fontId="8" fillId="0" borderId="5" xfId="44" applyFont="1" applyBorder="1" applyAlignment="1" applyProtection="1">
      <alignment horizontal="center"/>
    </xf>
    <xf numFmtId="0" fontId="12" fillId="0" borderId="2" xfId="44" applyFont="1" applyBorder="1" applyAlignment="1" applyProtection="1">
      <alignment horizontal="center"/>
    </xf>
    <xf numFmtId="0" fontId="8" fillId="0" borderId="5" xfId="45" applyFont="1" applyBorder="1" applyAlignment="1" applyProtection="1">
      <alignment horizontal="center"/>
    </xf>
    <xf numFmtId="0" fontId="8" fillId="0" borderId="2" xfId="45" applyFont="1" applyBorder="1" applyAlignment="1" applyProtection="1">
      <alignment horizontal="center"/>
    </xf>
    <xf numFmtId="0" fontId="0" fillId="0" borderId="4" xfId="0" applyBorder="1"/>
    <xf numFmtId="0" fontId="0" fillId="0" borderId="7" xfId="0" applyBorder="1"/>
    <xf numFmtId="0" fontId="0" fillId="0" borderId="12" xfId="0" applyBorder="1"/>
    <xf numFmtId="0" fontId="0" fillId="0" borderId="5" xfId="0" applyBorder="1"/>
    <xf numFmtId="0" fontId="16" fillId="0" borderId="0" xfId="27" applyFont="1" applyAlignment="1" applyProtection="1">
      <alignment horizontal="center"/>
    </xf>
    <xf numFmtId="0" fontId="75" fillId="0" borderId="0" xfId="27" applyFont="1" applyAlignment="1" applyProtection="1">
      <alignment horizontal="center"/>
    </xf>
    <xf numFmtId="0" fontId="16" fillId="0" borderId="0" xfId="27" applyFont="1" applyProtection="1">
      <protection locked="0"/>
    </xf>
    <xf numFmtId="0" fontId="0" fillId="0" borderId="0" xfId="33" applyFont="1" applyProtection="1"/>
    <xf numFmtId="0" fontId="16" fillId="0" borderId="0" xfId="0" applyNumberFormat="1" applyFont="1" applyFill="1" applyBorder="1" applyAlignment="1">
      <alignment horizontal="center"/>
    </xf>
    <xf numFmtId="0" fontId="64" fillId="0" borderId="0" xfId="0" applyFont="1" applyFill="1" applyAlignment="1" applyProtection="1">
      <alignment horizontal="right"/>
      <protection locked="0"/>
    </xf>
    <xf numFmtId="0" fontId="16" fillId="0" borderId="0" xfId="47" applyFont="1" applyFill="1"/>
    <xf numFmtId="3" fontId="8" fillId="0" borderId="12" xfId="40" applyNumberFormat="1" applyFont="1" applyFill="1" applyBorder="1" applyAlignment="1" applyProtection="1">
      <alignment horizontal="right"/>
    </xf>
    <xf numFmtId="0" fontId="8" fillId="0" borderId="0" xfId="33" applyFont="1" applyAlignment="1" applyProtection="1">
      <alignment horizontal="right" vertical="top"/>
    </xf>
    <xf numFmtId="2" fontId="8" fillId="0" borderId="0" xfId="48" applyNumberFormat="1" applyFont="1"/>
    <xf numFmtId="0" fontId="16" fillId="0" borderId="0" xfId="23" applyFont="1" applyAlignment="1" applyProtection="1">
      <alignment horizontal="left"/>
      <protection locked="0"/>
    </xf>
    <xf numFmtId="0" fontId="75" fillId="0" borderId="0" xfId="0" applyFont="1"/>
    <xf numFmtId="0" fontId="76" fillId="0" borderId="0" xfId="33" applyFont="1" applyFill="1" applyBorder="1" applyProtection="1"/>
    <xf numFmtId="173" fontId="76" fillId="0" borderId="0" xfId="33" applyNumberFormat="1" applyFont="1" applyFill="1" applyBorder="1" applyAlignment="1" applyProtection="1">
      <alignment horizontal="center"/>
    </xf>
    <xf numFmtId="0" fontId="76" fillId="0" borderId="0" xfId="33" applyFont="1" applyFill="1" applyBorder="1" applyAlignment="1" applyProtection="1">
      <alignment horizontal="left"/>
    </xf>
    <xf numFmtId="0" fontId="76" fillId="0" borderId="0" xfId="33" applyFont="1" applyFill="1" applyBorder="1" applyAlignment="1" applyProtection="1">
      <alignment horizontal="right"/>
    </xf>
    <xf numFmtId="0" fontId="73" fillId="0" borderId="0" xfId="33" applyFont="1" applyFill="1" applyBorder="1" applyProtection="1"/>
    <xf numFmtId="0" fontId="76" fillId="0" borderId="0" xfId="33" applyFont="1" applyFill="1" applyBorder="1" applyAlignment="1" applyProtection="1">
      <alignment horizontal="center"/>
    </xf>
    <xf numFmtId="173" fontId="76" fillId="0" borderId="4" xfId="33" applyNumberFormat="1" applyFont="1" applyFill="1" applyBorder="1" applyAlignment="1" applyProtection="1">
      <alignment horizontal="center"/>
    </xf>
    <xf numFmtId="0" fontId="76" fillId="0" borderId="4" xfId="33" applyFont="1" applyFill="1" applyBorder="1" applyAlignment="1" applyProtection="1">
      <alignment horizontal="center"/>
    </xf>
    <xf numFmtId="0" fontId="12" fillId="0" borderId="0" xfId="33" applyFont="1" applyFill="1" applyBorder="1" applyAlignment="1" applyProtection="1">
      <alignment horizontal="center"/>
    </xf>
    <xf numFmtId="173" fontId="76" fillId="0" borderId="7" xfId="33" applyNumberFormat="1" applyFont="1" applyFill="1" applyBorder="1" applyAlignment="1" applyProtection="1">
      <alignment horizontal="center"/>
    </xf>
    <xf numFmtId="0" fontId="76" fillId="0" borderId="7" xfId="33" applyFont="1" applyFill="1" applyBorder="1" applyAlignment="1" applyProtection="1">
      <alignment horizontal="center"/>
    </xf>
    <xf numFmtId="0" fontId="76" fillId="0" borderId="1" xfId="33" applyFont="1" applyFill="1" applyBorder="1" applyProtection="1"/>
    <xf numFmtId="173" fontId="76" fillId="0" borderId="12" xfId="33" applyNumberFormat="1" applyFont="1" applyFill="1" applyBorder="1" applyAlignment="1" applyProtection="1">
      <alignment horizontal="center"/>
    </xf>
    <xf numFmtId="172" fontId="76" fillId="0" borderId="12" xfId="33" applyNumberFormat="1" applyFont="1" applyFill="1" applyBorder="1" applyAlignment="1" applyProtection="1">
      <alignment horizontal="center"/>
    </xf>
    <xf numFmtId="172" fontId="76" fillId="0" borderId="7" xfId="33" applyNumberFormat="1" applyFont="1" applyFill="1" applyBorder="1" applyAlignment="1" applyProtection="1">
      <alignment horizontal="center"/>
    </xf>
    <xf numFmtId="0" fontId="76" fillId="0" borderId="13" xfId="33" applyFont="1" applyFill="1" applyBorder="1" applyAlignment="1" applyProtection="1">
      <alignment vertical="top"/>
    </xf>
    <xf numFmtId="173" fontId="76" fillId="0" borderId="2" xfId="33" applyNumberFormat="1" applyFont="1" applyFill="1" applyBorder="1" applyAlignment="1" applyProtection="1">
      <alignment horizontal="center" vertical="top"/>
    </xf>
    <xf numFmtId="173" fontId="76" fillId="0" borderId="8" xfId="33" applyNumberFormat="1" applyFont="1" applyFill="1" applyBorder="1" applyAlignment="1" applyProtection="1">
      <alignment horizontal="center" vertical="top"/>
    </xf>
    <xf numFmtId="3" fontId="76" fillId="0" borderId="9" xfId="33" applyNumberFormat="1" applyFont="1" applyFill="1" applyBorder="1" applyAlignment="1" applyProtection="1">
      <alignment vertical="top"/>
    </xf>
    <xf numFmtId="173" fontId="76" fillId="0" borderId="5" xfId="33" applyNumberFormat="1" applyFont="1" applyFill="1" applyBorder="1" applyAlignment="1" applyProtection="1">
      <alignment horizontal="center" vertical="top"/>
    </xf>
    <xf numFmtId="3" fontId="76" fillId="0" borderId="7" xfId="33" applyNumberFormat="1" applyFont="1" applyFill="1" applyBorder="1" applyAlignment="1" applyProtection="1">
      <alignment vertical="top"/>
    </xf>
    <xf numFmtId="3" fontId="76" fillId="0" borderId="0" xfId="33" applyNumberFormat="1" applyFont="1" applyFill="1" applyBorder="1" applyAlignment="1" applyProtection="1">
      <alignment vertical="top"/>
    </xf>
    <xf numFmtId="0" fontId="76" fillId="0" borderId="10" xfId="33" applyFont="1" applyFill="1" applyBorder="1" applyAlignment="1" applyProtection="1">
      <alignment vertical="top"/>
    </xf>
    <xf numFmtId="0" fontId="12" fillId="13" borderId="13" xfId="33" applyFont="1" applyFill="1" applyBorder="1" applyAlignment="1" applyProtection="1">
      <alignment vertical="top"/>
    </xf>
    <xf numFmtId="3" fontId="76" fillId="0" borderId="1" xfId="33" applyNumberFormat="1" applyFont="1" applyFill="1" applyBorder="1" applyAlignment="1" applyProtection="1">
      <alignment vertical="top"/>
    </xf>
    <xf numFmtId="3" fontId="76" fillId="0" borderId="14" xfId="33" applyNumberFormat="1" applyFont="1" applyFill="1" applyBorder="1" applyAlignment="1" applyProtection="1">
      <alignment vertical="top"/>
    </xf>
    <xf numFmtId="3" fontId="76" fillId="13" borderId="13" xfId="33" applyNumberFormat="1" applyFont="1" applyFill="1" applyBorder="1" applyAlignment="1" applyProtection="1">
      <alignment vertical="top"/>
    </xf>
    <xf numFmtId="0" fontId="76" fillId="0" borderId="4" xfId="33" applyFont="1" applyFill="1" applyBorder="1" applyProtection="1"/>
    <xf numFmtId="173" fontId="76" fillId="0" borderId="5" xfId="33" applyNumberFormat="1" applyFont="1" applyFill="1" applyBorder="1" applyAlignment="1" applyProtection="1">
      <alignment horizontal="center"/>
    </xf>
    <xf numFmtId="3" fontId="76" fillId="0" borderId="4" xfId="33" applyNumberFormat="1" applyFont="1" applyFill="1" applyBorder="1" applyAlignment="1" applyProtection="1"/>
    <xf numFmtId="3" fontId="76" fillId="0" borderId="15" xfId="33" applyNumberFormat="1" applyFont="1" applyFill="1" applyBorder="1" applyAlignment="1" applyProtection="1"/>
    <xf numFmtId="0" fontId="76" fillId="0" borderId="7" xfId="33" applyFont="1" applyFill="1" applyBorder="1" applyProtection="1"/>
    <xf numFmtId="173" fontId="76" fillId="0" borderId="8" xfId="33" applyNumberFormat="1" applyFont="1" applyFill="1" applyBorder="1" applyAlignment="1" applyProtection="1">
      <alignment horizontal="center"/>
    </xf>
    <xf numFmtId="3" fontId="76" fillId="0" borderId="7" xfId="33" applyNumberFormat="1" applyFont="1" applyFill="1" applyBorder="1" applyAlignment="1" applyProtection="1"/>
    <xf numFmtId="3" fontId="76" fillId="0" borderId="0" xfId="33" applyNumberFormat="1" applyFont="1" applyFill="1" applyBorder="1" applyAlignment="1" applyProtection="1"/>
    <xf numFmtId="0" fontId="76" fillId="0" borderId="12" xfId="33" applyFont="1" applyFill="1" applyBorder="1" applyProtection="1"/>
    <xf numFmtId="173" fontId="76" fillId="0" borderId="10" xfId="33" applyNumberFormat="1" applyFont="1" applyFill="1" applyBorder="1" applyAlignment="1" applyProtection="1">
      <alignment horizontal="center"/>
    </xf>
    <xf numFmtId="0" fontId="76" fillId="0" borderId="13" xfId="33" applyFont="1" applyFill="1" applyBorder="1" applyProtection="1"/>
    <xf numFmtId="173" fontId="76" fillId="0" borderId="2" xfId="33" applyNumberFormat="1" applyFont="1" applyFill="1" applyBorder="1" applyAlignment="1" applyProtection="1">
      <alignment horizontal="center"/>
    </xf>
    <xf numFmtId="0" fontId="76" fillId="0" borderId="4" xfId="21" applyFont="1" applyFill="1" applyBorder="1" applyAlignment="1" applyProtection="1">
      <alignment horizontal="left" vertical="top"/>
    </xf>
    <xf numFmtId="0" fontId="76" fillId="0" borderId="5" xfId="21" applyFont="1" applyFill="1" applyBorder="1" applyAlignment="1" applyProtection="1">
      <alignment horizontal="center" vertical="top"/>
    </xf>
    <xf numFmtId="3" fontId="76" fillId="0" borderId="7" xfId="21" applyNumberFormat="1" applyFont="1" applyFill="1" applyBorder="1" applyAlignment="1" applyProtection="1">
      <alignment vertical="top"/>
    </xf>
    <xf numFmtId="0" fontId="76" fillId="0" borderId="7" xfId="21" applyFont="1" applyFill="1" applyBorder="1" applyAlignment="1" applyProtection="1">
      <alignment horizontal="left" vertical="top"/>
    </xf>
    <xf numFmtId="0" fontId="76" fillId="0" borderId="8" xfId="21" applyFont="1" applyFill="1" applyBorder="1" applyAlignment="1" applyProtection="1">
      <alignment horizontal="center" vertical="top"/>
    </xf>
    <xf numFmtId="0" fontId="76" fillId="0" borderId="12" xfId="21" applyFont="1" applyFill="1" applyBorder="1" applyAlignment="1" applyProtection="1">
      <alignment horizontal="left" vertical="top"/>
    </xf>
    <xf numFmtId="0" fontId="16" fillId="0" borderId="10" xfId="21" applyFont="1" applyFill="1" applyBorder="1" applyAlignment="1" applyProtection="1">
      <alignment horizontal="center" vertical="top"/>
    </xf>
    <xf numFmtId="173" fontId="76" fillId="0" borderId="4" xfId="21" applyNumberFormat="1" applyFont="1" applyFill="1" applyBorder="1" applyAlignment="1" applyProtection="1">
      <alignment horizontal="left" vertical="top"/>
    </xf>
    <xf numFmtId="173" fontId="16" fillId="0" borderId="5" xfId="21" applyNumberFormat="1" applyFont="1" applyFill="1" applyBorder="1" applyAlignment="1" applyProtection="1">
      <alignment horizontal="center" vertical="top"/>
    </xf>
    <xf numFmtId="173" fontId="76" fillId="0" borderId="12" xfId="21" applyNumberFormat="1" applyFont="1" applyFill="1" applyBorder="1" applyAlignment="1" applyProtection="1">
      <alignment horizontal="left" vertical="top"/>
    </xf>
    <xf numFmtId="173" fontId="16" fillId="0" borderId="10" xfId="21" applyNumberFormat="1" applyFont="1" applyFill="1" applyBorder="1" applyAlignment="1" applyProtection="1">
      <alignment horizontal="center" vertical="top"/>
    </xf>
    <xf numFmtId="0" fontId="76" fillId="0" borderId="13" xfId="21" applyFont="1" applyFill="1" applyBorder="1" applyAlignment="1" applyProtection="1">
      <alignment horizontal="left" vertical="top"/>
    </xf>
    <xf numFmtId="0" fontId="16" fillId="0" borderId="2" xfId="21" applyFont="1" applyFill="1" applyBorder="1" applyAlignment="1" applyProtection="1">
      <alignment horizontal="center" vertical="top"/>
    </xf>
    <xf numFmtId="1" fontId="76" fillId="0" borderId="13" xfId="33" applyNumberFormat="1" applyFont="1" applyFill="1" applyBorder="1" applyAlignment="1" applyProtection="1">
      <alignment horizontal="left"/>
    </xf>
    <xf numFmtId="3" fontId="76" fillId="0" borderId="13" xfId="33" applyNumberFormat="1" applyFont="1" applyFill="1" applyBorder="1" applyAlignment="1" applyProtection="1"/>
    <xf numFmtId="3" fontId="76" fillId="0" borderId="12" xfId="21" applyNumberFormat="1" applyFont="1" applyFill="1" applyBorder="1" applyAlignment="1" applyProtection="1">
      <alignment vertical="top"/>
    </xf>
    <xf numFmtId="0" fontId="77" fillId="0" borderId="0" xfId="0" applyFont="1" applyFill="1" applyBorder="1" applyProtection="1"/>
    <xf numFmtId="3" fontId="16" fillId="0" borderId="0" xfId="22" applyNumberFormat="1" applyFont="1" applyFill="1" applyBorder="1" applyAlignment="1" applyProtection="1">
      <alignment vertical="top"/>
    </xf>
    <xf numFmtId="173" fontId="0" fillId="0" borderId="10" xfId="22" applyNumberFormat="1" applyFont="1" applyBorder="1" applyAlignment="1" applyProtection="1">
      <alignment horizontal="left" vertical="top"/>
    </xf>
    <xf numFmtId="173" fontId="8" fillId="3" borderId="10" xfId="22" applyNumberFormat="1" applyFont="1" applyFill="1" applyBorder="1" applyAlignment="1" applyProtection="1">
      <alignment horizontal="center" vertical="top"/>
    </xf>
    <xf numFmtId="3" fontId="8" fillId="0" borderId="5" xfId="22" applyNumberFormat="1" applyFont="1" applyFill="1" applyBorder="1" applyAlignment="1" applyProtection="1">
      <alignment vertical="top"/>
    </xf>
    <xf numFmtId="3" fontId="8" fillId="0" borderId="6" xfId="22" applyNumberFormat="1" applyFont="1" applyFill="1" applyBorder="1" applyAlignment="1" applyProtection="1">
      <alignment vertical="top"/>
    </xf>
    <xf numFmtId="0" fontId="16" fillId="0" borderId="0" xfId="48" applyFont="1" applyAlignment="1">
      <alignment wrapText="1"/>
    </xf>
    <xf numFmtId="173" fontId="16" fillId="0" borderId="5" xfId="22" applyNumberFormat="1" applyFont="1" applyBorder="1" applyAlignment="1" applyProtection="1">
      <alignment horizontal="left" vertical="top"/>
    </xf>
    <xf numFmtId="173" fontId="16" fillId="0" borderId="10" xfId="22" applyNumberFormat="1" applyFont="1" applyBorder="1" applyAlignment="1" applyProtection="1">
      <alignment horizontal="left" vertical="top"/>
    </xf>
    <xf numFmtId="173" fontId="8" fillId="0" borderId="0" xfId="11" applyNumberFormat="1" applyFont="1" applyFill="1" applyBorder="1" applyAlignment="1" applyProtection="1">
      <alignment horizontal="left"/>
    </xf>
    <xf numFmtId="173" fontId="8" fillId="0" borderId="0" xfId="11" applyNumberFormat="1" applyFont="1" applyFill="1" applyBorder="1" applyAlignment="1" applyProtection="1">
      <alignment horizontal="center"/>
    </xf>
    <xf numFmtId="3" fontId="8" fillId="0" borderId="0" xfId="11" applyNumberFormat="1" applyFont="1" applyFill="1" applyBorder="1" applyAlignment="1" applyProtection="1"/>
    <xf numFmtId="3" fontId="16" fillId="0" borderId="0" xfId="11" applyNumberFormat="1" applyFont="1" applyFill="1" applyBorder="1" applyAlignment="1" applyProtection="1">
      <alignment horizontal="right"/>
    </xf>
    <xf numFmtId="0" fontId="16" fillId="0" borderId="5" xfId="11" applyFont="1" applyBorder="1" applyAlignment="1" applyProtection="1">
      <alignment horizontal="left" vertical="center"/>
    </xf>
    <xf numFmtId="0" fontId="16" fillId="0" borderId="10" xfId="11" applyFont="1" applyBorder="1" applyAlignment="1" applyProtection="1">
      <alignment horizontal="left" vertical="center"/>
    </xf>
    <xf numFmtId="0" fontId="8" fillId="3" borderId="10" xfId="11" applyFont="1" applyFill="1" applyBorder="1" applyAlignment="1" applyProtection="1">
      <alignment horizontal="center" vertical="center"/>
    </xf>
    <xf numFmtId="0" fontId="16" fillId="0" borderId="5" xfId="23" applyFont="1" applyBorder="1" applyAlignment="1" applyProtection="1">
      <alignment horizontal="left"/>
    </xf>
    <xf numFmtId="0" fontId="16" fillId="0" borderId="10" xfId="23" applyFont="1" applyBorder="1" applyAlignment="1" applyProtection="1">
      <alignment horizontal="left"/>
    </xf>
    <xf numFmtId="3" fontId="8" fillId="0" borderId="15" xfId="23" applyNumberFormat="1" applyFont="1" applyFill="1" applyBorder="1" applyAlignment="1" applyProtection="1"/>
    <xf numFmtId="0" fontId="8" fillId="3" borderId="10" xfId="23" applyFont="1" applyFill="1" applyBorder="1" applyAlignment="1" applyProtection="1">
      <alignment horizontal="center"/>
    </xf>
    <xf numFmtId="0" fontId="65" fillId="0" borderId="0" xfId="23" applyFont="1" applyProtection="1"/>
    <xf numFmtId="0" fontId="41" fillId="0" borderId="0" xfId="23" applyFont="1" applyProtection="1"/>
    <xf numFmtId="3" fontId="8" fillId="0" borderId="7" xfId="13" applyNumberFormat="1" applyFont="1" applyFill="1" applyBorder="1" applyAlignment="1" applyProtection="1"/>
    <xf numFmtId="173" fontId="16" fillId="0" borderId="7" xfId="13" applyNumberFormat="1" applyFont="1" applyBorder="1" applyAlignment="1" applyProtection="1">
      <alignment horizontal="left"/>
    </xf>
    <xf numFmtId="173" fontId="16" fillId="0" borderId="8" xfId="13" applyNumberFormat="1" applyFont="1" applyBorder="1" applyAlignment="1" applyProtection="1">
      <alignment horizontal="center"/>
    </xf>
    <xf numFmtId="173" fontId="16" fillId="0" borderId="7" xfId="11" applyNumberFormat="1" applyFont="1" applyBorder="1" applyAlignment="1" applyProtection="1">
      <alignment horizontal="left"/>
    </xf>
    <xf numFmtId="3" fontId="8" fillId="0" borderId="0" xfId="13" applyNumberFormat="1" applyFont="1" applyFill="1" applyBorder="1" applyAlignment="1" applyProtection="1"/>
    <xf numFmtId="173" fontId="8" fillId="0" borderId="0" xfId="13" applyNumberFormat="1" applyFont="1" applyBorder="1" applyAlignment="1" applyProtection="1">
      <alignment horizontal="left"/>
    </xf>
    <xf numFmtId="173" fontId="8" fillId="0" borderId="0" xfId="13" applyNumberFormat="1" applyFont="1" applyBorder="1" applyAlignment="1" applyProtection="1">
      <alignment horizontal="center"/>
    </xf>
    <xf numFmtId="3" fontId="16" fillId="0" borderId="0" xfId="13" applyNumberFormat="1" applyFont="1" applyFill="1" applyBorder="1" applyAlignment="1" applyProtection="1">
      <alignment horizontal="right"/>
    </xf>
    <xf numFmtId="0" fontId="65" fillId="0" borderId="0" xfId="13" applyFont="1" applyProtection="1">
      <protection locked="0"/>
    </xf>
    <xf numFmtId="3" fontId="8" fillId="0" borderId="4" xfId="13" applyNumberFormat="1" applyFont="1" applyFill="1" applyBorder="1" applyAlignment="1" applyProtection="1"/>
    <xf numFmtId="0" fontId="8" fillId="0" borderId="0" xfId="19" applyFont="1" applyBorder="1" applyAlignment="1" applyProtection="1">
      <alignment horizontal="left"/>
    </xf>
    <xf numFmtId="0" fontId="8" fillId="0" borderId="0" xfId="19" applyFont="1" applyBorder="1" applyAlignment="1" applyProtection="1">
      <alignment horizontal="center"/>
    </xf>
    <xf numFmtId="3" fontId="8" fillId="0" borderId="0" xfId="19" applyNumberFormat="1" applyFont="1" applyFill="1" applyBorder="1" applyAlignment="1" applyProtection="1"/>
    <xf numFmtId="3" fontId="16" fillId="0" borderId="0" xfId="19" applyNumberFormat="1" applyFont="1" applyFill="1" applyBorder="1" applyAlignment="1" applyProtection="1"/>
    <xf numFmtId="3" fontId="8" fillId="0" borderId="4" xfId="19" applyNumberFormat="1" applyFont="1" applyFill="1" applyBorder="1" applyAlignment="1" applyProtection="1">
      <alignment vertical="top"/>
    </xf>
    <xf numFmtId="0" fontId="0" fillId="0" borderId="5" xfId="19" applyFont="1" applyBorder="1" applyAlignment="1" applyProtection="1">
      <alignment horizontal="left" vertical="top"/>
    </xf>
    <xf numFmtId="0" fontId="0" fillId="0" borderId="10" xfId="19" applyFont="1" applyBorder="1" applyAlignment="1" applyProtection="1">
      <alignment horizontal="left" vertical="top"/>
    </xf>
    <xf numFmtId="0" fontId="8" fillId="3" borderId="10" xfId="19" applyFont="1" applyFill="1" applyBorder="1" applyAlignment="1" applyProtection="1">
      <alignment horizontal="center" vertical="top"/>
    </xf>
    <xf numFmtId="3" fontId="8" fillId="0" borderId="12" xfId="19" applyNumberFormat="1" applyFont="1" applyFill="1" applyBorder="1" applyAlignment="1" applyProtection="1">
      <alignment vertical="top"/>
    </xf>
    <xf numFmtId="3" fontId="8" fillId="0" borderId="5" xfId="19" applyNumberFormat="1" applyFont="1" applyFill="1" applyBorder="1" applyAlignment="1" applyProtection="1">
      <alignment vertical="top"/>
    </xf>
    <xf numFmtId="0" fontId="78" fillId="0" borderId="0" xfId="0" applyFont="1"/>
    <xf numFmtId="0" fontId="0" fillId="0" borderId="13" xfId="0" applyBorder="1" applyAlignment="1">
      <alignment horizontal="center"/>
    </xf>
    <xf numFmtId="3" fontId="16" fillId="3" borderId="12" xfId="18" applyNumberFormat="1" applyFont="1" applyFill="1" applyBorder="1" applyAlignment="1" applyProtection="1"/>
    <xf numFmtId="173" fontId="16" fillId="0" borderId="5" xfId="20" applyNumberFormat="1" applyFont="1" applyBorder="1" applyAlignment="1" applyProtection="1">
      <alignment horizontal="left"/>
    </xf>
    <xf numFmtId="173" fontId="16" fillId="0" borderId="10" xfId="20" applyNumberFormat="1" applyFont="1" applyBorder="1" applyAlignment="1" applyProtection="1">
      <alignment horizontal="left"/>
    </xf>
    <xf numFmtId="3" fontId="8" fillId="2" borderId="4" xfId="22" applyNumberFormat="1" applyFont="1" applyFill="1" applyBorder="1" applyAlignment="1" applyProtection="1">
      <alignment horizontal="right" vertical="top"/>
      <protection locked="0"/>
    </xf>
    <xf numFmtId="3" fontId="8" fillId="2" borderId="15" xfId="22" applyNumberFormat="1" applyFont="1" applyFill="1" applyBorder="1" applyAlignment="1" applyProtection="1">
      <alignment horizontal="right" vertical="top"/>
      <protection locked="0"/>
    </xf>
    <xf numFmtId="0" fontId="16" fillId="0" borderId="4" xfId="22" applyFont="1" applyBorder="1" applyAlignment="1" applyProtection="1">
      <alignment horizontal="left" vertical="top"/>
    </xf>
    <xf numFmtId="173" fontId="16" fillId="0" borderId="10" xfId="22" applyNumberFormat="1" applyFont="1" applyBorder="1" applyAlignment="1" applyProtection="1">
      <alignment horizontal="center" vertical="top"/>
    </xf>
    <xf numFmtId="0" fontId="80" fillId="0" borderId="0" xfId="22" applyFont="1" applyAlignment="1" applyProtection="1">
      <alignment vertical="top"/>
    </xf>
    <xf numFmtId="0" fontId="78" fillId="0" borderId="0" xfId="22" applyFont="1" applyProtection="1"/>
    <xf numFmtId="0" fontId="79" fillId="0" borderId="0" xfId="20" applyFont="1" applyBorder="1" applyProtection="1"/>
    <xf numFmtId="0" fontId="80" fillId="0" borderId="0" xfId="19" applyFont="1" applyProtection="1"/>
    <xf numFmtId="0" fontId="78" fillId="0" borderId="0" xfId="0" applyFont="1" applyProtection="1"/>
    <xf numFmtId="0" fontId="73" fillId="0" borderId="0" xfId="13" applyFont="1" applyProtection="1"/>
    <xf numFmtId="0" fontId="65" fillId="0" borderId="0" xfId="13" applyFont="1" applyProtection="1"/>
    <xf numFmtId="0" fontId="8" fillId="0" borderId="2" xfId="13" applyFont="1" applyBorder="1" applyAlignment="1" applyProtection="1">
      <alignment horizontal="left"/>
    </xf>
    <xf numFmtId="0" fontId="0" fillId="0" borderId="10" xfId="0" applyBorder="1"/>
    <xf numFmtId="173" fontId="8" fillId="0" borderId="10" xfId="13" applyNumberFormat="1" applyFont="1" applyBorder="1" applyAlignment="1" applyProtection="1">
      <alignment horizontal="left"/>
    </xf>
    <xf numFmtId="0" fontId="0" fillId="0" borderId="7" xfId="0" applyBorder="1" applyAlignment="1">
      <alignment horizontal="center"/>
    </xf>
    <xf numFmtId="0" fontId="82" fillId="0" borderId="0" xfId="0" applyFont="1"/>
    <xf numFmtId="0" fontId="0" fillId="0" borderId="7" xfId="0" applyFill="1" applyBorder="1" applyAlignment="1">
      <alignment horizontal="center"/>
    </xf>
    <xf numFmtId="0" fontId="76" fillId="0" borderId="5" xfId="33" applyFont="1" applyFill="1" applyBorder="1" applyAlignment="1" applyProtection="1">
      <alignment vertical="top"/>
    </xf>
    <xf numFmtId="173" fontId="76" fillId="0" borderId="10" xfId="33" applyNumberFormat="1" applyFont="1" applyFill="1" applyBorder="1" applyAlignment="1" applyProtection="1">
      <alignment horizontal="center" vertical="top"/>
    </xf>
    <xf numFmtId="0" fontId="0" fillId="0" borderId="5"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3" fontId="76" fillId="0" borderId="6" xfId="33" applyNumberFormat="1" applyFont="1" applyFill="1" applyBorder="1" applyAlignment="1" applyProtection="1">
      <alignment vertical="top"/>
    </xf>
    <xf numFmtId="3" fontId="76" fillId="0" borderId="15" xfId="21" applyNumberFormat="1" applyFont="1" applyFill="1" applyBorder="1" applyAlignment="1" applyProtection="1">
      <alignment vertical="top"/>
    </xf>
    <xf numFmtId="3" fontId="76" fillId="0" borderId="0" xfId="21" applyNumberFormat="1" applyFont="1" applyFill="1" applyBorder="1" applyAlignment="1" applyProtection="1">
      <alignment vertical="top"/>
    </xf>
    <xf numFmtId="0" fontId="18" fillId="0" borderId="0" xfId="48" applyFont="1" applyFill="1" applyProtection="1">
      <protection locked="0"/>
    </xf>
    <xf numFmtId="0" fontId="51" fillId="0" borderId="0" xfId="48" applyFont="1" applyFill="1"/>
    <xf numFmtId="3" fontId="63" fillId="0" borderId="0" xfId="0" applyNumberFormat="1" applyFont="1" applyFill="1" applyBorder="1"/>
    <xf numFmtId="3" fontId="58" fillId="0" borderId="0" xfId="0" applyNumberFormat="1" applyFont="1" applyFill="1" applyBorder="1"/>
    <xf numFmtId="0" fontId="16" fillId="0" borderId="0" xfId="48" applyFont="1" applyFill="1" applyBorder="1"/>
    <xf numFmtId="3" fontId="16" fillId="0" borderId="0" xfId="48" applyNumberFormat="1" applyFont="1" applyFill="1"/>
    <xf numFmtId="0" fontId="71" fillId="0" borderId="0" xfId="48" applyFont="1" applyFill="1" applyBorder="1" applyProtection="1">
      <protection locked="0"/>
    </xf>
    <xf numFmtId="0" fontId="65" fillId="0" borderId="0" xfId="48" applyFont="1" applyFill="1" applyBorder="1" applyProtection="1">
      <protection locked="0"/>
    </xf>
    <xf numFmtId="0" fontId="67" fillId="0" borderId="0" xfId="48" applyFont="1" applyFill="1" applyBorder="1" applyProtection="1">
      <protection locked="0"/>
    </xf>
    <xf numFmtId="0" fontId="58" fillId="0" borderId="0" xfId="0" applyFont="1" applyFill="1" applyBorder="1" applyAlignment="1" applyProtection="1">
      <alignment horizontal="right"/>
      <protection locked="0"/>
    </xf>
    <xf numFmtId="3" fontId="68" fillId="0" borderId="0" xfId="0" applyNumberFormat="1" applyFont="1" applyFill="1" applyBorder="1"/>
    <xf numFmtId="0" fontId="63" fillId="0" borderId="0" xfId="0" applyFont="1" applyFill="1" applyBorder="1" applyAlignment="1">
      <alignment horizontal="center"/>
    </xf>
    <xf numFmtId="167" fontId="63" fillId="0" borderId="0" xfId="0" applyNumberFormat="1" applyFont="1" applyFill="1" applyBorder="1"/>
    <xf numFmtId="14" fontId="65" fillId="0" borderId="0" xfId="48" applyNumberFormat="1" applyFont="1" applyFill="1" applyBorder="1"/>
    <xf numFmtId="0" fontId="67" fillId="0" borderId="0" xfId="48" applyFont="1" applyFill="1" applyBorder="1"/>
    <xf numFmtId="0" fontId="18" fillId="0" borderId="0" xfId="48" applyFont="1" applyFill="1" applyBorder="1"/>
    <xf numFmtId="0" fontId="71" fillId="0" borderId="0" xfId="48" applyFont="1" applyFill="1" applyBorder="1"/>
    <xf numFmtId="0" fontId="65" fillId="0" borderId="0" xfId="48" applyFont="1" applyFill="1" applyBorder="1"/>
    <xf numFmtId="0" fontId="67" fillId="0" borderId="0" xfId="48" applyFont="1" applyFill="1" applyBorder="1" applyAlignment="1">
      <alignment horizontal="centerContinuous"/>
    </xf>
    <xf numFmtId="166" fontId="68" fillId="0" borderId="0" xfId="0" applyNumberFormat="1" applyFont="1" applyFill="1" applyBorder="1"/>
    <xf numFmtId="0" fontId="51" fillId="0" borderId="0" xfId="48" applyFont="1" applyFill="1" applyBorder="1"/>
    <xf numFmtId="14" fontId="67" fillId="0" borderId="0" xfId="0" applyNumberFormat="1" applyFont="1" applyFill="1" applyBorder="1"/>
    <xf numFmtId="0" fontId="67" fillId="0" borderId="0" xfId="48" applyFont="1" applyFill="1" applyBorder="1" applyAlignment="1"/>
    <xf numFmtId="14" fontId="18" fillId="0" borderId="0" xfId="48" applyNumberFormat="1" applyFont="1" applyFill="1"/>
    <xf numFmtId="0" fontId="19" fillId="0" borderId="0" xfId="48" applyFont="1" applyFill="1"/>
    <xf numFmtId="14" fontId="65" fillId="0" borderId="0" xfId="48" applyNumberFormat="1" applyFont="1" applyFill="1" applyAlignment="1"/>
    <xf numFmtId="0" fontId="67" fillId="0" borderId="0" xfId="48" applyFont="1" applyFill="1" applyAlignment="1"/>
    <xf numFmtId="14" fontId="67" fillId="0" borderId="0" xfId="48" applyNumberFormat="1" applyFont="1" applyFill="1" applyAlignment="1"/>
    <xf numFmtId="2" fontId="12" fillId="0" borderId="0" xfId="48" applyNumberFormat="1" applyFont="1" applyBorder="1" applyProtection="1"/>
    <xf numFmtId="0" fontId="84" fillId="0" borderId="0" xfId="0" applyFont="1" applyFill="1" applyAlignment="1">
      <alignment horizontal="center"/>
    </xf>
    <xf numFmtId="3" fontId="84" fillId="0" borderId="0" xfId="0" applyNumberFormat="1" applyFont="1" applyFill="1"/>
    <xf numFmtId="0" fontId="84" fillId="0" borderId="0" xfId="0" applyFont="1" applyFill="1"/>
    <xf numFmtId="174" fontId="84" fillId="0" borderId="0" xfId="0" applyNumberFormat="1" applyFont="1" applyFill="1"/>
    <xf numFmtId="0" fontId="85" fillId="0" borderId="0" xfId="0" applyFont="1"/>
    <xf numFmtId="0" fontId="85" fillId="0" borderId="0" xfId="11" applyFont="1" applyProtection="1"/>
    <xf numFmtId="0" fontId="85" fillId="0" borderId="0" xfId="22" applyFont="1" applyAlignment="1" applyProtection="1">
      <alignment vertical="top"/>
    </xf>
    <xf numFmtId="0" fontId="0" fillId="0" borderId="12" xfId="0" applyBorder="1" applyAlignment="1">
      <alignment horizontal="center"/>
    </xf>
    <xf numFmtId="173" fontId="16" fillId="3" borderId="2" xfId="15" applyNumberFormat="1" applyFont="1" applyFill="1" applyBorder="1" applyAlignment="1" applyProtection="1"/>
    <xf numFmtId="0" fontId="0" fillId="0" borderId="0" xfId="0" applyAlignment="1">
      <alignment horizontal="center" vertical="top"/>
    </xf>
    <xf numFmtId="0" fontId="0" fillId="0" borderId="9" xfId="0" applyBorder="1"/>
    <xf numFmtId="3" fontId="8" fillId="2" borderId="2" xfId="31" applyNumberFormat="1" applyFont="1" applyFill="1" applyBorder="1" applyAlignment="1" applyProtection="1">
      <protection locked="0"/>
    </xf>
    <xf numFmtId="3" fontId="8" fillId="0" borderId="10" xfId="31" applyNumberFormat="1" applyFont="1" applyFill="1" applyBorder="1" applyAlignment="1" applyProtection="1"/>
    <xf numFmtId="0" fontId="85" fillId="0" borderId="6" xfId="0" applyFont="1" applyBorder="1"/>
    <xf numFmtId="0" fontId="74" fillId="0" borderId="0" xfId="41" applyFont="1" applyFill="1" applyBorder="1" applyProtection="1">
      <protection locked="0"/>
    </xf>
    <xf numFmtId="0" fontId="85" fillId="0" borderId="7" xfId="0" applyFont="1" applyBorder="1"/>
    <xf numFmtId="0" fontId="63" fillId="0" borderId="0" xfId="0" applyFont="1" applyFill="1" applyProtection="1"/>
    <xf numFmtId="0" fontId="0" fillId="0" borderId="0" xfId="33" applyFont="1" applyAlignment="1" applyProtection="1">
      <alignment horizontal="right" vertical="top"/>
      <protection locked="0"/>
    </xf>
    <xf numFmtId="0" fontId="12" fillId="0" borderId="0" xfId="33" applyFont="1" applyAlignment="1" applyProtection="1">
      <alignment horizontal="right" vertical="top"/>
      <protection locked="0"/>
    </xf>
    <xf numFmtId="0" fontId="12" fillId="0" borderId="0" xfId="33" applyFont="1" applyAlignment="1" applyProtection="1">
      <alignment horizontal="right" vertical="top"/>
    </xf>
    <xf numFmtId="0" fontId="86" fillId="0" borderId="0" xfId="33" applyFont="1" applyAlignment="1" applyProtection="1">
      <alignment vertical="top"/>
      <protection locked="0"/>
    </xf>
    <xf numFmtId="0" fontId="85" fillId="0" borderId="0" xfId="48" applyFont="1" applyProtection="1"/>
    <xf numFmtId="0" fontId="16" fillId="0" borderId="0" xfId="34" applyFont="1" applyProtection="1">
      <protection locked="0"/>
    </xf>
    <xf numFmtId="0" fontId="65" fillId="0" borderId="0" xfId="40" applyFont="1" applyFill="1" applyProtection="1"/>
    <xf numFmtId="0" fontId="0" fillId="0" borderId="0" xfId="40" applyFont="1" applyFill="1" applyProtection="1"/>
    <xf numFmtId="0" fontId="0" fillId="0" borderId="0" xfId="0" applyFill="1" applyAlignment="1">
      <alignment horizontal="left"/>
    </xf>
    <xf numFmtId="0" fontId="0" fillId="0" borderId="0" xfId="0" applyFill="1" applyAlignment="1">
      <alignment horizontal="center"/>
    </xf>
    <xf numFmtId="3" fontId="84" fillId="0" borderId="0" xfId="0" applyNumberFormat="1" applyFont="1" applyFill="1" applyBorder="1"/>
    <xf numFmtId="3" fontId="16" fillId="0" borderId="0" xfId="0" applyNumberFormat="1" applyFont="1" applyFill="1" applyProtection="1"/>
    <xf numFmtId="3" fontId="0" fillId="0" borderId="0" xfId="0" applyNumberFormat="1" applyFill="1" applyProtection="1"/>
    <xf numFmtId="3" fontId="16" fillId="0" borderId="1" xfId="0" applyNumberFormat="1" applyFont="1" applyFill="1" applyBorder="1" applyProtection="1"/>
    <xf numFmtId="3" fontId="0" fillId="0" borderId="1" xfId="0" applyNumberFormat="1" applyFill="1" applyBorder="1" applyProtection="1"/>
    <xf numFmtId="0" fontId="87" fillId="0" borderId="0" xfId="0" applyFont="1" applyProtection="1"/>
    <xf numFmtId="3" fontId="16" fillId="0" borderId="0" xfId="0" applyNumberFormat="1" applyFont="1" applyProtection="1"/>
    <xf numFmtId="0" fontId="16" fillId="3" borderId="0" xfId="0" applyFont="1" applyFill="1" applyProtection="1"/>
    <xf numFmtId="3" fontId="16" fillId="3" borderId="0" xfId="0" applyNumberFormat="1" applyFont="1" applyFill="1" applyProtection="1"/>
    <xf numFmtId="0" fontId="16" fillId="3" borderId="1" xfId="0" applyFont="1" applyFill="1" applyBorder="1" applyProtection="1"/>
    <xf numFmtId="3" fontId="8" fillId="0" borderId="2" xfId="27" applyNumberFormat="1" applyFont="1" applyFill="1" applyBorder="1" applyAlignment="1" applyProtection="1"/>
    <xf numFmtId="3" fontId="8" fillId="0" borderId="0" xfId="27" applyNumberFormat="1" applyFont="1" applyFill="1" applyBorder="1" applyAlignment="1" applyProtection="1"/>
    <xf numFmtId="3" fontId="8" fillId="0" borderId="0" xfId="27" applyNumberFormat="1" applyFont="1" applyFill="1" applyBorder="1" applyProtection="1"/>
    <xf numFmtId="0" fontId="8" fillId="0" borderId="0" xfId="27" applyFont="1" applyFill="1" applyBorder="1" applyAlignment="1" applyProtection="1">
      <alignment horizontal="center"/>
    </xf>
    <xf numFmtId="172" fontId="8" fillId="0" borderId="0" xfId="27" applyNumberFormat="1" applyFont="1" applyFill="1" applyBorder="1" applyAlignment="1" applyProtection="1">
      <alignment horizontal="center"/>
    </xf>
    <xf numFmtId="3" fontId="16" fillId="0" borderId="0" xfId="27" applyNumberFormat="1" applyFont="1" applyFill="1" applyBorder="1" applyAlignment="1" applyProtection="1"/>
    <xf numFmtId="38" fontId="8" fillId="0" borderId="13" xfId="27" applyNumberFormat="1" applyFont="1" applyBorder="1" applyAlignment="1" applyProtection="1">
      <alignment horizontal="right"/>
    </xf>
    <xf numFmtId="38" fontId="8" fillId="0" borderId="13" xfId="27" applyNumberFormat="1" applyFont="1" applyBorder="1" applyProtection="1"/>
    <xf numFmtId="3" fontId="8" fillId="0" borderId="11" xfId="27" applyNumberFormat="1" applyFont="1" applyFill="1" applyBorder="1" applyAlignment="1" applyProtection="1">
      <protection locked="0"/>
    </xf>
    <xf numFmtId="3" fontId="8" fillId="0" borderId="13" xfId="27" applyNumberFormat="1" applyFont="1" applyFill="1" applyBorder="1" applyAlignment="1" applyProtection="1">
      <protection locked="0"/>
    </xf>
    <xf numFmtId="0" fontId="8" fillId="0" borderId="0" xfId="27" applyFont="1" applyBorder="1" applyProtection="1">
      <protection locked="0"/>
    </xf>
    <xf numFmtId="3" fontId="0" fillId="0" borderId="0" xfId="27" applyNumberFormat="1" applyFont="1" applyFill="1" applyBorder="1" applyAlignment="1" applyProtection="1"/>
    <xf numFmtId="0" fontId="8" fillId="0" borderId="0" xfId="27" applyFont="1" applyBorder="1" applyProtection="1"/>
    <xf numFmtId="0" fontId="16" fillId="0" borderId="0" xfId="0" applyFont="1"/>
    <xf numFmtId="3" fontId="8" fillId="0" borderId="12" xfId="27" applyNumberFormat="1" applyFont="1" applyFill="1" applyBorder="1" applyAlignment="1" applyProtection="1">
      <protection locked="0"/>
    </xf>
    <xf numFmtId="3" fontId="0" fillId="3" borderId="12" xfId="38" applyNumberFormat="1" applyFont="1" applyFill="1" applyBorder="1" applyAlignment="1" applyProtection="1"/>
    <xf numFmtId="0" fontId="16" fillId="0" borderId="12" xfId="33" applyFont="1" applyFill="1" applyBorder="1" applyProtection="1"/>
    <xf numFmtId="173" fontId="0" fillId="0" borderId="7" xfId="31" applyNumberFormat="1" applyFont="1" applyBorder="1" applyAlignment="1" applyProtection="1">
      <alignment horizontal="left"/>
    </xf>
    <xf numFmtId="3" fontId="8" fillId="0" borderId="1" xfId="27" applyNumberFormat="1" applyFont="1" applyFill="1" applyBorder="1" applyAlignment="1" applyProtection="1">
      <alignment horizontal="right"/>
    </xf>
    <xf numFmtId="3" fontId="0" fillId="0" borderId="3" xfId="0" applyNumberFormat="1" applyBorder="1"/>
    <xf numFmtId="3" fontId="0" fillId="0" borderId="13" xfId="27" applyNumberFormat="1" applyFont="1" applyFill="1" applyBorder="1" applyAlignment="1" applyProtection="1">
      <alignment horizontal="right"/>
      <protection locked="0"/>
    </xf>
    <xf numFmtId="38" fontId="8" fillId="0" borderId="13" xfId="27" applyNumberFormat="1" applyFont="1" applyFill="1" applyBorder="1" applyAlignment="1" applyProtection="1">
      <alignment horizontal="right"/>
    </xf>
    <xf numFmtId="166" fontId="89" fillId="0" borderId="0" xfId="48" applyNumberFormat="1" applyFont="1" applyFill="1"/>
    <xf numFmtId="0" fontId="89" fillId="0" borderId="0" xfId="48" applyFont="1"/>
    <xf numFmtId="0" fontId="8" fillId="0" borderId="0" xfId="0" applyFont="1"/>
    <xf numFmtId="0" fontId="8" fillId="0" borderId="0" xfId="0" applyFont="1" applyAlignment="1">
      <alignment horizontal="right"/>
    </xf>
    <xf numFmtId="169" fontId="0" fillId="0" borderId="0" xfId="0" applyNumberFormat="1" applyFill="1"/>
    <xf numFmtId="3" fontId="8" fillId="14" borderId="12" xfId="34" applyNumberFormat="1" applyFont="1" applyFill="1" applyBorder="1" applyAlignment="1" applyProtection="1">
      <protection locked="0"/>
    </xf>
    <xf numFmtId="0" fontId="0" fillId="0" borderId="0" xfId="0"/>
    <xf numFmtId="0" fontId="0" fillId="16" borderId="0" xfId="0" applyFont="1" applyFill="1"/>
    <xf numFmtId="0" fontId="0" fillId="17" borderId="0" xfId="0" applyFont="1" applyFill="1"/>
    <xf numFmtId="0" fontId="0" fillId="0" borderId="0" xfId="0"/>
    <xf numFmtId="0" fontId="0" fillId="0" borderId="0" xfId="0" applyAlignment="1">
      <alignment horizontal="center"/>
    </xf>
    <xf numFmtId="0" fontId="8" fillId="0" borderId="8" xfId="0" applyFont="1" applyBorder="1"/>
    <xf numFmtId="0" fontId="8" fillId="19" borderId="0" xfId="0" applyFont="1" applyFill="1" applyAlignment="1">
      <alignment horizontal="center"/>
    </xf>
    <xf numFmtId="0" fontId="0" fillId="19" borderId="0" xfId="0" applyFill="1" applyAlignment="1">
      <alignment horizontal="center"/>
    </xf>
    <xf numFmtId="0" fontId="8" fillId="15" borderId="0" xfId="0" applyFont="1" applyFill="1" applyAlignment="1">
      <alignment horizontal="center"/>
    </xf>
    <xf numFmtId="0" fontId="0" fillId="15" borderId="0" xfId="0" applyFill="1" applyAlignment="1">
      <alignment horizontal="center"/>
    </xf>
    <xf numFmtId="0" fontId="8" fillId="20" borderId="0" xfId="0" applyFont="1" applyFill="1" applyAlignment="1">
      <alignment horizontal="center"/>
    </xf>
    <xf numFmtId="0" fontId="0" fillId="20" borderId="0" xfId="0" applyFill="1" applyAlignment="1">
      <alignment horizontal="center"/>
    </xf>
    <xf numFmtId="0" fontId="35" fillId="20" borderId="13" xfId="1" applyFill="1" applyBorder="1" applyAlignment="1" applyProtection="1">
      <alignment horizontal="center"/>
    </xf>
    <xf numFmtId="0" fontId="35" fillId="15" borderId="13" xfId="1" applyFill="1" applyBorder="1" applyAlignment="1" applyProtection="1">
      <alignment horizontal="center"/>
    </xf>
    <xf numFmtId="0" fontId="35" fillId="19" borderId="13" xfId="1" applyFill="1" applyBorder="1" applyAlignment="1" applyProtection="1">
      <alignment horizontal="center"/>
    </xf>
    <xf numFmtId="0" fontId="90" fillId="0" borderId="0" xfId="46" applyFont="1" applyFill="1" applyProtection="1"/>
    <xf numFmtId="0" fontId="90" fillId="0" borderId="0" xfId="46" applyFont="1" applyFill="1" applyProtection="1">
      <protection locked="0"/>
    </xf>
    <xf numFmtId="0" fontId="89" fillId="20" borderId="0" xfId="0" applyFont="1" applyFill="1" applyAlignment="1">
      <alignment horizontal="center"/>
    </xf>
    <xf numFmtId="0" fontId="91" fillId="18" borderId="5" xfId="0" applyFont="1" applyFill="1" applyBorder="1"/>
    <xf numFmtId="0" fontId="91" fillId="18" borderId="15" xfId="0" applyFont="1" applyFill="1" applyBorder="1"/>
    <xf numFmtId="0" fontId="91" fillId="18" borderId="6" xfId="0" applyFont="1" applyFill="1" applyBorder="1"/>
    <xf numFmtId="0" fontId="0" fillId="21" borderId="5" xfId="0" applyFill="1" applyBorder="1"/>
    <xf numFmtId="0" fontId="0" fillId="21" borderId="15" xfId="0" applyFill="1" applyBorder="1"/>
    <xf numFmtId="0" fontId="8" fillId="21" borderId="15" xfId="0" applyFont="1" applyFill="1" applyBorder="1"/>
    <xf numFmtId="0" fontId="0" fillId="21" borderId="6" xfId="0" applyFill="1" applyBorder="1"/>
    <xf numFmtId="0" fontId="0" fillId="21" borderId="8" xfId="0" applyFill="1" applyBorder="1"/>
    <xf numFmtId="0" fontId="0" fillId="21" borderId="13" xfId="0" applyFill="1" applyBorder="1" applyAlignment="1">
      <alignment horizontal="center"/>
    </xf>
    <xf numFmtId="0" fontId="8" fillId="21" borderId="0" xfId="0" applyFont="1" applyFill="1" applyBorder="1"/>
    <xf numFmtId="0" fontId="0" fillId="21" borderId="0" xfId="0" applyFill="1" applyBorder="1"/>
    <xf numFmtId="0" fontId="0" fillId="21" borderId="9" xfId="0" applyFill="1" applyBorder="1"/>
    <xf numFmtId="0" fontId="0" fillId="21" borderId="0" xfId="0" applyFill="1" applyBorder="1" applyAlignment="1">
      <alignment horizontal="center"/>
    </xf>
    <xf numFmtId="0" fontId="0" fillId="21" borderId="10" xfId="0" applyFill="1" applyBorder="1"/>
    <xf numFmtId="0" fontId="0" fillId="21" borderId="1" xfId="0" applyFill="1" applyBorder="1"/>
    <xf numFmtId="0" fontId="0" fillId="21" borderId="11" xfId="0" applyFill="1" applyBorder="1"/>
    <xf numFmtId="0" fontId="0" fillId="22" borderId="0" xfId="0" applyFill="1"/>
    <xf numFmtId="0" fontId="35" fillId="22" borderId="0" xfId="1" applyFill="1" applyAlignment="1" applyProtection="1"/>
    <xf numFmtId="3" fontId="76" fillId="0" borderId="13" xfId="33" applyNumberFormat="1" applyFont="1" applyFill="1" applyBorder="1" applyAlignment="1" applyProtection="1">
      <alignment vertical="top"/>
    </xf>
    <xf numFmtId="3" fontId="76" fillId="0" borderId="3" xfId="33" applyNumberFormat="1" applyFont="1" applyFill="1" applyBorder="1" applyAlignment="1" applyProtection="1">
      <alignment vertical="top"/>
    </xf>
    <xf numFmtId="3" fontId="76" fillId="14" borderId="4" xfId="33" applyNumberFormat="1" applyFont="1" applyFill="1" applyBorder="1" applyAlignment="1" applyProtection="1">
      <alignment vertical="top"/>
      <protection locked="0"/>
    </xf>
    <xf numFmtId="3" fontId="76" fillId="14" borderId="13" xfId="33" applyNumberFormat="1" applyFont="1" applyFill="1" applyBorder="1" applyAlignment="1" applyProtection="1">
      <alignment vertical="top"/>
      <protection locked="0"/>
    </xf>
    <xf numFmtId="3" fontId="76" fillId="23" borderId="11" xfId="33" applyNumberFormat="1" applyFont="1" applyFill="1" applyBorder="1" applyAlignment="1" applyProtection="1">
      <alignment vertical="top"/>
      <protection locked="0"/>
    </xf>
    <xf numFmtId="3" fontId="76" fillId="23" borderId="1" xfId="33" applyNumberFormat="1" applyFont="1" applyFill="1" applyBorder="1" applyAlignment="1" applyProtection="1">
      <alignment vertical="top"/>
      <protection locked="0"/>
    </xf>
    <xf numFmtId="3" fontId="76" fillId="23" borderId="0" xfId="33" applyNumberFormat="1" applyFont="1" applyFill="1" applyBorder="1" applyAlignment="1" applyProtection="1">
      <alignment vertical="top"/>
      <protection locked="0"/>
    </xf>
    <xf numFmtId="3" fontId="76" fillId="14" borderId="7" xfId="33" applyNumberFormat="1" applyFont="1" applyFill="1" applyBorder="1" applyAlignment="1" applyProtection="1">
      <alignment vertical="top"/>
      <protection locked="0"/>
    </xf>
    <xf numFmtId="3" fontId="76" fillId="14" borderId="7" xfId="33" applyNumberFormat="1" applyFont="1" applyFill="1" applyBorder="1" applyAlignment="1" applyProtection="1">
      <protection locked="0"/>
    </xf>
    <xf numFmtId="3" fontId="76" fillId="23" borderId="1" xfId="33" applyNumberFormat="1" applyFont="1" applyFill="1" applyBorder="1" applyAlignment="1" applyProtection="1">
      <protection locked="0"/>
    </xf>
    <xf numFmtId="3" fontId="76" fillId="14" borderId="13" xfId="33" applyNumberFormat="1" applyFont="1" applyFill="1" applyBorder="1" applyAlignment="1" applyProtection="1">
      <protection locked="0"/>
    </xf>
    <xf numFmtId="3" fontId="76" fillId="23" borderId="14" xfId="33" applyNumberFormat="1" applyFont="1" applyFill="1" applyBorder="1" applyAlignment="1" applyProtection="1">
      <protection locked="0"/>
    </xf>
    <xf numFmtId="3" fontId="76" fillId="14" borderId="12" xfId="21" applyNumberFormat="1" applyFont="1" applyFill="1" applyBorder="1" applyAlignment="1" applyProtection="1">
      <alignment vertical="top"/>
      <protection locked="0"/>
    </xf>
    <xf numFmtId="3" fontId="76" fillId="23" borderId="1" xfId="21" applyNumberFormat="1" applyFont="1" applyFill="1" applyBorder="1" applyAlignment="1" applyProtection="1">
      <alignment vertical="top"/>
      <protection locked="0"/>
    </xf>
    <xf numFmtId="3" fontId="76" fillId="14" borderId="7" xfId="21" applyNumberFormat="1" applyFont="1" applyFill="1" applyBorder="1" applyAlignment="1" applyProtection="1">
      <alignment vertical="top"/>
      <protection locked="0"/>
    </xf>
    <xf numFmtId="3" fontId="76" fillId="14" borderId="13" xfId="21" applyNumberFormat="1" applyFont="1" applyFill="1" applyBorder="1" applyAlignment="1" applyProtection="1">
      <alignment vertical="top"/>
      <protection locked="0"/>
    </xf>
    <xf numFmtId="173" fontId="94" fillId="0" borderId="10" xfId="18" applyNumberFormat="1" applyFont="1" applyBorder="1" applyAlignment="1" applyProtection="1">
      <alignment horizontal="center"/>
    </xf>
    <xf numFmtId="0" fontId="95" fillId="0" borderId="0" xfId="33" applyFont="1" applyAlignment="1" applyProtection="1">
      <alignment vertical="top"/>
      <protection locked="0"/>
    </xf>
    <xf numFmtId="169" fontId="0" fillId="14" borderId="1" xfId="0" applyNumberFormat="1" applyFill="1" applyBorder="1" applyProtection="1">
      <protection locked="0"/>
    </xf>
    <xf numFmtId="0" fontId="96" fillId="0" borderId="0" xfId="20" applyFont="1" applyBorder="1" applyProtection="1">
      <protection locked="0"/>
    </xf>
    <xf numFmtId="0" fontId="89" fillId="0" borderId="0" xfId="28" applyFont="1" applyProtection="1">
      <protection locked="0"/>
    </xf>
    <xf numFmtId="0" fontId="36" fillId="0" borderId="0" xfId="24" applyFont="1" applyFill="1" applyProtection="1"/>
    <xf numFmtId="0" fontId="8" fillId="0" borderId="0" xfId="24" applyFont="1" applyFill="1" applyBorder="1" applyAlignment="1" applyProtection="1">
      <alignment horizontal="right"/>
    </xf>
    <xf numFmtId="0" fontId="8" fillId="0" borderId="0" xfId="24" applyFont="1" applyFill="1" applyBorder="1" applyAlignment="1" applyProtection="1">
      <alignment horizontal="left"/>
    </xf>
    <xf numFmtId="0" fontId="16" fillId="0" borderId="15" xfId="46" applyFont="1" applyFill="1" applyBorder="1" applyAlignment="1" applyProtection="1">
      <alignment horizontal="centerContinuous" vertical="top"/>
    </xf>
    <xf numFmtId="0" fontId="0" fillId="0" borderId="0" xfId="0" applyBorder="1"/>
    <xf numFmtId="0" fontId="0" fillId="0" borderId="0" xfId="0"/>
    <xf numFmtId="0" fontId="0" fillId="0" borderId="0" xfId="0" applyAlignment="1">
      <alignment horizontal="center"/>
    </xf>
    <xf numFmtId="0" fontId="97" fillId="21" borderId="0" xfId="0" applyFont="1" applyFill="1" applyBorder="1"/>
    <xf numFmtId="0" fontId="98" fillId="21" borderId="0" xfId="0" applyFont="1" applyFill="1" applyBorder="1"/>
    <xf numFmtId="0" fontId="89" fillId="0" borderId="0" xfId="0" applyFont="1" applyAlignment="1">
      <alignment horizontal="left"/>
    </xf>
    <xf numFmtId="0" fontId="35" fillId="0" borderId="0" xfId="1" applyAlignment="1" applyProtection="1">
      <alignment horizontal="left"/>
    </xf>
    <xf numFmtId="0" fontId="99" fillId="0" borderId="0" xfId="0" applyFont="1"/>
    <xf numFmtId="172" fontId="8" fillId="0" borderId="7" xfId="29" applyNumberFormat="1" applyFont="1" applyBorder="1" applyAlignment="1" applyProtection="1">
      <alignment horizontal="center"/>
    </xf>
    <xf numFmtId="172" fontId="8" fillId="0" borderId="7" xfId="29" applyNumberFormat="1" applyFont="1" applyBorder="1" applyAlignment="1" applyProtection="1">
      <alignment horizontal="centerContinuous"/>
    </xf>
    <xf numFmtId="0" fontId="8" fillId="2" borderId="12" xfId="29" applyFont="1" applyFill="1" applyBorder="1" applyProtection="1">
      <protection locked="0"/>
    </xf>
    <xf numFmtId="14" fontId="8" fillId="2" borderId="12" xfId="29" applyNumberFormat="1" applyFont="1" applyFill="1" applyBorder="1" applyProtection="1">
      <protection locked="0"/>
    </xf>
    <xf numFmtId="2" fontId="8" fillId="2" borderId="12" xfId="29" applyNumberFormat="1" applyFont="1" applyFill="1" applyBorder="1" applyProtection="1">
      <protection locked="0"/>
    </xf>
    <xf numFmtId="37" fontId="8" fillId="2" borderId="12" xfId="29" applyNumberFormat="1" applyFont="1" applyFill="1" applyBorder="1" applyAlignment="1" applyProtection="1">
      <protection locked="0"/>
    </xf>
    <xf numFmtId="37" fontId="8" fillId="2" borderId="12" xfId="29" applyNumberFormat="1" applyFont="1" applyFill="1" applyBorder="1" applyProtection="1">
      <protection locked="0"/>
    </xf>
    <xf numFmtId="0" fontId="101" fillId="0" borderId="0" xfId="48" applyFont="1" applyProtection="1"/>
    <xf numFmtId="0" fontId="101" fillId="3" borderId="0" xfId="48" applyFont="1" applyFill="1"/>
    <xf numFmtId="0" fontId="101" fillId="0" borderId="0" xfId="48" applyFont="1"/>
    <xf numFmtId="0" fontId="102" fillId="0" borderId="0" xfId="48" applyFont="1"/>
    <xf numFmtId="0" fontId="103" fillId="12" borderId="0" xfId="48" applyFont="1" applyFill="1"/>
    <xf numFmtId="0" fontId="101" fillId="0" borderId="0" xfId="0" applyFont="1"/>
    <xf numFmtId="0" fontId="101" fillId="0" borderId="0" xfId="48" applyFont="1" applyFill="1"/>
    <xf numFmtId="0" fontId="101" fillId="0" borderId="0" xfId="0" applyFont="1" applyFill="1"/>
    <xf numFmtId="0" fontId="101" fillId="0" borderId="0" xfId="48" applyFont="1" applyFill="1" applyProtection="1"/>
    <xf numFmtId="0" fontId="104" fillId="0" borderId="0" xfId="48" applyFont="1"/>
    <xf numFmtId="0" fontId="101" fillId="0" borderId="0" xfId="48" applyFont="1" applyAlignment="1">
      <alignment horizontal="right"/>
    </xf>
    <xf numFmtId="3" fontId="101" fillId="6" borderId="0" xfId="48" applyNumberFormat="1" applyFont="1" applyFill="1"/>
    <xf numFmtId="49" fontId="101" fillId="0" borderId="0" xfId="48" applyNumberFormat="1" applyFont="1" applyProtection="1"/>
    <xf numFmtId="177" fontId="101" fillId="0" borderId="0" xfId="48" applyNumberFormat="1" applyFont="1"/>
    <xf numFmtId="0" fontId="101" fillId="20" borderId="0" xfId="48" applyFont="1" applyFill="1" applyProtection="1"/>
    <xf numFmtId="0" fontId="101" fillId="20" borderId="0" xfId="48" applyFont="1" applyFill="1"/>
    <xf numFmtId="0" fontId="101" fillId="0" borderId="0" xfId="48" applyFont="1" applyAlignment="1">
      <alignment horizontal="center"/>
    </xf>
    <xf numFmtId="170" fontId="101" fillId="0" borderId="0" xfId="48" applyNumberFormat="1" applyFont="1" applyProtection="1"/>
    <xf numFmtId="0" fontId="8" fillId="25" borderId="0" xfId="48" applyFont="1" applyFill="1" applyProtection="1"/>
    <xf numFmtId="0" fontId="101" fillId="26" borderId="0" xfId="48" applyFont="1" applyFill="1"/>
    <xf numFmtId="0" fontId="105" fillId="0" borderId="0" xfId="33" applyFont="1" applyAlignment="1" applyProtection="1">
      <alignment vertical="top"/>
      <protection locked="0"/>
    </xf>
    <xf numFmtId="0" fontId="89" fillId="0" borderId="0" xfId="40" applyFont="1" applyProtection="1">
      <protection locked="0"/>
    </xf>
    <xf numFmtId="3" fontId="8" fillId="14" borderId="12" xfId="22" applyNumberFormat="1" applyFont="1" applyFill="1" applyBorder="1" applyAlignment="1" applyProtection="1">
      <alignment vertical="top"/>
      <protection locked="0"/>
    </xf>
    <xf numFmtId="3" fontId="8" fillId="14" borderId="12" xfId="17" applyNumberFormat="1" applyFont="1" applyFill="1" applyBorder="1" applyAlignment="1" applyProtection="1">
      <alignment vertical="top"/>
      <protection locked="0"/>
    </xf>
    <xf numFmtId="3" fontId="8" fillId="14" borderId="10" xfId="19" applyNumberFormat="1" applyFont="1" applyFill="1" applyBorder="1" applyAlignment="1" applyProtection="1">
      <alignment vertical="top"/>
      <protection locked="0"/>
    </xf>
    <xf numFmtId="0" fontId="89" fillId="0" borderId="0" xfId="46" applyFont="1" applyFill="1" applyProtection="1">
      <protection locked="0"/>
    </xf>
    <xf numFmtId="0" fontId="89" fillId="0" borderId="0" xfId="0" applyFont="1" applyProtection="1"/>
    <xf numFmtId="3" fontId="8" fillId="0" borderId="4" xfId="22" applyNumberFormat="1" applyFont="1" applyFill="1" applyBorder="1" applyAlignment="1" applyProtection="1">
      <alignment horizontal="right" vertical="top"/>
    </xf>
    <xf numFmtId="3" fontId="8" fillId="2" borderId="10" xfId="22" applyNumberFormat="1" applyFont="1" applyFill="1" applyBorder="1" applyAlignment="1" applyProtection="1">
      <alignment vertical="top"/>
      <protection locked="0"/>
    </xf>
    <xf numFmtId="173" fontId="8" fillId="0" borderId="7" xfId="28" applyNumberFormat="1" applyFont="1" applyFill="1" applyBorder="1" applyAlignment="1" applyProtection="1">
      <alignment horizontal="left"/>
    </xf>
    <xf numFmtId="173" fontId="8" fillId="0" borderId="5" xfId="28" applyNumberFormat="1" applyFont="1" applyFill="1" applyBorder="1" applyAlignment="1" applyProtection="1">
      <alignment horizontal="left"/>
    </xf>
    <xf numFmtId="173" fontId="8" fillId="0" borderId="10" xfId="28" applyNumberFormat="1" applyFont="1" applyFill="1" applyBorder="1" applyAlignment="1" applyProtection="1">
      <alignment horizontal="left"/>
    </xf>
    <xf numFmtId="173" fontId="16" fillId="0" borderId="8" xfId="28" applyNumberFormat="1" applyFont="1" applyFill="1" applyBorder="1" applyAlignment="1" applyProtection="1">
      <alignment horizontal="center"/>
    </xf>
    <xf numFmtId="3" fontId="16" fillId="0" borderId="12" xfId="28" applyNumberFormat="1" applyFont="1" applyFill="1" applyBorder="1" applyAlignment="1" applyProtection="1"/>
    <xf numFmtId="173" fontId="16" fillId="0" borderId="5" xfId="28" applyNumberFormat="1" applyFont="1" applyFill="1" applyBorder="1" applyAlignment="1" applyProtection="1">
      <alignment horizontal="center"/>
    </xf>
    <xf numFmtId="3" fontId="16" fillId="2" borderId="8" xfId="28" applyNumberFormat="1" applyFont="1" applyFill="1" applyBorder="1" applyAlignment="1" applyProtection="1">
      <protection locked="0"/>
    </xf>
    <xf numFmtId="3" fontId="16" fillId="0" borderId="5" xfId="28" applyNumberFormat="1" applyFont="1" applyFill="1" applyBorder="1" applyAlignment="1" applyProtection="1"/>
    <xf numFmtId="3" fontId="16" fillId="2" borderId="7" xfId="28" applyNumberFormat="1" applyFont="1" applyFill="1" applyBorder="1" applyAlignment="1" applyProtection="1">
      <protection locked="0"/>
    </xf>
    <xf numFmtId="3" fontId="16" fillId="0" borderId="10" xfId="28" applyNumberFormat="1" applyFont="1" applyFill="1" applyBorder="1" applyAlignment="1" applyProtection="1"/>
    <xf numFmtId="3" fontId="8" fillId="0" borderId="11" xfId="22" applyNumberFormat="1" applyFont="1" applyFill="1" applyBorder="1" applyAlignment="1" applyProtection="1">
      <alignment horizontal="right" vertical="top"/>
    </xf>
    <xf numFmtId="0" fontId="99" fillId="0" borderId="0" xfId="46" applyFont="1" applyFill="1" applyProtection="1">
      <protection locked="0"/>
    </xf>
    <xf numFmtId="0" fontId="8" fillId="25" borderId="0" xfId="48" applyFont="1" applyFill="1"/>
    <xf numFmtId="0" fontId="126" fillId="0" borderId="0" xfId="48" applyFont="1" applyProtection="1"/>
    <xf numFmtId="0" fontId="126" fillId="0" borderId="0" xfId="48" applyFont="1"/>
    <xf numFmtId="0" fontId="17" fillId="0" borderId="0" xfId="0" applyFont="1"/>
    <xf numFmtId="0" fontId="32" fillId="0" borderId="0" xfId="0" applyFont="1" applyAlignment="1" applyProtection="1">
      <alignment horizontal="left" wrapText="1"/>
    </xf>
    <xf numFmtId="173" fontId="8" fillId="0" borderId="10" xfId="28" applyNumberFormat="1" applyFont="1" applyFill="1" applyBorder="1" applyAlignment="1" applyProtection="1">
      <alignment horizontal="center"/>
    </xf>
    <xf numFmtId="173" fontId="8" fillId="0" borderId="10" xfId="28" applyNumberFormat="1" applyFont="1" applyBorder="1" applyAlignment="1" applyProtection="1">
      <alignment horizontal="center"/>
    </xf>
    <xf numFmtId="0" fontId="127" fillId="0" borderId="0" xfId="0" applyFont="1"/>
    <xf numFmtId="0" fontId="128" fillId="0" borderId="0" xfId="0" applyFont="1"/>
    <xf numFmtId="0" fontId="32" fillId="0" borderId="0" xfId="0" applyFont="1" applyAlignment="1" applyProtection="1">
      <alignment horizontal="left"/>
    </xf>
    <xf numFmtId="0" fontId="12" fillId="0" borderId="0" xfId="0" applyFont="1" applyAlignment="1" applyProtection="1"/>
    <xf numFmtId="0" fontId="12" fillId="0" borderId="0" xfId="0" applyFont="1" applyAlignment="1" applyProtection="1">
      <alignment wrapText="1"/>
    </xf>
    <xf numFmtId="3" fontId="8" fillId="0" borderId="9" xfId="22" applyNumberFormat="1" applyFont="1" applyFill="1" applyBorder="1" applyAlignment="1" applyProtection="1">
      <alignment horizontal="right" vertical="top"/>
    </xf>
    <xf numFmtId="3" fontId="8" fillId="14" borderId="2" xfId="33" applyNumberFormat="1" applyFont="1" applyFill="1" applyBorder="1" applyAlignment="1" applyProtection="1">
      <protection locked="0"/>
    </xf>
    <xf numFmtId="0" fontId="8" fillId="0" borderId="0" xfId="8" applyFont="1" applyFill="1" applyAlignment="1" applyProtection="1">
      <alignment horizontal="centerContinuous" vertical="top"/>
    </xf>
    <xf numFmtId="0" fontId="0" fillId="2" borderId="3" xfId="0" applyFill="1" applyBorder="1" applyProtection="1">
      <protection locked="0"/>
    </xf>
    <xf numFmtId="3" fontId="0" fillId="14" borderId="12" xfId="0" applyNumberFormat="1" applyFill="1" applyBorder="1" applyProtection="1">
      <protection locked="0"/>
    </xf>
    <xf numFmtId="0" fontId="20" fillId="17" borderId="0" xfId="33" applyFont="1" applyFill="1" applyAlignment="1" applyProtection="1">
      <alignment vertical="top"/>
      <protection locked="0"/>
    </xf>
    <xf numFmtId="0" fontId="20" fillId="17" borderId="0" xfId="33" applyFont="1" applyFill="1" applyAlignment="1" applyProtection="1">
      <alignment vertical="top"/>
    </xf>
    <xf numFmtId="0" fontId="0" fillId="17" borderId="0" xfId="0" applyFill="1"/>
    <xf numFmtId="3" fontId="20" fillId="17" borderId="0" xfId="33" applyNumberFormat="1" applyFont="1" applyFill="1" applyAlignment="1" applyProtection="1">
      <alignment vertical="top"/>
    </xf>
    <xf numFmtId="0" fontId="12" fillId="17" borderId="0" xfId="0" applyFont="1" applyFill="1"/>
    <xf numFmtId="3" fontId="0" fillId="17" borderId="0" xfId="0" applyNumberFormat="1" applyFill="1"/>
    <xf numFmtId="3" fontId="0" fillId="17" borderId="1" xfId="0" applyNumberFormat="1" applyFill="1" applyBorder="1"/>
    <xf numFmtId="168" fontId="8" fillId="17" borderId="0" xfId="33" applyNumberFormat="1" applyFont="1" applyFill="1" applyAlignment="1" applyProtection="1">
      <alignment vertical="top"/>
    </xf>
    <xf numFmtId="0" fontId="8" fillId="17" borderId="0" xfId="33" applyFont="1" applyFill="1" applyAlignment="1" applyProtection="1">
      <alignment vertical="top"/>
    </xf>
    <xf numFmtId="0" fontId="0" fillId="17" borderId="0" xfId="0" applyFill="1" applyBorder="1"/>
    <xf numFmtId="3" fontId="8" fillId="17" borderId="0" xfId="33" applyNumberFormat="1" applyFont="1" applyFill="1" applyBorder="1" applyAlignment="1" applyProtection="1">
      <alignment horizontal="right"/>
    </xf>
    <xf numFmtId="0" fontId="8" fillId="17" borderId="0" xfId="0" applyFont="1" applyFill="1"/>
    <xf numFmtId="3" fontId="0" fillId="17" borderId="0" xfId="0" applyNumberFormat="1" applyFill="1" applyAlignment="1"/>
    <xf numFmtId="0" fontId="16" fillId="17" borderId="0" xfId="33" applyFont="1" applyFill="1" applyAlignment="1" applyProtection="1">
      <alignment vertical="top"/>
      <protection locked="0"/>
    </xf>
    <xf numFmtId="168" fontId="8" fillId="17" borderId="0" xfId="33" applyNumberFormat="1" applyFont="1" applyFill="1" applyBorder="1" applyAlignment="1" applyProtection="1">
      <alignment horizontal="right"/>
    </xf>
    <xf numFmtId="0" fontId="8" fillId="0" borderId="0" xfId="0" quotePrefix="1" applyFont="1"/>
    <xf numFmtId="3" fontId="8" fillId="14" borderId="1" xfId="23" applyNumberFormat="1" applyFont="1" applyFill="1" applyBorder="1" applyAlignment="1" applyProtection="1">
      <protection locked="0"/>
    </xf>
    <xf numFmtId="3" fontId="8" fillId="14" borderId="12" xfId="13" applyNumberFormat="1" applyFont="1" applyFill="1" applyBorder="1" applyAlignment="1" applyProtection="1">
      <protection locked="0"/>
    </xf>
    <xf numFmtId="3" fontId="0" fillId="2" borderId="12" xfId="0" applyNumberFormat="1" applyFill="1" applyBorder="1" applyProtection="1">
      <protection locked="0"/>
    </xf>
    <xf numFmtId="3" fontId="0" fillId="14" borderId="13" xfId="0" applyNumberFormat="1" applyFill="1" applyBorder="1" applyProtection="1">
      <protection locked="0"/>
    </xf>
    <xf numFmtId="0" fontId="89" fillId="0" borderId="0" xfId="22" applyFont="1" applyAlignment="1" applyProtection="1">
      <alignment vertical="top"/>
      <protection locked="0"/>
    </xf>
    <xf numFmtId="0" fontId="8" fillId="0" borderId="0" xfId="23" applyFont="1" applyProtection="1">
      <protection locked="0"/>
    </xf>
    <xf numFmtId="3" fontId="0" fillId="14" borderId="10" xfId="0" applyNumberFormat="1" applyFill="1" applyBorder="1" applyProtection="1">
      <protection locked="0"/>
    </xf>
    <xf numFmtId="3" fontId="0" fillId="14" borderId="7" xfId="0" applyNumberFormat="1" applyFill="1" applyBorder="1" applyProtection="1">
      <protection locked="0"/>
    </xf>
    <xf numFmtId="3" fontId="0" fillId="14" borderId="0" xfId="0" applyNumberFormat="1" applyFill="1" applyProtection="1">
      <protection locked="0"/>
    </xf>
    <xf numFmtId="0" fontId="129" fillId="0" borderId="0" xfId="48" applyFont="1"/>
    <xf numFmtId="0" fontId="90" fillId="0" borderId="0" xfId="48" applyFont="1"/>
    <xf numFmtId="0" fontId="130" fillId="0" borderId="0" xfId="4" applyFont="1" applyFill="1" applyBorder="1" applyAlignment="1">
      <alignment horizontal="center"/>
    </xf>
    <xf numFmtId="0" fontId="130" fillId="0" borderId="0" xfId="0" applyFont="1" applyFill="1" applyBorder="1" applyAlignment="1">
      <alignment horizontal="center"/>
    </xf>
    <xf numFmtId="0" fontId="130" fillId="0" borderId="31" xfId="0" applyFont="1" applyFill="1" applyBorder="1" applyAlignment="1">
      <alignment horizontal="center"/>
    </xf>
    <xf numFmtId="167" fontId="16" fillId="0" borderId="0" xfId="48" applyNumberFormat="1" applyFont="1" applyFill="1"/>
    <xf numFmtId="3" fontId="8" fillId="14" borderId="12" xfId="12" applyNumberFormat="1" applyFont="1" applyFill="1" applyBorder="1" applyAlignment="1" applyProtection="1">
      <protection locked="0"/>
    </xf>
    <xf numFmtId="3" fontId="8" fillId="14" borderId="12" xfId="40" applyNumberFormat="1" applyFont="1" applyFill="1" applyBorder="1" applyAlignment="1" applyProtection="1">
      <protection locked="0"/>
    </xf>
    <xf numFmtId="3" fontId="0" fillId="2" borderId="13" xfId="0" applyNumberFormat="1" applyFill="1" applyBorder="1" applyProtection="1">
      <protection locked="0"/>
    </xf>
    <xf numFmtId="173" fontId="8" fillId="0" borderId="4" xfId="20" applyNumberFormat="1" applyFont="1" applyFill="1" applyBorder="1" applyAlignment="1" applyProtection="1">
      <alignment horizontal="left"/>
    </xf>
    <xf numFmtId="0" fontId="8" fillId="0" borderId="4" xfId="12" applyFont="1" applyFill="1" applyBorder="1" applyAlignment="1" applyProtection="1">
      <alignment horizontal="left"/>
    </xf>
    <xf numFmtId="0" fontId="0" fillId="58" borderId="0" xfId="0" applyFill="1"/>
    <xf numFmtId="0" fontId="89" fillId="0" borderId="0" xfId="0" applyFont="1"/>
    <xf numFmtId="38" fontId="8" fillId="0" borderId="13" xfId="28" applyNumberFormat="1" applyFont="1" applyBorder="1" applyAlignment="1" applyProtection="1">
      <alignment horizontal="right"/>
    </xf>
    <xf numFmtId="38" fontId="8" fillId="0" borderId="4" xfId="28" applyNumberFormat="1" applyFont="1" applyBorder="1" applyAlignment="1" applyProtection="1">
      <alignment horizontal="right"/>
    </xf>
    <xf numFmtId="38" fontId="8" fillId="0" borderId="7" xfId="28" applyNumberFormat="1" applyFont="1" applyBorder="1" applyAlignment="1" applyProtection="1">
      <alignment horizontal="right"/>
    </xf>
    <xf numFmtId="38" fontId="16" fillId="0" borderId="7" xfId="28" applyNumberFormat="1" applyFont="1" applyBorder="1" applyAlignment="1" applyProtection="1">
      <alignment horizontal="left"/>
    </xf>
    <xf numFmtId="38" fontId="12" fillId="0" borderId="7" xfId="28" applyNumberFormat="1" applyFont="1" applyBorder="1" applyAlignment="1" applyProtection="1">
      <alignment horizontal="right"/>
    </xf>
    <xf numFmtId="0" fontId="8" fillId="0" borderId="12" xfId="28" applyFont="1" applyBorder="1" applyProtection="1"/>
    <xf numFmtId="0" fontId="89" fillId="0" borderId="0" xfId="0" applyFont="1" applyAlignment="1">
      <alignment horizontal="center"/>
    </xf>
    <xf numFmtId="169" fontId="8" fillId="0" borderId="0" xfId="48" applyNumberFormat="1" applyFont="1" applyFill="1" applyProtection="1"/>
    <xf numFmtId="169" fontId="8" fillId="0" borderId="1" xfId="48" applyNumberFormat="1" applyFont="1" applyFill="1" applyBorder="1" applyProtection="1"/>
    <xf numFmtId="173" fontId="8" fillId="0" borderId="0" xfId="12" applyNumberFormat="1" applyFont="1" applyFill="1" applyBorder="1" applyAlignment="1" applyProtection="1">
      <alignment horizontal="center"/>
    </xf>
    <xf numFmtId="3" fontId="8" fillId="0" borderId="0" xfId="12" applyNumberFormat="1" applyFont="1" applyFill="1" applyBorder="1" applyAlignment="1" applyProtection="1">
      <protection locked="0"/>
    </xf>
    <xf numFmtId="3" fontId="8" fillId="14" borderId="9" xfId="12" applyNumberFormat="1" applyFont="1" applyFill="1" applyBorder="1" applyAlignment="1" applyProtection="1">
      <protection locked="0"/>
    </xf>
    <xf numFmtId="3" fontId="8" fillId="14" borderId="3" xfId="12" applyNumberFormat="1" applyFont="1" applyFill="1" applyBorder="1" applyAlignment="1" applyProtection="1">
      <protection locked="0"/>
    </xf>
    <xf numFmtId="172" fontId="8" fillId="0" borderId="7" xfId="12" applyNumberFormat="1" applyFont="1" applyBorder="1" applyAlignment="1" applyProtection="1">
      <alignment horizontal="center"/>
    </xf>
    <xf numFmtId="3" fontId="8" fillId="2" borderId="3" xfId="12" applyNumberFormat="1" applyFont="1" applyFill="1" applyBorder="1" applyAlignment="1" applyProtection="1">
      <protection locked="0"/>
    </xf>
    <xf numFmtId="173" fontId="8" fillId="0" borderId="10" xfId="12" applyNumberFormat="1" applyFont="1" applyBorder="1" applyAlignment="1" applyProtection="1">
      <alignment horizontal="center"/>
    </xf>
    <xf numFmtId="3" fontId="8" fillId="14" borderId="11" xfId="12" applyNumberFormat="1" applyFont="1" applyFill="1" applyBorder="1" applyAlignment="1" applyProtection="1">
      <protection locked="0"/>
    </xf>
    <xf numFmtId="173" fontId="8" fillId="0" borderId="8" xfId="12" applyNumberFormat="1" applyFont="1" applyFill="1" applyBorder="1" applyAlignment="1" applyProtection="1">
      <alignment horizontal="center"/>
    </xf>
    <xf numFmtId="3" fontId="8" fillId="0" borderId="9" xfId="12" applyNumberFormat="1" applyFont="1" applyFill="1" applyBorder="1" applyAlignment="1" applyProtection="1"/>
    <xf numFmtId="3" fontId="8" fillId="0" borderId="9" xfId="12" applyNumberFormat="1" applyFont="1" applyFill="1" applyBorder="1" applyAlignment="1" applyProtection="1">
      <protection locked="0"/>
    </xf>
    <xf numFmtId="3" fontId="8" fillId="2" borderId="9" xfId="12" applyNumberFormat="1" applyFont="1" applyFill="1" applyBorder="1" applyAlignment="1" applyProtection="1">
      <protection locked="0"/>
    </xf>
    <xf numFmtId="3" fontId="8" fillId="2" borderId="10" xfId="12" applyNumberFormat="1" applyFont="1" applyFill="1" applyBorder="1" applyAlignment="1" applyProtection="1">
      <protection locked="0"/>
    </xf>
    <xf numFmtId="0" fontId="14" fillId="0" borderId="0" xfId="0" applyFont="1" applyAlignment="1">
      <alignment horizontal="center"/>
    </xf>
    <xf numFmtId="167" fontId="8" fillId="2" borderId="0" xfId="48" applyNumberFormat="1" applyFont="1" applyFill="1" applyBorder="1" applyProtection="1">
      <protection locked="0"/>
    </xf>
    <xf numFmtId="167" fontId="8" fillId="0" borderId="15" xfId="48" applyNumberFormat="1" applyFont="1" applyFill="1" applyBorder="1" applyProtection="1"/>
    <xf numFmtId="169" fontId="8" fillId="0" borderId="21" xfId="27" applyNumberFormat="1" applyFont="1" applyBorder="1"/>
    <xf numFmtId="3" fontId="8" fillId="0" borderId="8" xfId="0" applyNumberFormat="1" applyFont="1" applyBorder="1"/>
    <xf numFmtId="173" fontId="8" fillId="0" borderId="15" xfId="33" applyNumberFormat="1" applyFont="1" applyBorder="1" applyAlignment="1" applyProtection="1">
      <alignment horizontal="center" vertical="top"/>
    </xf>
    <xf numFmtId="172" fontId="8" fillId="0" borderId="0" xfId="33" applyNumberFormat="1" applyFont="1" applyBorder="1" applyAlignment="1" applyProtection="1">
      <alignment horizontal="center"/>
    </xf>
    <xf numFmtId="172" fontId="8" fillId="0" borderId="7" xfId="33" applyNumberFormat="1" applyFont="1" applyFill="1" applyBorder="1" applyAlignment="1" applyProtection="1">
      <alignment horizontal="center"/>
    </xf>
    <xf numFmtId="172" fontId="8" fillId="0" borderId="4" xfId="33" applyNumberFormat="1" applyFont="1" applyBorder="1" applyAlignment="1" applyProtection="1">
      <alignment horizontal="center"/>
    </xf>
    <xf numFmtId="172" fontId="8" fillId="0" borderId="5" xfId="33" applyNumberFormat="1" applyFont="1" applyBorder="1" applyAlignment="1" applyProtection="1">
      <alignment horizontal="center"/>
    </xf>
    <xf numFmtId="172" fontId="8" fillId="0" borderId="8" xfId="33" applyNumberFormat="1" applyFont="1" applyBorder="1" applyAlignment="1" applyProtection="1">
      <alignment horizontal="center"/>
    </xf>
    <xf numFmtId="172" fontId="8" fillId="0" borderId="9" xfId="33" applyNumberFormat="1" applyFont="1" applyBorder="1" applyAlignment="1" applyProtection="1">
      <alignment horizontal="center"/>
    </xf>
    <xf numFmtId="172" fontId="8" fillId="0" borderId="9" xfId="33" applyNumberFormat="1" applyFont="1" applyFill="1" applyBorder="1" applyAlignment="1" applyProtection="1">
      <alignment horizontal="center"/>
    </xf>
    <xf numFmtId="3" fontId="16" fillId="0" borderId="15" xfId="0" applyNumberFormat="1" applyFont="1" applyFill="1" applyBorder="1" applyAlignment="1" applyProtection="1">
      <protection locked="0"/>
    </xf>
    <xf numFmtId="1" fontId="16" fillId="0" borderId="15" xfId="0" applyNumberFormat="1" applyFont="1" applyFill="1" applyBorder="1" applyAlignment="1" applyProtection="1">
      <alignment horizontal="left"/>
    </xf>
    <xf numFmtId="1" fontId="8" fillId="0" borderId="4" xfId="0" applyNumberFormat="1" applyFont="1" applyBorder="1" applyAlignment="1" applyProtection="1">
      <alignment horizontal="left"/>
    </xf>
    <xf numFmtId="173" fontId="8" fillId="0" borderId="0" xfId="12" applyNumberFormat="1" applyFont="1" applyBorder="1" applyAlignment="1" applyProtection="1">
      <alignment horizontal="left"/>
    </xf>
    <xf numFmtId="0" fontId="0" fillId="0" borderId="0" xfId="0"/>
    <xf numFmtId="3" fontId="8" fillId="0" borderId="7" xfId="33" applyNumberFormat="1" applyFont="1" applyFill="1" applyBorder="1" applyAlignment="1" applyProtection="1"/>
    <xf numFmtId="3" fontId="8" fillId="14" borderId="12" xfId="40" applyNumberFormat="1" applyFont="1" applyFill="1" applyBorder="1" applyAlignment="1" applyProtection="1">
      <alignment vertical="top"/>
      <protection locked="0"/>
    </xf>
    <xf numFmtId="3" fontId="8" fillId="14" borderId="7" xfId="33" applyNumberFormat="1" applyFont="1" applyFill="1" applyBorder="1" applyAlignment="1" applyProtection="1">
      <protection locked="0"/>
    </xf>
    <xf numFmtId="3" fontId="8" fillId="14" borderId="11" xfId="22" applyNumberFormat="1" applyFont="1" applyFill="1" applyBorder="1" applyAlignment="1" applyProtection="1">
      <alignment vertical="top"/>
      <protection locked="0"/>
    </xf>
    <xf numFmtId="3" fontId="8" fillId="14" borderId="1" xfId="22" applyNumberFormat="1" applyFont="1" applyFill="1" applyBorder="1" applyAlignment="1" applyProtection="1">
      <alignment vertical="top"/>
      <protection locked="0"/>
    </xf>
    <xf numFmtId="3" fontId="8" fillId="14" borderId="12" xfId="11" applyNumberFormat="1" applyFont="1" applyFill="1" applyBorder="1" applyAlignment="1" applyProtection="1">
      <protection locked="0"/>
    </xf>
    <xf numFmtId="3" fontId="8" fillId="0" borderId="15" xfId="11" applyNumberFormat="1" applyFont="1" applyFill="1" applyBorder="1" applyAlignment="1" applyProtection="1"/>
    <xf numFmtId="3" fontId="8" fillId="14" borderId="1" xfId="11" applyNumberFormat="1" applyFont="1" applyFill="1" applyBorder="1" applyAlignment="1" applyProtection="1">
      <protection locked="0"/>
    </xf>
    <xf numFmtId="3" fontId="8" fillId="0" borderId="7" xfId="11" applyNumberFormat="1" applyFont="1" applyFill="1" applyBorder="1" applyAlignment="1" applyProtection="1"/>
    <xf numFmtId="3" fontId="8" fillId="0" borderId="9" xfId="23" applyNumberFormat="1" applyFont="1" applyFill="1" applyBorder="1" applyAlignment="1" applyProtection="1"/>
    <xf numFmtId="3" fontId="8" fillId="2" borderId="9" xfId="23" applyNumberFormat="1" applyFont="1" applyFill="1" applyBorder="1" applyAlignment="1" applyProtection="1">
      <protection locked="0"/>
    </xf>
    <xf numFmtId="3" fontId="8" fillId="14" borderId="12" xfId="23" applyNumberFormat="1" applyFont="1" applyFill="1" applyBorder="1" applyAlignment="1" applyProtection="1">
      <protection locked="0"/>
    </xf>
    <xf numFmtId="3" fontId="8" fillId="0" borderId="6" xfId="13" applyNumberFormat="1" applyFont="1" applyFill="1" applyBorder="1" applyAlignment="1" applyProtection="1"/>
    <xf numFmtId="3" fontId="0" fillId="14" borderId="11" xfId="0" applyNumberFormat="1" applyFill="1" applyBorder="1" applyProtection="1">
      <protection locked="0"/>
    </xf>
    <xf numFmtId="3" fontId="0" fillId="0" borderId="12" xfId="0" applyNumberFormat="1" applyBorder="1"/>
    <xf numFmtId="0" fontId="0" fillId="0" borderId="6" xfId="0" applyBorder="1"/>
    <xf numFmtId="3" fontId="8" fillId="0" borderId="8" xfId="19" applyNumberFormat="1" applyFont="1" applyFill="1" applyBorder="1" applyAlignment="1" applyProtection="1">
      <alignment vertical="top"/>
    </xf>
    <xf numFmtId="3" fontId="8" fillId="14" borderId="12" xfId="20" applyNumberFormat="1" applyFont="1" applyFill="1" applyBorder="1" applyAlignment="1" applyProtection="1">
      <protection locked="0"/>
    </xf>
    <xf numFmtId="173" fontId="8" fillId="0" borderId="8" xfId="23" applyNumberFormat="1" applyFont="1" applyFill="1" applyBorder="1" applyAlignment="1" applyProtection="1">
      <alignment horizontal="center"/>
    </xf>
    <xf numFmtId="0" fontId="8" fillId="0" borderId="0" xfId="0" applyFont="1" applyProtection="1"/>
    <xf numFmtId="0" fontId="16" fillId="0" borderId="0" xfId="0" applyFont="1" applyFill="1" applyProtection="1"/>
    <xf numFmtId="3" fontId="8" fillId="0" borderId="4" xfId="15" applyNumberFormat="1" applyFont="1" applyFill="1" applyBorder="1" applyAlignment="1" applyProtection="1"/>
    <xf numFmtId="3" fontId="8" fillId="0" borderId="7" xfId="15" applyNumberFormat="1" applyFont="1" applyFill="1" applyBorder="1" applyAlignment="1" applyProtection="1"/>
    <xf numFmtId="0" fontId="8" fillId="0" borderId="5" xfId="17" applyFont="1" applyBorder="1" applyAlignment="1" applyProtection="1">
      <alignment horizontal="left" vertical="top"/>
    </xf>
    <xf numFmtId="0" fontId="8" fillId="0" borderId="8" xfId="17" applyFont="1" applyBorder="1" applyAlignment="1" applyProtection="1">
      <alignment horizontal="left" vertical="top"/>
    </xf>
    <xf numFmtId="0" fontId="8" fillId="0" borderId="10" xfId="17" applyFont="1" applyBorder="1" applyAlignment="1" applyProtection="1">
      <alignment horizontal="left" vertical="top"/>
    </xf>
    <xf numFmtId="3" fontId="8" fillId="14" borderId="11" xfId="17" applyNumberFormat="1" applyFont="1" applyFill="1" applyBorder="1" applyAlignment="1" applyProtection="1">
      <alignment vertical="top"/>
      <protection locked="0"/>
    </xf>
    <xf numFmtId="3" fontId="8" fillId="0" borderId="6" xfId="17" applyNumberFormat="1" applyFont="1" applyFill="1" applyBorder="1" applyAlignment="1" applyProtection="1">
      <alignment vertical="top"/>
    </xf>
    <xf numFmtId="3" fontId="8" fillId="0" borderId="7" xfId="17" applyNumberFormat="1" applyFont="1" applyFill="1" applyBorder="1" applyAlignment="1" applyProtection="1">
      <alignment vertical="top"/>
    </xf>
    <xf numFmtId="3" fontId="8" fillId="0" borderId="4" xfId="17" applyNumberFormat="1" applyFont="1" applyFill="1" applyBorder="1" applyAlignment="1" applyProtection="1">
      <alignment vertical="top"/>
    </xf>
    <xf numFmtId="3" fontId="8" fillId="0" borderId="9" xfId="17" applyNumberFormat="1" applyFont="1" applyFill="1" applyBorder="1" applyAlignment="1" applyProtection="1">
      <alignment vertical="top"/>
    </xf>
    <xf numFmtId="0" fontId="0" fillId="0" borderId="7" xfId="0" applyBorder="1" applyProtection="1"/>
    <xf numFmtId="0" fontId="16" fillId="26" borderId="0" xfId="0" applyFont="1" applyFill="1" applyProtection="1"/>
    <xf numFmtId="0" fontId="0" fillId="0" borderId="1" xfId="0" applyBorder="1"/>
    <xf numFmtId="3" fontId="8" fillId="2" borderId="7" xfId="30" applyNumberFormat="1" applyFont="1" applyFill="1" applyBorder="1" applyAlignment="1" applyProtection="1">
      <alignment vertical="top"/>
      <protection locked="0"/>
    </xf>
    <xf numFmtId="3" fontId="8" fillId="2" borderId="9" xfId="30" applyNumberFormat="1" applyFont="1" applyFill="1" applyBorder="1" applyAlignment="1" applyProtection="1">
      <alignment vertical="top"/>
      <protection locked="0"/>
    </xf>
    <xf numFmtId="0" fontId="8" fillId="0" borderId="5" xfId="30" applyFont="1" applyBorder="1" applyAlignment="1" applyProtection="1">
      <alignment vertical="top"/>
    </xf>
    <xf numFmtId="0" fontId="8" fillId="0" borderId="10" xfId="30" applyFont="1" applyBorder="1" applyAlignment="1" applyProtection="1">
      <alignment vertical="top"/>
    </xf>
    <xf numFmtId="3" fontId="8" fillId="2" borderId="1" xfId="30" applyNumberFormat="1" applyFont="1" applyFill="1" applyBorder="1" applyAlignment="1" applyProtection="1">
      <alignment vertical="top"/>
      <protection locked="0"/>
    </xf>
    <xf numFmtId="0" fontId="8" fillId="0" borderId="5" xfId="30" applyFont="1" applyFill="1" applyBorder="1" applyAlignment="1" applyProtection="1">
      <alignment vertical="top"/>
    </xf>
    <xf numFmtId="0" fontId="8" fillId="0" borderId="4" xfId="30" applyFont="1" applyFill="1" applyBorder="1" applyAlignment="1" applyProtection="1">
      <alignment horizontal="center" vertical="top"/>
    </xf>
    <xf numFmtId="3" fontId="8" fillId="0" borderId="15" xfId="30" applyNumberFormat="1" applyFont="1" applyFill="1" applyBorder="1" applyAlignment="1" applyProtection="1">
      <alignment vertical="top"/>
    </xf>
    <xf numFmtId="3" fontId="8" fillId="0" borderId="4" xfId="30" applyNumberFormat="1" applyFont="1" applyFill="1" applyBorder="1" applyAlignment="1" applyProtection="1">
      <alignment vertical="top"/>
    </xf>
    <xf numFmtId="3" fontId="8" fillId="0" borderId="0" xfId="30" applyNumberFormat="1" applyFont="1" applyFill="1" applyBorder="1" applyAlignment="1" applyProtection="1">
      <alignment vertical="top"/>
    </xf>
    <xf numFmtId="3" fontId="8" fillId="0" borderId="7" xfId="30" applyNumberFormat="1" applyFont="1" applyFill="1" applyBorder="1" applyAlignment="1" applyProtection="1">
      <alignment vertical="top"/>
    </xf>
    <xf numFmtId="1" fontId="8" fillId="0" borderId="4" xfId="30" applyNumberFormat="1" applyFont="1" applyBorder="1" applyAlignment="1" applyProtection="1">
      <alignment horizontal="left" vertical="center"/>
    </xf>
    <xf numFmtId="0" fontId="0" fillId="0" borderId="0" xfId="0"/>
    <xf numFmtId="3" fontId="8" fillId="0" borderId="4" xfId="33" applyNumberFormat="1" applyFont="1" applyFill="1" applyBorder="1" applyAlignment="1" applyProtection="1"/>
    <xf numFmtId="3" fontId="16" fillId="0" borderId="9" xfId="0" applyNumberFormat="1" applyFont="1" applyFill="1" applyBorder="1" applyAlignment="1" applyProtection="1"/>
    <xf numFmtId="164" fontId="8" fillId="0" borderId="0" xfId="39" applyNumberFormat="1" applyFont="1" applyProtection="1"/>
    <xf numFmtId="3" fontId="8" fillId="0" borderId="12" xfId="39" applyNumberFormat="1" applyFont="1" applyFill="1" applyBorder="1" applyAlignment="1" applyProtection="1"/>
    <xf numFmtId="3" fontId="8" fillId="0" borderId="4" xfId="39" applyNumberFormat="1" applyFont="1" applyFill="1" applyBorder="1" applyAlignment="1" applyProtection="1"/>
    <xf numFmtId="3" fontId="8" fillId="0" borderId="7" xfId="39" applyNumberFormat="1" applyFont="1" applyFill="1" applyBorder="1" applyAlignment="1" applyProtection="1"/>
    <xf numFmtId="172" fontId="8" fillId="0" borderId="7" xfId="30" applyNumberFormat="1" applyFont="1" applyBorder="1" applyAlignment="1" applyProtection="1">
      <alignment horizontal="center"/>
    </xf>
    <xf numFmtId="0" fontId="0" fillId="26" borderId="1" xfId="0" applyFill="1" applyBorder="1"/>
    <xf numFmtId="0" fontId="0" fillId="0" borderId="0" xfId="0" applyBorder="1" applyAlignment="1"/>
    <xf numFmtId="0" fontId="47" fillId="0" borderId="0" xfId="0" applyFont="1" applyAlignment="1">
      <alignment horizontal="center"/>
    </xf>
    <xf numFmtId="0" fontId="0" fillId="25" borderId="4" xfId="0" applyFill="1" applyBorder="1" applyProtection="1"/>
    <xf numFmtId="0" fontId="0" fillId="25" borderId="12" xfId="0" applyFill="1" applyBorder="1" applyProtection="1"/>
    <xf numFmtId="0" fontId="0" fillId="25" borderId="13" xfId="0" applyFill="1" applyBorder="1" applyAlignment="1" applyProtection="1">
      <alignment horizontal="center"/>
    </xf>
    <xf numFmtId="0" fontId="0" fillId="25" borderId="12" xfId="0" applyFill="1" applyBorder="1" applyAlignment="1" applyProtection="1">
      <alignment horizontal="center"/>
    </xf>
    <xf numFmtId="0" fontId="0" fillId="0" borderId="13" xfId="0" applyBorder="1" applyProtection="1"/>
    <xf numFmtId="3" fontId="0" fillId="0" borderId="13" xfId="0" applyNumberFormat="1" applyBorder="1" applyProtection="1"/>
    <xf numFmtId="169" fontId="0" fillId="0" borderId="13" xfId="0" applyNumberFormat="1" applyBorder="1" applyProtection="1"/>
    <xf numFmtId="0" fontId="8" fillId="0" borderId="0" xfId="48" applyFont="1" applyAlignment="1" applyProtection="1"/>
    <xf numFmtId="0" fontId="89" fillId="0" borderId="0" xfId="33" applyFont="1" applyAlignment="1" applyProtection="1">
      <alignment vertical="top"/>
    </xf>
    <xf numFmtId="0" fontId="0" fillId="0" borderId="0" xfId="0"/>
    <xf numFmtId="173" fontId="8" fillId="0" borderId="13" xfId="12" applyNumberFormat="1" applyFont="1" applyFill="1" applyBorder="1" applyAlignment="1" applyProtection="1">
      <alignment horizontal="center"/>
    </xf>
    <xf numFmtId="3" fontId="8" fillId="14" borderId="12" xfId="30" applyNumberFormat="1" applyFont="1" applyFill="1" applyBorder="1" applyAlignment="1" applyProtection="1">
      <protection locked="0"/>
    </xf>
    <xf numFmtId="3" fontId="89" fillId="0" borderId="0" xfId="33" applyNumberFormat="1" applyFont="1" applyFill="1" applyBorder="1" applyAlignment="1" applyProtection="1">
      <alignment vertical="top"/>
    </xf>
    <xf numFmtId="3" fontId="12" fillId="0" borderId="9" xfId="27" applyNumberFormat="1" applyFont="1" applyBorder="1" applyAlignment="1" applyProtection="1"/>
    <xf numFmtId="3" fontId="16" fillId="11" borderId="9" xfId="27" applyNumberFormat="1" applyFont="1" applyFill="1" applyBorder="1" applyAlignment="1" applyProtection="1"/>
    <xf numFmtId="3" fontId="16" fillId="59" borderId="7" xfId="27" applyNumberFormat="1" applyFont="1" applyFill="1" applyBorder="1" applyAlignment="1" applyProtection="1"/>
    <xf numFmtId="0" fontId="89" fillId="0" borderId="0" xfId="8" applyFont="1" applyFill="1" applyBorder="1" applyAlignment="1" applyProtection="1">
      <alignment vertical="top"/>
      <protection locked="0"/>
    </xf>
    <xf numFmtId="0" fontId="8" fillId="0" borderId="0" xfId="17" applyFont="1" applyFill="1" applyBorder="1" applyAlignment="1" applyProtection="1">
      <alignment horizontal="center" vertical="top"/>
    </xf>
    <xf numFmtId="3" fontId="8" fillId="0" borderId="0" xfId="17" applyNumberFormat="1" applyFont="1" applyFill="1" applyBorder="1" applyAlignment="1" applyProtection="1">
      <alignment vertical="top"/>
      <protection locked="0"/>
    </xf>
    <xf numFmtId="3" fontId="8" fillId="0" borderId="15" xfId="30" applyNumberFormat="1" applyFont="1" applyBorder="1" applyAlignment="1" applyProtection="1">
      <alignment vertical="top"/>
    </xf>
    <xf numFmtId="3" fontId="8" fillId="2" borderId="14" xfId="30" applyNumberFormat="1" applyFont="1" applyFill="1" applyBorder="1" applyAlignment="1" applyProtection="1">
      <alignment vertical="top"/>
      <protection locked="0"/>
    </xf>
    <xf numFmtId="3" fontId="8" fillId="2" borderId="15" xfId="30" applyNumberFormat="1" applyFont="1" applyFill="1" applyBorder="1" applyAlignment="1" applyProtection="1">
      <alignment vertical="top"/>
      <protection locked="0"/>
    </xf>
    <xf numFmtId="3" fontId="8" fillId="0" borderId="15" xfId="30" applyNumberFormat="1" applyFont="1" applyBorder="1" applyAlignment="1" applyProtection="1"/>
    <xf numFmtId="3" fontId="8" fillId="14" borderId="1" xfId="30" applyNumberFormat="1" applyFont="1" applyFill="1" applyBorder="1" applyAlignment="1" applyProtection="1">
      <protection locked="0"/>
    </xf>
    <xf numFmtId="0" fontId="89" fillId="0" borderId="0" xfId="8" applyFont="1" applyFill="1" applyAlignment="1" applyProtection="1">
      <alignment vertical="top"/>
      <protection locked="0"/>
    </xf>
    <xf numFmtId="3" fontId="8" fillId="26" borderId="13" xfId="24" applyNumberFormat="1" applyFont="1" applyFill="1" applyBorder="1" applyAlignment="1" applyProtection="1"/>
    <xf numFmtId="0" fontId="97" fillId="0" borderId="1" xfId="26" applyFont="1" applyFill="1" applyBorder="1" applyAlignment="1" applyProtection="1">
      <alignment horizontal="center"/>
    </xf>
    <xf numFmtId="0" fontId="97" fillId="0" borderId="1" xfId="42" applyFont="1" applyBorder="1" applyAlignment="1" applyProtection="1">
      <alignment horizontal="center"/>
    </xf>
    <xf numFmtId="0" fontId="99" fillId="0" borderId="0" xfId="48" applyFont="1"/>
    <xf numFmtId="0" fontId="8" fillId="0" borderId="12" xfId="12" applyFont="1" applyFill="1" applyBorder="1" applyAlignment="1" applyProtection="1">
      <alignment horizontal="center"/>
    </xf>
    <xf numFmtId="0" fontId="8" fillId="0" borderId="13" xfId="12" applyFont="1" applyFill="1" applyBorder="1" applyAlignment="1" applyProtection="1">
      <alignment horizontal="center"/>
    </xf>
    <xf numFmtId="0" fontId="89" fillId="0" borderId="0" xfId="16" applyFont="1" applyProtection="1">
      <protection locked="0"/>
    </xf>
    <xf numFmtId="3" fontId="8" fillId="0" borderId="12" xfId="22" applyNumberFormat="1" applyFont="1" applyFill="1" applyBorder="1" applyAlignment="1" applyProtection="1">
      <alignment horizontal="right" vertical="top"/>
    </xf>
    <xf numFmtId="37" fontId="8" fillId="14" borderId="7" xfId="33" applyNumberFormat="1" applyFont="1" applyFill="1" applyBorder="1" applyAlignment="1" applyProtection="1">
      <alignment horizontal="right"/>
      <protection locked="0"/>
    </xf>
    <xf numFmtId="37" fontId="8" fillId="14" borderId="0" xfId="33" applyNumberFormat="1" applyFont="1" applyFill="1" applyBorder="1" applyAlignment="1" applyProtection="1">
      <alignment horizontal="right"/>
      <protection locked="0"/>
    </xf>
    <xf numFmtId="37" fontId="8" fillId="14" borderId="12" xfId="33" applyNumberFormat="1" applyFont="1" applyFill="1" applyBorder="1" applyAlignment="1" applyProtection="1">
      <alignment horizontal="right"/>
      <protection locked="0"/>
    </xf>
    <xf numFmtId="37" fontId="8" fillId="14" borderId="13" xfId="33" applyNumberFormat="1" applyFont="1" applyFill="1" applyBorder="1" applyAlignment="1" applyProtection="1">
      <alignment horizontal="right"/>
      <protection locked="0"/>
    </xf>
    <xf numFmtId="37" fontId="8" fillId="0" borderId="7" xfId="33" applyNumberFormat="1" applyFont="1" applyBorder="1" applyAlignment="1" applyProtection="1">
      <alignment horizontal="right"/>
    </xf>
    <xf numFmtId="37" fontId="8" fillId="0" borderId="0" xfId="33" applyNumberFormat="1" applyFont="1" applyBorder="1" applyAlignment="1" applyProtection="1">
      <alignment horizontal="right"/>
    </xf>
    <xf numFmtId="37" fontId="8" fillId="0" borderId="7" xfId="33" applyNumberFormat="1" applyFont="1" applyFill="1" applyBorder="1" applyAlignment="1" applyProtection="1">
      <alignment horizontal="right"/>
    </xf>
    <xf numFmtId="37" fontId="8" fillId="14" borderId="11" xfId="33" applyNumberFormat="1" applyFont="1" applyFill="1" applyBorder="1" applyAlignment="1" applyProtection="1">
      <alignment horizontal="right"/>
      <protection locked="0"/>
    </xf>
    <xf numFmtId="37" fontId="8" fillId="14" borderId="8" xfId="33" applyNumberFormat="1" applyFont="1" applyFill="1" applyBorder="1" applyAlignment="1" applyProtection="1">
      <alignment horizontal="right"/>
      <protection locked="0"/>
    </xf>
    <xf numFmtId="37" fontId="8" fillId="14" borderId="3" xfId="33" applyNumberFormat="1" applyFont="1" applyFill="1" applyBorder="1" applyAlignment="1" applyProtection="1">
      <alignment horizontal="right"/>
      <protection locked="0"/>
    </xf>
    <xf numFmtId="37" fontId="8" fillId="0" borderId="8" xfId="33" applyNumberFormat="1" applyFont="1" applyBorder="1" applyAlignment="1" applyProtection="1">
      <alignment horizontal="right"/>
    </xf>
    <xf numFmtId="37" fontId="8" fillId="0" borderId="9" xfId="33" applyNumberFormat="1" applyFont="1" applyFill="1" applyBorder="1" applyAlignment="1" applyProtection="1">
      <alignment horizontal="right"/>
    </xf>
    <xf numFmtId="37" fontId="8" fillId="14" borderId="9" xfId="33" applyNumberFormat="1" applyFont="1" applyFill="1" applyBorder="1" applyAlignment="1" applyProtection="1">
      <alignment horizontal="right"/>
      <protection locked="0"/>
    </xf>
    <xf numFmtId="37" fontId="8" fillId="14" borderId="2" xfId="33" applyNumberFormat="1" applyFont="1" applyFill="1" applyBorder="1" applyAlignment="1" applyProtection="1">
      <alignment horizontal="right"/>
      <protection locked="0"/>
    </xf>
    <xf numFmtId="37" fontId="8" fillId="0" borderId="9" xfId="33" applyNumberFormat="1" applyFont="1" applyBorder="1" applyAlignment="1" applyProtection="1">
      <alignment horizontal="right"/>
    </xf>
    <xf numFmtId="173" fontId="8" fillId="0" borderId="10" xfId="12" applyNumberFormat="1" applyFont="1" applyFill="1" applyBorder="1" applyAlignment="1" applyProtection="1">
      <alignment horizontal="center"/>
    </xf>
    <xf numFmtId="173" fontId="8" fillId="0" borderId="2" xfId="12" applyNumberFormat="1" applyFont="1" applyFill="1" applyBorder="1" applyAlignment="1" applyProtection="1">
      <alignment horizontal="center"/>
    </xf>
    <xf numFmtId="0" fontId="8" fillId="0" borderId="10" xfId="12" applyFont="1" applyFill="1" applyBorder="1" applyAlignment="1" applyProtection="1">
      <alignment horizontal="center"/>
    </xf>
    <xf numFmtId="173" fontId="8" fillId="0" borderId="12" xfId="33" applyNumberFormat="1" applyFont="1" applyFill="1" applyBorder="1" applyAlignment="1" applyProtection="1">
      <alignment horizontal="center"/>
    </xf>
    <xf numFmtId="173" fontId="8" fillId="0" borderId="13" xfId="33" applyNumberFormat="1" applyFont="1" applyFill="1" applyBorder="1" applyAlignment="1" applyProtection="1">
      <alignment horizontal="center"/>
    </xf>
    <xf numFmtId="173" fontId="8" fillId="0" borderId="5" xfId="33" applyNumberFormat="1" applyFont="1" applyFill="1" applyBorder="1" applyAlignment="1" applyProtection="1">
      <alignment horizontal="center"/>
    </xf>
    <xf numFmtId="1" fontId="8" fillId="0" borderId="10" xfId="40" applyNumberFormat="1" applyFont="1" applyFill="1" applyBorder="1" applyAlignment="1" applyProtection="1">
      <alignment horizontal="center" vertical="top"/>
    </xf>
    <xf numFmtId="1" fontId="8" fillId="0" borderId="2" xfId="40" applyNumberFormat="1" applyFont="1" applyFill="1" applyBorder="1" applyAlignment="1" applyProtection="1">
      <alignment horizontal="center" vertical="top"/>
    </xf>
    <xf numFmtId="1" fontId="8" fillId="0" borderId="8" xfId="40" applyNumberFormat="1" applyFont="1" applyFill="1" applyBorder="1" applyAlignment="1" applyProtection="1">
      <alignment horizontal="center" vertical="top"/>
    </xf>
    <xf numFmtId="1" fontId="8" fillId="0" borderId="5" xfId="40" applyNumberFormat="1" applyFont="1" applyFill="1" applyBorder="1" applyAlignment="1" applyProtection="1">
      <alignment horizontal="center" vertical="top"/>
    </xf>
    <xf numFmtId="1" fontId="8" fillId="0" borderId="10" xfId="40" applyNumberFormat="1" applyFont="1" applyFill="1" applyBorder="1" applyAlignment="1" applyProtection="1">
      <alignment horizontal="center"/>
    </xf>
    <xf numFmtId="173" fontId="8" fillId="0" borderId="2" xfId="22" applyNumberFormat="1" applyFont="1" applyFill="1" applyBorder="1" applyAlignment="1" applyProtection="1">
      <alignment horizontal="center" vertical="top"/>
    </xf>
    <xf numFmtId="173" fontId="8" fillId="0" borderId="5" xfId="22" applyNumberFormat="1" applyFont="1" applyFill="1" applyBorder="1" applyAlignment="1" applyProtection="1">
      <alignment horizontal="center" vertical="top"/>
    </xf>
    <xf numFmtId="0" fontId="8" fillId="0" borderId="10" xfId="11" applyFont="1" applyFill="1" applyBorder="1" applyAlignment="1" applyProtection="1">
      <alignment horizontal="center" vertical="center"/>
    </xf>
    <xf numFmtId="0" fontId="8" fillId="0" borderId="2" xfId="11" applyFont="1" applyFill="1" applyBorder="1" applyAlignment="1" applyProtection="1">
      <alignment horizontal="center" vertical="center"/>
    </xf>
    <xf numFmtId="0" fontId="8" fillId="0" borderId="5" xfId="11" applyFont="1" applyFill="1" applyBorder="1" applyAlignment="1" applyProtection="1">
      <alignment horizontal="center" vertical="center"/>
    </xf>
    <xf numFmtId="0" fontId="8" fillId="0" borderId="10" xfId="13" applyFont="1" applyFill="1" applyBorder="1" applyAlignment="1" applyProtection="1">
      <alignment horizontal="center" vertical="center"/>
    </xf>
    <xf numFmtId="0" fontId="8" fillId="0" borderId="2" xfId="13" applyFont="1" applyFill="1" applyBorder="1" applyAlignment="1" applyProtection="1">
      <alignment horizontal="center" vertical="center"/>
    </xf>
    <xf numFmtId="0" fontId="8" fillId="0" borderId="5" xfId="13" applyFont="1" applyFill="1" applyBorder="1" applyAlignment="1" applyProtection="1">
      <alignment horizontal="center" vertical="center"/>
    </xf>
    <xf numFmtId="0" fontId="8" fillId="0" borderId="2" xfId="13" applyFont="1" applyFill="1" applyBorder="1" applyAlignment="1" applyProtection="1">
      <alignment horizontal="center"/>
    </xf>
    <xf numFmtId="0" fontId="0" fillId="0" borderId="2" xfId="0" applyFill="1" applyBorder="1" applyAlignment="1">
      <alignment horizontal="center"/>
    </xf>
    <xf numFmtId="0" fontId="8" fillId="0" borderId="10" xfId="15" applyFont="1" applyFill="1" applyBorder="1" applyAlignment="1" applyProtection="1">
      <alignment horizontal="center" vertical="center"/>
    </xf>
    <xf numFmtId="0" fontId="8" fillId="0" borderId="2" xfId="15" applyFont="1" applyFill="1" applyBorder="1" applyAlignment="1" applyProtection="1">
      <alignment horizontal="center" vertical="center"/>
    </xf>
    <xf numFmtId="0" fontId="8" fillId="0" borderId="5" xfId="15" applyFont="1" applyFill="1" applyBorder="1" applyAlignment="1" applyProtection="1">
      <alignment horizontal="center" vertical="center"/>
    </xf>
    <xf numFmtId="0" fontId="8" fillId="0" borderId="2" xfId="15" applyFont="1" applyFill="1" applyBorder="1" applyAlignment="1" applyProtection="1">
      <alignment horizontal="center"/>
    </xf>
    <xf numFmtId="0" fontId="8" fillId="0" borderId="10" xfId="17" applyFont="1" applyFill="1" applyBorder="1" applyAlignment="1" applyProtection="1">
      <alignment horizontal="center" vertical="top"/>
    </xf>
    <xf numFmtId="0" fontId="8" fillId="0" borderId="8" xfId="17" applyFont="1" applyFill="1" applyBorder="1" applyAlignment="1" applyProtection="1">
      <alignment horizontal="center" vertical="top"/>
    </xf>
    <xf numFmtId="0" fontId="8" fillId="0" borderId="2" xfId="17" applyFont="1" applyFill="1" applyBorder="1" applyAlignment="1" applyProtection="1">
      <alignment horizontal="center" vertical="top"/>
    </xf>
    <xf numFmtId="0" fontId="8" fillId="0" borderId="10" xfId="18" applyFont="1" applyFill="1" applyBorder="1" applyAlignment="1" applyProtection="1">
      <alignment horizontal="center" vertical="top"/>
    </xf>
    <xf numFmtId="0" fontId="8" fillId="0" borderId="2" xfId="18" applyFont="1" applyFill="1" applyBorder="1" applyAlignment="1" applyProtection="1">
      <alignment horizontal="center" vertical="top"/>
    </xf>
    <xf numFmtId="173" fontId="8" fillId="0" borderId="8" xfId="20" applyNumberFormat="1" applyFont="1" applyFill="1" applyBorder="1" applyAlignment="1" applyProtection="1">
      <alignment horizontal="center"/>
    </xf>
    <xf numFmtId="173" fontId="8" fillId="0" borderId="5" xfId="20" applyNumberFormat="1" applyFont="1" applyFill="1" applyBorder="1" applyAlignment="1" applyProtection="1">
      <alignment horizontal="center"/>
    </xf>
    <xf numFmtId="173" fontId="8" fillId="0" borderId="2" xfId="20" applyNumberFormat="1" applyFont="1" applyFill="1" applyBorder="1" applyAlignment="1" applyProtection="1">
      <alignment horizontal="center"/>
    </xf>
    <xf numFmtId="173" fontId="8" fillId="0" borderId="2" xfId="30" applyNumberFormat="1" applyFont="1" applyFill="1" applyBorder="1" applyAlignment="1" applyProtection="1">
      <alignment horizontal="center" vertical="top"/>
    </xf>
    <xf numFmtId="173" fontId="8" fillId="0" borderId="5" xfId="30" applyNumberFormat="1" applyFont="1" applyFill="1" applyBorder="1" applyAlignment="1" applyProtection="1">
      <alignment horizontal="center" vertical="top"/>
    </xf>
    <xf numFmtId="1" fontId="8" fillId="0" borderId="13" xfId="30" applyNumberFormat="1" applyFont="1" applyFill="1" applyBorder="1" applyAlignment="1" applyProtection="1">
      <alignment horizontal="left"/>
    </xf>
    <xf numFmtId="0" fontId="8" fillId="0" borderId="12" xfId="30" applyFont="1" applyFill="1" applyBorder="1" applyAlignment="1" applyProtection="1">
      <alignment horizontal="center" vertical="top"/>
    </xf>
    <xf numFmtId="0" fontId="8" fillId="0" borderId="8" xfId="30" applyFont="1" applyFill="1" applyBorder="1" applyAlignment="1" applyProtection="1">
      <alignment horizontal="center" vertical="top"/>
    </xf>
    <xf numFmtId="0" fontId="8" fillId="0" borderId="5" xfId="30" applyFont="1" applyFill="1" applyBorder="1" applyAlignment="1" applyProtection="1">
      <alignment horizontal="center" vertical="top"/>
    </xf>
    <xf numFmtId="0" fontId="8" fillId="0" borderId="10" xfId="39" applyFont="1" applyFill="1" applyBorder="1" applyAlignment="1" applyProtection="1">
      <alignment horizontal="center"/>
    </xf>
    <xf numFmtId="0" fontId="8" fillId="0" borderId="5" xfId="39" applyFont="1" applyFill="1" applyBorder="1" applyAlignment="1" applyProtection="1">
      <alignment horizontal="center"/>
    </xf>
    <xf numFmtId="1" fontId="8" fillId="0" borderId="0" xfId="48" applyNumberFormat="1" applyFont="1" applyFill="1" applyBorder="1" applyAlignment="1" applyProtection="1">
      <alignment horizontal="right"/>
      <protection locked="0"/>
    </xf>
    <xf numFmtId="1" fontId="8" fillId="0" borderId="0" xfId="48" applyNumberFormat="1" applyFont="1"/>
    <xf numFmtId="37" fontId="8" fillId="14" borderId="10" xfId="33" applyNumberFormat="1" applyFont="1" applyFill="1" applyBorder="1" applyAlignment="1" applyProtection="1">
      <alignment horizontal="right"/>
      <protection locked="0"/>
    </xf>
    <xf numFmtId="181" fontId="132" fillId="0" borderId="0" xfId="0" applyNumberFormat="1" applyFont="1"/>
    <xf numFmtId="10" fontId="0" fillId="0" borderId="0" xfId="0" applyNumberFormat="1"/>
    <xf numFmtId="10" fontId="0" fillId="0" borderId="13" xfId="0" applyNumberFormat="1" applyBorder="1" applyProtection="1"/>
    <xf numFmtId="38" fontId="0" fillId="0" borderId="3" xfId="0" applyNumberFormat="1" applyBorder="1"/>
    <xf numFmtId="38" fontId="0" fillId="0" borderId="13" xfId="0" applyNumberFormat="1" applyBorder="1"/>
    <xf numFmtId="3" fontId="8" fillId="2" borderId="23" xfId="27" applyNumberFormat="1" applyFont="1" applyFill="1" applyBorder="1" applyProtection="1">
      <protection locked="0"/>
    </xf>
    <xf numFmtId="3" fontId="16" fillId="3" borderId="13" xfId="40" applyNumberFormat="1" applyFont="1" applyFill="1" applyBorder="1" applyAlignment="1" applyProtection="1">
      <alignment horizontal="right"/>
      <protection locked="0"/>
    </xf>
    <xf numFmtId="0" fontId="89" fillId="0" borderId="0" xfId="48" applyFont="1" applyProtection="1"/>
    <xf numFmtId="0" fontId="8" fillId="0" borderId="0" xfId="48" quotePrefix="1" applyFont="1" applyAlignment="1">
      <alignment horizontal="center"/>
    </xf>
    <xf numFmtId="0" fontId="0" fillId="0" borderId="0" xfId="0"/>
    <xf numFmtId="3" fontId="8" fillId="14" borderId="12" xfId="33" applyNumberFormat="1" applyFont="1" applyFill="1" applyBorder="1" applyAlignment="1" applyProtection="1">
      <protection locked="0"/>
    </xf>
    <xf numFmtId="3" fontId="16" fillId="14" borderId="12" xfId="0" applyNumberFormat="1" applyFont="1" applyFill="1" applyBorder="1" applyAlignment="1" applyProtection="1">
      <protection locked="0"/>
    </xf>
    <xf numFmtId="0" fontId="0" fillId="14" borderId="12" xfId="0" applyFill="1" applyBorder="1" applyProtection="1">
      <protection locked="0"/>
    </xf>
    <xf numFmtId="0" fontId="8" fillId="59" borderId="12" xfId="0" applyFont="1" applyFill="1" applyBorder="1" applyAlignment="1">
      <alignment horizontal="center"/>
    </xf>
    <xf numFmtId="3" fontId="8" fillId="14" borderId="12" xfId="15" applyNumberFormat="1" applyFont="1" applyFill="1" applyBorder="1" applyAlignment="1" applyProtection="1">
      <protection locked="0"/>
    </xf>
    <xf numFmtId="0" fontId="0" fillId="26" borderId="13" xfId="0" applyFill="1" applyBorder="1" applyAlignment="1">
      <alignment horizontal="center"/>
    </xf>
    <xf numFmtId="3" fontId="0" fillId="0" borderId="12" xfId="0" applyNumberFormat="1" applyFill="1" applyBorder="1"/>
    <xf numFmtId="38" fontId="8" fillId="14" borderId="12" xfId="33" applyNumberFormat="1" applyFont="1" applyFill="1" applyBorder="1" applyAlignment="1" applyProtection="1">
      <alignment horizontal="right"/>
      <protection locked="0"/>
    </xf>
    <xf numFmtId="38" fontId="8" fillId="2" borderId="12" xfId="19" applyNumberFormat="1" applyFont="1" applyFill="1" applyBorder="1" applyAlignment="1" applyProtection="1">
      <alignment horizontal="right" vertical="top"/>
      <protection locked="0"/>
    </xf>
    <xf numFmtId="38" fontId="8" fillId="14" borderId="12" xfId="22" applyNumberFormat="1" applyFont="1" applyFill="1" applyBorder="1" applyAlignment="1" applyProtection="1">
      <alignment vertical="top"/>
      <protection locked="0"/>
    </xf>
    <xf numFmtId="38" fontId="16" fillId="14" borderId="12" xfId="0" applyNumberFormat="1" applyFont="1" applyFill="1" applyBorder="1" applyAlignment="1" applyProtection="1">
      <alignment horizontal="right"/>
      <protection locked="0"/>
    </xf>
    <xf numFmtId="3" fontId="8" fillId="14" borderId="12" xfId="30" applyNumberFormat="1" applyFont="1" applyFill="1" applyBorder="1" applyAlignment="1" applyProtection="1">
      <alignment vertical="top"/>
      <protection locked="0"/>
    </xf>
    <xf numFmtId="38" fontId="8" fillId="14" borderId="13" xfId="33" applyNumberFormat="1" applyFont="1" applyFill="1" applyBorder="1" applyAlignment="1" applyProtection="1">
      <alignment horizontal="right"/>
      <protection locked="0"/>
    </xf>
    <xf numFmtId="3" fontId="8" fillId="14" borderId="12" xfId="39" applyNumberFormat="1" applyFont="1" applyFill="1" applyBorder="1" applyAlignment="1" applyProtection="1">
      <protection locked="0"/>
    </xf>
    <xf numFmtId="3" fontId="16" fillId="26" borderId="0" xfId="0" applyNumberFormat="1" applyFont="1" applyFill="1" applyProtection="1"/>
    <xf numFmtId="0" fontId="133" fillId="0" borderId="0" xfId="12" applyFont="1" applyProtection="1">
      <protection locked="0"/>
    </xf>
    <xf numFmtId="0" fontId="96" fillId="0" borderId="0" xfId="34" applyFont="1" applyProtection="1">
      <protection locked="0"/>
    </xf>
    <xf numFmtId="0" fontId="96" fillId="0" borderId="0" xfId="35" applyFont="1" applyProtection="1">
      <protection locked="0"/>
    </xf>
    <xf numFmtId="0" fontId="0" fillId="0" borderId="0" xfId="0"/>
    <xf numFmtId="0" fontId="12" fillId="0" borderId="0" xfId="33" applyFont="1" applyFill="1" applyAlignment="1" applyProtection="1">
      <alignment vertical="top"/>
      <protection locked="0"/>
    </xf>
    <xf numFmtId="0" fontId="8" fillId="0" borderId="0" xfId="33" applyFont="1" applyFill="1" applyAlignment="1" applyProtection="1">
      <alignment vertical="top"/>
      <protection locked="0"/>
    </xf>
    <xf numFmtId="0" fontId="20" fillId="0" borderId="0" xfId="33" applyFont="1" applyFill="1" applyAlignment="1" applyProtection="1">
      <alignment vertical="top"/>
      <protection locked="0"/>
    </xf>
    <xf numFmtId="0" fontId="20" fillId="0" borderId="0" xfId="33" applyFont="1" applyFill="1" applyAlignment="1" applyProtection="1">
      <alignment vertical="top"/>
    </xf>
    <xf numFmtId="167" fontId="20" fillId="0" borderId="0" xfId="33" applyNumberFormat="1" applyFont="1" applyFill="1" applyAlignment="1" applyProtection="1">
      <alignment vertical="top"/>
    </xf>
    <xf numFmtId="168" fontId="8" fillId="0" borderId="0" xfId="33" applyNumberFormat="1" applyFont="1" applyFill="1" applyAlignment="1" applyProtection="1">
      <alignment horizontal="right" vertical="top"/>
      <protection locked="0"/>
    </xf>
    <xf numFmtId="0" fontId="23" fillId="0" borderId="0" xfId="33" applyFont="1" applyFill="1" applyAlignment="1" applyProtection="1">
      <alignment vertical="top"/>
    </xf>
    <xf numFmtId="0" fontId="12" fillId="3" borderId="12" xfId="23" applyFont="1" applyFill="1" applyBorder="1" applyAlignment="1" applyProtection="1">
      <alignment horizontal="left"/>
    </xf>
    <xf numFmtId="0" fontId="12" fillId="0" borderId="10" xfId="23" applyFont="1" applyBorder="1" applyAlignment="1" applyProtection="1">
      <alignment horizontal="center"/>
    </xf>
    <xf numFmtId="173" fontId="8" fillId="0" borderId="5" xfId="23" applyNumberFormat="1" applyFont="1" applyFill="1" applyBorder="1" applyAlignment="1" applyProtection="1">
      <alignment horizontal="center"/>
    </xf>
    <xf numFmtId="3" fontId="8" fillId="0" borderId="5" xfId="23" applyNumberFormat="1" applyFont="1" applyFill="1" applyBorder="1" applyAlignment="1" applyProtection="1"/>
    <xf numFmtId="3" fontId="89" fillId="0" borderId="0" xfId="0" applyNumberFormat="1" applyFont="1" applyFill="1" applyProtection="1"/>
    <xf numFmtId="3" fontId="8" fillId="14" borderId="4" xfId="33" applyNumberFormat="1" applyFont="1" applyFill="1" applyBorder="1" applyAlignment="1" applyProtection="1">
      <protection locked="0"/>
    </xf>
    <xf numFmtId="3" fontId="8" fillId="0" borderId="8" xfId="33" applyNumberFormat="1" applyFont="1" applyFill="1" applyBorder="1" applyAlignment="1" applyProtection="1"/>
    <xf numFmtId="3" fontId="8" fillId="0" borderId="5" xfId="33" applyNumberFormat="1" applyFont="1" applyFill="1" applyBorder="1" applyAlignment="1" applyProtection="1"/>
    <xf numFmtId="3" fontId="8" fillId="0" borderId="8" xfId="33" applyNumberFormat="1" applyFont="1" applyFill="1" applyBorder="1" applyAlignment="1" applyProtection="1">
      <alignment horizontal="right" vertical="top"/>
    </xf>
    <xf numFmtId="3" fontId="8" fillId="2" borderId="6" xfId="33" applyNumberFormat="1" applyFont="1" applyFill="1" applyBorder="1" applyAlignment="1" applyProtection="1">
      <alignment vertical="top"/>
      <protection locked="0"/>
    </xf>
    <xf numFmtId="3" fontId="8" fillId="0" borderId="5" xfId="33" applyNumberFormat="1" applyFont="1" applyFill="1" applyBorder="1" applyAlignment="1" applyProtection="1">
      <alignment horizontal="right" vertical="top"/>
    </xf>
    <xf numFmtId="3" fontId="8" fillId="0" borderId="8" xfId="33" applyNumberFormat="1" applyFont="1" applyBorder="1" applyAlignment="1" applyProtection="1">
      <alignment vertical="top"/>
    </xf>
    <xf numFmtId="0" fontId="90" fillId="0" borderId="0" xfId="31" applyFont="1" applyProtection="1">
      <protection locked="0"/>
    </xf>
    <xf numFmtId="0" fontId="133" fillId="0" borderId="0" xfId="20" applyFont="1" applyBorder="1" applyProtection="1">
      <protection locked="0"/>
    </xf>
    <xf numFmtId="3" fontId="134" fillId="0" borderId="0" xfId="40" applyNumberFormat="1" applyFont="1" applyBorder="1" applyAlignment="1" applyProtection="1"/>
    <xf numFmtId="5" fontId="134" fillId="0" borderId="0" xfId="40" applyNumberFormat="1" applyFont="1" applyProtection="1"/>
    <xf numFmtId="38" fontId="134" fillId="0" borderId="0" xfId="40" applyNumberFormat="1" applyFont="1" applyProtection="1"/>
    <xf numFmtId="0" fontId="89" fillId="0" borderId="0" xfId="33" applyFont="1" applyProtection="1">
      <protection locked="0"/>
    </xf>
    <xf numFmtId="0" fontId="89" fillId="0" borderId="0" xfId="33" applyFont="1" applyAlignment="1" applyProtection="1">
      <alignment vertical="top"/>
      <protection locked="0"/>
    </xf>
    <xf numFmtId="0" fontId="89" fillId="0" borderId="0" xfId="11" applyFont="1" applyProtection="1">
      <protection locked="0"/>
    </xf>
    <xf numFmtId="3" fontId="8" fillId="14" borderId="7" xfId="34" applyNumberFormat="1" applyFont="1" applyFill="1" applyBorder="1" applyAlignment="1" applyProtection="1">
      <protection locked="0"/>
    </xf>
    <xf numFmtId="3" fontId="8" fillId="14" borderId="7" xfId="35" applyNumberFormat="1" applyFont="1" applyFill="1" applyBorder="1" applyAlignment="1" applyProtection="1">
      <protection locked="0"/>
    </xf>
    <xf numFmtId="3" fontId="8" fillId="0" borderId="8" xfId="35" applyNumberFormat="1" applyFont="1" applyFill="1" applyBorder="1" applyAlignment="1" applyProtection="1"/>
    <xf numFmtId="3" fontId="8" fillId="14" borderId="13" xfId="35" applyNumberFormat="1" applyFont="1" applyFill="1" applyBorder="1" applyAlignment="1" applyProtection="1">
      <protection locked="0"/>
    </xf>
    <xf numFmtId="0" fontId="16" fillId="0" borderId="10" xfId="34" applyFont="1" applyBorder="1" applyAlignment="1" applyProtection="1">
      <alignment horizontal="center"/>
    </xf>
    <xf numFmtId="3" fontId="8" fillId="0" borderId="0" xfId="34" applyNumberFormat="1" applyFont="1" applyFill="1" applyBorder="1" applyAlignment="1" applyProtection="1"/>
    <xf numFmtId="3" fontId="8" fillId="0" borderId="11" xfId="34" applyNumberFormat="1" applyFont="1" applyFill="1" applyBorder="1" applyAlignment="1" applyProtection="1"/>
    <xf numFmtId="0" fontId="16" fillId="0" borderId="10" xfId="35" applyFont="1" applyBorder="1" applyAlignment="1" applyProtection="1">
      <alignment horizontal="center"/>
    </xf>
    <xf numFmtId="3" fontId="8" fillId="0" borderId="0" xfId="35" applyNumberFormat="1" applyFont="1" applyBorder="1" applyAlignment="1" applyProtection="1"/>
    <xf numFmtId="3" fontId="8" fillId="0" borderId="0" xfId="35" applyNumberFormat="1" applyFont="1" applyFill="1" applyBorder="1" applyAlignment="1" applyProtection="1"/>
    <xf numFmtId="3" fontId="8" fillId="0" borderId="5" xfId="35" applyNumberFormat="1" applyFont="1" applyBorder="1" applyAlignment="1" applyProtection="1"/>
    <xf numFmtId="3" fontId="8" fillId="14" borderId="10" xfId="35" applyNumberFormat="1" applyFont="1" applyFill="1" applyBorder="1" applyAlignment="1" applyProtection="1">
      <protection locked="0"/>
    </xf>
    <xf numFmtId="3" fontId="8" fillId="0" borderId="1" xfId="35" applyNumberFormat="1" applyFont="1" applyFill="1" applyBorder="1" applyAlignment="1" applyProtection="1"/>
    <xf numFmtId="3" fontId="8" fillId="3" borderId="4" xfId="23" applyNumberFormat="1" applyFont="1" applyFill="1" applyBorder="1" applyAlignment="1" applyProtection="1"/>
    <xf numFmtId="3" fontId="8" fillId="0" borderId="15" xfId="12" applyNumberFormat="1" applyFont="1" applyBorder="1" applyAlignment="1" applyProtection="1"/>
    <xf numFmtId="3" fontId="8" fillId="0" borderId="0" xfId="12" applyNumberFormat="1" applyFont="1" applyBorder="1" applyAlignment="1" applyProtection="1"/>
    <xf numFmtId="3" fontId="8" fillId="0" borderId="3" xfId="12" applyNumberFormat="1" applyFont="1" applyFill="1" applyBorder="1" applyAlignment="1" applyProtection="1"/>
    <xf numFmtId="3" fontId="8" fillId="0" borderId="8" xfId="12" applyNumberFormat="1" applyFont="1" applyBorder="1" applyAlignment="1" applyProtection="1"/>
    <xf numFmtId="3" fontId="8" fillId="0" borderId="7" xfId="12" applyNumberFormat="1" applyFont="1" applyBorder="1" applyAlignment="1" applyProtection="1">
      <protection locked="0"/>
    </xf>
    <xf numFmtId="14" fontId="8" fillId="26" borderId="1" xfId="48" applyNumberFormat="1" applyFont="1" applyFill="1" applyBorder="1" applyAlignment="1" applyProtection="1">
      <alignment horizontal="right"/>
    </xf>
    <xf numFmtId="2" fontId="8" fillId="26" borderId="1" xfId="48" applyNumberFormat="1" applyFont="1" applyFill="1" applyBorder="1" applyAlignment="1" applyProtection="1">
      <alignment horizontal="right"/>
    </xf>
    <xf numFmtId="1" fontId="8" fillId="26" borderId="1" xfId="48" applyNumberFormat="1" applyFont="1" applyFill="1" applyBorder="1" applyAlignment="1" applyProtection="1">
      <alignment horizontal="right"/>
    </xf>
    <xf numFmtId="0" fontId="8" fillId="0" borderId="0" xfId="8" applyFont="1" applyFill="1" applyBorder="1" applyAlignment="1" applyProtection="1">
      <alignment vertical="top"/>
    </xf>
    <xf numFmtId="3" fontId="8" fillId="0" borderId="5" xfId="33" applyNumberFormat="1" applyFont="1" applyFill="1" applyBorder="1" applyAlignment="1" applyProtection="1">
      <alignment vertical="top"/>
    </xf>
    <xf numFmtId="0" fontId="89" fillId="0" borderId="0" xfId="33" applyFont="1" applyBorder="1" applyAlignment="1" applyProtection="1">
      <alignment vertical="top"/>
    </xf>
    <xf numFmtId="5" fontId="8" fillId="15" borderId="32" xfId="33" applyNumberFormat="1" applyFont="1" applyFill="1" applyBorder="1" applyAlignment="1" applyProtection="1">
      <alignment vertical="top"/>
    </xf>
    <xf numFmtId="5" fontId="12" fillId="0" borderId="0" xfId="33" applyNumberFormat="1" applyFont="1" applyFill="1" applyAlignment="1" applyProtection="1">
      <alignment vertical="top"/>
    </xf>
    <xf numFmtId="5" fontId="8" fillId="60" borderId="32" xfId="33" applyNumberFormat="1" applyFont="1" applyFill="1" applyBorder="1" applyProtection="1"/>
    <xf numFmtId="3" fontId="8" fillId="0" borderId="9" xfId="33" applyNumberFormat="1" applyFont="1" applyFill="1" applyBorder="1" applyAlignment="1" applyProtection="1">
      <alignment vertical="top"/>
    </xf>
    <xf numFmtId="3" fontId="8" fillId="2" borderId="11" xfId="33" applyNumberFormat="1" applyFont="1" applyFill="1" applyBorder="1" applyAlignment="1" applyProtection="1">
      <alignment vertical="top"/>
      <protection locked="0"/>
    </xf>
    <xf numFmtId="168" fontId="8" fillId="62" borderId="32" xfId="33" applyNumberFormat="1" applyFont="1" applyFill="1" applyBorder="1" applyAlignment="1" applyProtection="1">
      <alignment horizontal="right"/>
    </xf>
    <xf numFmtId="5" fontId="8" fillId="0" borderId="0" xfId="33" applyNumberFormat="1" applyFont="1" applyAlignment="1" applyProtection="1">
      <alignment vertical="top"/>
    </xf>
    <xf numFmtId="3" fontId="8" fillId="25" borderId="13" xfId="33" applyNumberFormat="1" applyFont="1" applyFill="1" applyBorder="1" applyAlignment="1" applyProtection="1">
      <alignment vertical="top"/>
    </xf>
    <xf numFmtId="167" fontId="8" fillId="14" borderId="1" xfId="48" applyNumberFormat="1" applyFont="1" applyFill="1" applyBorder="1" applyProtection="1">
      <protection locked="0"/>
    </xf>
    <xf numFmtId="3" fontId="8" fillId="14" borderId="0" xfId="48" applyNumberFormat="1" applyFont="1" applyFill="1" applyBorder="1" applyProtection="1">
      <protection locked="0"/>
    </xf>
    <xf numFmtId="167" fontId="8" fillId="14" borderId="1" xfId="48" applyNumberFormat="1" applyFont="1" applyFill="1" applyBorder="1" applyAlignment="1" applyProtection="1">
      <alignment horizontal="right"/>
      <protection locked="0"/>
    </xf>
    <xf numFmtId="167" fontId="16" fillId="0" borderId="1" xfId="48" applyNumberFormat="1" applyFont="1" applyFill="1" applyBorder="1" applyProtection="1"/>
    <xf numFmtId="167" fontId="8" fillId="0" borderId="14" xfId="48" applyNumberFormat="1" applyFont="1" applyFill="1" applyBorder="1" applyProtection="1"/>
    <xf numFmtId="0" fontId="18" fillId="0" borderId="0" xfId="48" applyFont="1" applyProtection="1"/>
    <xf numFmtId="0" fontId="18" fillId="0" borderId="0" xfId="48" applyFont="1" applyBorder="1" applyProtection="1"/>
    <xf numFmtId="0" fontId="99" fillId="0" borderId="0" xfId="33" applyFont="1" applyBorder="1" applyAlignment="1" applyProtection="1">
      <alignment vertical="top"/>
    </xf>
    <xf numFmtId="0" fontId="0" fillId="0" borderId="0" xfId="0"/>
    <xf numFmtId="0" fontId="22" fillId="0" borderId="0" xfId="29" applyFont="1" applyBorder="1" applyProtection="1">
      <protection locked="0"/>
    </xf>
    <xf numFmtId="3" fontId="8" fillId="2" borderId="10" xfId="40" applyNumberFormat="1" applyFont="1" applyFill="1" applyBorder="1" applyAlignment="1" applyProtection="1">
      <protection locked="0"/>
    </xf>
    <xf numFmtId="3" fontId="8" fillId="0" borderId="9" xfId="40" applyNumberFormat="1" applyFont="1" applyFill="1" applyBorder="1" applyAlignment="1" applyProtection="1"/>
    <xf numFmtId="0" fontId="96" fillId="0" borderId="0" xfId="12" applyFont="1" applyProtection="1">
      <protection locked="0"/>
    </xf>
    <xf numFmtId="3" fontId="8" fillId="2" borderId="10" xfId="27" applyNumberFormat="1" applyFont="1" applyFill="1" applyBorder="1" applyAlignment="1" applyProtection="1">
      <protection locked="0"/>
    </xf>
    <xf numFmtId="3" fontId="8" fillId="2" borderId="9" xfId="27" applyNumberFormat="1" applyFont="1" applyFill="1" applyBorder="1" applyAlignment="1" applyProtection="1">
      <protection locked="0"/>
    </xf>
    <xf numFmtId="0" fontId="96" fillId="0" borderId="0" xfId="26" applyFont="1" applyProtection="1">
      <protection locked="0"/>
    </xf>
    <xf numFmtId="0" fontId="8" fillId="61" borderId="13" xfId="35" applyFont="1" applyFill="1" applyBorder="1" applyAlignment="1" applyProtection="1">
      <alignment horizontal="center"/>
    </xf>
    <xf numFmtId="0" fontId="89" fillId="0" borderId="0" xfId="9" applyFont="1" applyProtection="1">
      <protection locked="0"/>
    </xf>
    <xf numFmtId="3" fontId="8" fillId="0" borderId="6" xfId="40" applyNumberFormat="1" applyFont="1" applyFill="1" applyBorder="1" applyAlignment="1" applyProtection="1"/>
    <xf numFmtId="0" fontId="20" fillId="0" borderId="0" xfId="45" applyFont="1" applyFill="1" applyProtection="1">
      <protection locked="0"/>
    </xf>
    <xf numFmtId="3" fontId="8" fillId="0" borderId="3" xfId="9" applyNumberFormat="1" applyFont="1" applyFill="1" applyBorder="1" applyAlignment="1" applyProtection="1"/>
    <xf numFmtId="3" fontId="8" fillId="2" borderId="10" xfId="26" applyNumberFormat="1" applyFont="1" applyFill="1" applyBorder="1" applyAlignment="1" applyProtection="1">
      <protection locked="0"/>
    </xf>
    <xf numFmtId="3" fontId="8" fillId="2" borderId="10" xfId="34" applyNumberFormat="1" applyFont="1" applyFill="1" applyBorder="1" applyAlignment="1" applyProtection="1">
      <protection locked="0"/>
    </xf>
    <xf numFmtId="3" fontId="8" fillId="2" borderId="10" xfId="35" applyNumberFormat="1" applyFont="1" applyFill="1" applyBorder="1" applyAlignment="1" applyProtection="1">
      <protection locked="0"/>
    </xf>
    <xf numFmtId="3" fontId="8" fillId="0" borderId="11" xfId="35" applyNumberFormat="1" applyFont="1" applyFill="1" applyBorder="1" applyAlignment="1" applyProtection="1"/>
    <xf numFmtId="3" fontId="8" fillId="2" borderId="10" xfId="36" applyNumberFormat="1" applyFont="1" applyFill="1" applyBorder="1" applyAlignment="1" applyProtection="1">
      <protection locked="0"/>
    </xf>
    <xf numFmtId="3" fontId="8" fillId="2" borderId="10" xfId="37" applyNumberFormat="1" applyFont="1" applyFill="1" applyBorder="1" applyAlignment="1" applyProtection="1">
      <protection locked="0"/>
    </xf>
    <xf numFmtId="3" fontId="8" fillId="2" borderId="10" xfId="38" applyNumberFormat="1" applyFont="1" applyFill="1" applyBorder="1" applyAlignment="1" applyProtection="1">
      <protection locked="0"/>
    </xf>
    <xf numFmtId="3" fontId="8" fillId="2" borderId="10" xfId="41" applyNumberFormat="1" applyFont="1" applyFill="1" applyBorder="1" applyAlignment="1" applyProtection="1">
      <protection locked="0"/>
    </xf>
    <xf numFmtId="0" fontId="20" fillId="0" borderId="0" xfId="41" applyFont="1" applyFill="1" applyProtection="1">
      <protection locked="0"/>
    </xf>
    <xf numFmtId="3" fontId="8" fillId="2" borderId="10" xfId="42" applyNumberFormat="1" applyFont="1" applyFill="1" applyBorder="1" applyAlignment="1" applyProtection="1">
      <protection locked="0"/>
    </xf>
    <xf numFmtId="3" fontId="8" fillId="2" borderId="10" xfId="43" applyNumberFormat="1" applyFont="1" applyFill="1" applyBorder="1" applyAlignment="1" applyProtection="1">
      <protection locked="0"/>
    </xf>
    <xf numFmtId="3" fontId="8" fillId="2" borderId="10" xfId="44" applyNumberFormat="1" applyFont="1" applyFill="1" applyBorder="1" applyAlignment="1" applyProtection="1">
      <protection locked="0"/>
    </xf>
    <xf numFmtId="3" fontId="8" fillId="2" borderId="10" xfId="45" applyNumberFormat="1" applyFont="1" applyFill="1" applyBorder="1" applyAlignment="1" applyProtection="1">
      <protection locked="0"/>
    </xf>
    <xf numFmtId="0" fontId="8" fillId="61" borderId="4" xfId="33" applyFont="1" applyFill="1" applyBorder="1" applyAlignment="1" applyProtection="1">
      <alignment vertical="top"/>
    </xf>
    <xf numFmtId="173" fontId="8" fillId="61" borderId="15" xfId="33" applyNumberFormat="1" applyFont="1" applyFill="1" applyBorder="1" applyAlignment="1" applyProtection="1">
      <alignment horizontal="center" vertical="top"/>
    </xf>
    <xf numFmtId="0" fontId="8" fillId="17" borderId="2" xfId="24" applyFont="1" applyFill="1" applyBorder="1" applyAlignment="1" applyProtection="1">
      <alignment horizontal="centerContinuous"/>
    </xf>
    <xf numFmtId="0" fontId="8" fillId="17" borderId="14" xfId="24" applyFont="1" applyFill="1" applyBorder="1" applyAlignment="1" applyProtection="1">
      <alignment horizontal="centerContinuous"/>
    </xf>
    <xf numFmtId="0" fontId="8" fillId="17" borderId="3" xfId="24" applyFont="1" applyFill="1" applyBorder="1" applyAlignment="1" applyProtection="1">
      <alignment horizontal="centerContinuous"/>
    </xf>
    <xf numFmtId="0" fontId="0" fillId="59" borderId="13" xfId="0" applyFill="1" applyBorder="1"/>
    <xf numFmtId="0" fontId="8" fillId="61" borderId="8" xfId="34" applyFont="1" applyFill="1" applyBorder="1" applyAlignment="1" applyProtection="1">
      <alignment horizontal="left"/>
    </xf>
    <xf numFmtId="0" fontId="8" fillId="61" borderId="2" xfId="35" applyFont="1" applyFill="1" applyBorder="1" applyAlignment="1" applyProtection="1">
      <alignment horizontal="left"/>
    </xf>
    <xf numFmtId="0" fontId="8" fillId="61" borderId="8" xfId="35" applyFont="1" applyFill="1" applyBorder="1" applyAlignment="1" applyProtection="1">
      <alignment horizontal="left"/>
    </xf>
    <xf numFmtId="0" fontId="99" fillId="0" borderId="0" xfId="20" applyFont="1" applyBorder="1" applyProtection="1">
      <protection locked="0"/>
    </xf>
    <xf numFmtId="0" fontId="99" fillId="0" borderId="0" xfId="22" applyFont="1" applyAlignment="1" applyProtection="1">
      <alignment vertical="top"/>
      <protection locked="0"/>
    </xf>
    <xf numFmtId="174" fontId="20" fillId="0" borderId="0" xfId="22" applyNumberFormat="1" applyFont="1" applyAlignment="1" applyProtection="1">
      <alignment vertical="top"/>
      <protection locked="0"/>
    </xf>
    <xf numFmtId="174" fontId="136" fillId="0" borderId="0" xfId="22" applyNumberFormat="1" applyFont="1" applyAlignment="1" applyProtection="1">
      <alignment vertical="top"/>
      <protection locked="0"/>
    </xf>
    <xf numFmtId="0" fontId="136" fillId="0" borderId="0" xfId="22" applyFont="1" applyAlignment="1" applyProtection="1">
      <alignment vertical="top"/>
      <protection locked="0"/>
    </xf>
    <xf numFmtId="3" fontId="99" fillId="0" borderId="0" xfId="22" applyNumberFormat="1" applyFont="1" applyAlignment="1" applyProtection="1">
      <alignment horizontal="right" vertical="top"/>
    </xf>
    <xf numFmtId="3" fontId="99" fillId="0" borderId="0" xfId="20" applyNumberFormat="1" applyFont="1" applyBorder="1" applyProtection="1"/>
    <xf numFmtId="0" fontId="105" fillId="0" borderId="0" xfId="48" applyFont="1" applyProtection="1"/>
    <xf numFmtId="0" fontId="99" fillId="0" borderId="0" xfId="23" applyFont="1" applyProtection="1"/>
    <xf numFmtId="3" fontId="99" fillId="0" borderId="0" xfId="23" applyNumberFormat="1" applyFont="1" applyProtection="1"/>
    <xf numFmtId="38" fontId="8" fillId="7" borderId="32" xfId="40" applyNumberFormat="1" applyFont="1" applyFill="1" applyBorder="1" applyProtection="1"/>
    <xf numFmtId="167" fontId="8" fillId="26" borderId="0" xfId="48" applyNumberFormat="1" applyFont="1" applyFill="1" applyBorder="1" applyProtection="1">
      <protection locked="0"/>
    </xf>
    <xf numFmtId="3" fontId="8" fillId="26" borderId="0" xfId="48" applyNumberFormat="1" applyFont="1" applyFill="1" applyBorder="1" applyProtection="1">
      <protection locked="0"/>
    </xf>
    <xf numFmtId="3" fontId="8" fillId="0" borderId="0" xfId="48" applyNumberFormat="1" applyFont="1" applyFill="1" applyBorder="1" applyProtection="1">
      <protection locked="0"/>
    </xf>
    <xf numFmtId="1" fontId="8" fillId="26" borderId="1" xfId="48" applyNumberFormat="1" applyFont="1" applyFill="1" applyBorder="1" applyAlignment="1" applyProtection="1">
      <alignment horizontal="center"/>
      <protection locked="0"/>
    </xf>
    <xf numFmtId="0" fontId="96" fillId="0" borderId="0" xfId="14" applyFont="1" applyProtection="1"/>
    <xf numFmtId="37" fontId="96" fillId="0" borderId="0" xfId="14" applyNumberFormat="1" applyFont="1" applyProtection="1">
      <protection locked="0"/>
    </xf>
    <xf numFmtId="0" fontId="8" fillId="0" borderId="0" xfId="24" quotePrefix="1" applyFont="1" applyFill="1" applyAlignment="1" applyProtection="1">
      <alignment horizontal="right"/>
    </xf>
    <xf numFmtId="1" fontId="8" fillId="61" borderId="12" xfId="33" applyNumberFormat="1" applyFont="1" applyFill="1" applyBorder="1" applyAlignment="1" applyProtection="1">
      <alignment horizontal="left"/>
    </xf>
    <xf numFmtId="173" fontId="8" fillId="61" borderId="12" xfId="33" applyNumberFormat="1" applyFont="1" applyFill="1" applyBorder="1" applyAlignment="1" applyProtection="1">
      <alignment horizontal="center"/>
    </xf>
    <xf numFmtId="1" fontId="8" fillId="61" borderId="13" xfId="33" applyNumberFormat="1" applyFont="1" applyFill="1" applyBorder="1" applyAlignment="1" applyProtection="1">
      <alignment horizontal="left"/>
    </xf>
    <xf numFmtId="173" fontId="8" fillId="61" borderId="2" xfId="33" applyNumberFormat="1" applyFont="1" applyFill="1" applyBorder="1" applyAlignment="1" applyProtection="1">
      <alignment horizontal="center"/>
    </xf>
    <xf numFmtId="3" fontId="8" fillId="0" borderId="8" xfId="9" applyNumberFormat="1" applyFont="1" applyBorder="1" applyAlignment="1" applyProtection="1"/>
    <xf numFmtId="3" fontId="8" fillId="2" borderId="10" xfId="9" applyNumberFormat="1" applyFont="1" applyFill="1" applyBorder="1" applyAlignment="1" applyProtection="1">
      <protection locked="0"/>
    </xf>
    <xf numFmtId="3" fontId="8" fillId="2" borderId="2" xfId="22" applyNumberFormat="1" applyFont="1" applyFill="1" applyBorder="1" applyAlignment="1" applyProtection="1">
      <alignment horizontal="right" vertical="top"/>
      <protection locked="0"/>
    </xf>
    <xf numFmtId="3" fontId="8" fillId="2" borderId="10" xfId="22" applyNumberFormat="1" applyFont="1" applyFill="1" applyBorder="1" applyAlignment="1" applyProtection="1">
      <alignment horizontal="right" vertical="top"/>
      <protection locked="0"/>
    </xf>
    <xf numFmtId="3" fontId="8" fillId="3" borderId="11" xfId="22" applyNumberFormat="1" applyFont="1" applyFill="1" applyBorder="1" applyAlignment="1" applyProtection="1">
      <alignment horizontal="right" vertical="top"/>
    </xf>
    <xf numFmtId="3" fontId="8" fillId="26" borderId="7" xfId="22" applyNumberFormat="1" applyFont="1" applyFill="1" applyBorder="1" applyAlignment="1" applyProtection="1">
      <alignment horizontal="center" vertical="top"/>
    </xf>
    <xf numFmtId="3" fontId="8" fillId="2" borderId="2" xfId="23" applyNumberFormat="1" applyFont="1" applyFill="1" applyBorder="1" applyAlignment="1" applyProtection="1">
      <protection locked="0"/>
    </xf>
    <xf numFmtId="3" fontId="8" fillId="2" borderId="10" xfId="23" applyNumberFormat="1" applyFont="1" applyFill="1" applyBorder="1" applyAlignment="1" applyProtection="1">
      <protection locked="0"/>
    </xf>
    <xf numFmtId="3" fontId="8" fillId="26" borderId="13" xfId="22" applyNumberFormat="1" applyFont="1" applyFill="1" applyBorder="1" applyAlignment="1" applyProtection="1">
      <alignment horizontal="center" vertical="top"/>
    </xf>
    <xf numFmtId="0" fontId="0" fillId="26" borderId="13" xfId="0" applyFill="1" applyBorder="1"/>
    <xf numFmtId="0" fontId="67" fillId="0" borderId="0" xfId="48" applyFont="1" applyAlignment="1"/>
    <xf numFmtId="0" fontId="71" fillId="0" borderId="0" xfId="48" applyFont="1" applyFill="1" applyBorder="1" applyAlignment="1"/>
    <xf numFmtId="3" fontId="8" fillId="0" borderId="1" xfId="48" applyNumberFormat="1" applyFont="1" applyBorder="1"/>
    <xf numFmtId="3" fontId="8" fillId="26" borderId="12" xfId="22" applyNumberFormat="1" applyFont="1" applyFill="1" applyBorder="1" applyAlignment="1" applyProtection="1">
      <alignment horizontal="center" vertical="top"/>
    </xf>
    <xf numFmtId="0" fontId="8" fillId="26" borderId="12" xfId="9" applyFont="1" applyFill="1" applyBorder="1" applyAlignment="1" applyProtection="1">
      <alignment horizontal="right"/>
    </xf>
    <xf numFmtId="3" fontId="8" fillId="14" borderId="13" xfId="40" applyNumberFormat="1" applyFont="1" applyFill="1" applyBorder="1" applyAlignment="1" applyProtection="1">
      <protection locked="0"/>
    </xf>
    <xf numFmtId="3" fontId="8" fillId="14" borderId="12" xfId="9" applyNumberFormat="1" applyFont="1" applyFill="1" applyBorder="1" applyAlignment="1" applyProtection="1">
      <protection locked="0"/>
    </xf>
    <xf numFmtId="3" fontId="8" fillId="26" borderId="13" xfId="22" applyNumberFormat="1" applyFont="1" applyFill="1" applyBorder="1" applyAlignment="1" applyProtection="1">
      <alignment horizontal="right" vertical="top"/>
    </xf>
    <xf numFmtId="3" fontId="8" fillId="14" borderId="13" xfId="27" applyNumberFormat="1" applyFont="1" applyFill="1" applyBorder="1" applyAlignment="1" applyProtection="1">
      <protection locked="0"/>
    </xf>
    <xf numFmtId="3" fontId="8" fillId="25" borderId="12" xfId="33" applyNumberFormat="1" applyFont="1" applyFill="1" applyBorder="1" applyAlignment="1" applyProtection="1">
      <alignment vertical="top"/>
    </xf>
    <xf numFmtId="3" fontId="8" fillId="0" borderId="7" xfId="33" applyNumberFormat="1" applyFont="1" applyFill="1" applyBorder="1" applyAlignment="1" applyProtection="1">
      <alignment vertical="top"/>
    </xf>
    <xf numFmtId="0" fontId="0" fillId="0" borderId="0" xfId="33" applyFont="1" applyAlignment="1" applyProtection="1">
      <alignment horizontal="right" vertical="top"/>
    </xf>
    <xf numFmtId="0" fontId="89" fillId="0" borderId="0" xfId="33" applyFont="1" applyAlignment="1" applyProtection="1">
      <alignment horizontal="right" vertical="top"/>
    </xf>
    <xf numFmtId="37" fontId="8" fillId="0" borderId="0" xfId="29" applyNumberFormat="1" applyFont="1" applyProtection="1">
      <protection locked="0"/>
    </xf>
    <xf numFmtId="0" fontId="8" fillId="0" borderId="0" xfId="29" applyFont="1" applyAlignment="1" applyProtection="1">
      <alignment horizontal="right"/>
      <protection locked="0"/>
    </xf>
    <xf numFmtId="37" fontId="8" fillId="0" borderId="0" xfId="29" applyNumberFormat="1" applyFont="1" applyBorder="1" applyProtection="1">
      <protection locked="0"/>
    </xf>
    <xf numFmtId="37" fontId="8" fillId="0" borderId="1" xfId="29" applyNumberFormat="1" applyFont="1" applyBorder="1" applyProtection="1">
      <protection locked="0"/>
    </xf>
    <xf numFmtId="37" fontId="8" fillId="0" borderId="16" xfId="29" applyNumberFormat="1" applyFont="1" applyBorder="1" applyProtection="1">
      <protection locked="0"/>
    </xf>
    <xf numFmtId="3" fontId="8" fillId="0" borderId="1" xfId="29" applyNumberFormat="1" applyFont="1" applyBorder="1" applyProtection="1">
      <protection locked="0"/>
    </xf>
    <xf numFmtId="0" fontId="135" fillId="0" borderId="0" xfId="29" applyFont="1" applyProtection="1">
      <protection locked="0"/>
    </xf>
    <xf numFmtId="4" fontId="8" fillId="2" borderId="14" xfId="48" applyNumberFormat="1" applyFont="1" applyFill="1" applyBorder="1" applyProtection="1">
      <protection locked="0"/>
    </xf>
    <xf numFmtId="3" fontId="8" fillId="0" borderId="0" xfId="48" applyNumberFormat="1" applyFont="1" applyFill="1" applyBorder="1" applyAlignment="1" applyProtection="1"/>
    <xf numFmtId="167" fontId="13" fillId="14" borderId="14" xfId="48" applyNumberFormat="1" applyFont="1" applyFill="1" applyBorder="1" applyProtection="1">
      <protection locked="0"/>
    </xf>
    <xf numFmtId="37" fontId="8" fillId="14" borderId="14" xfId="48" applyNumberFormat="1" applyFont="1" applyFill="1" applyBorder="1" applyProtection="1">
      <protection locked="0"/>
    </xf>
    <xf numFmtId="0" fontId="0" fillId="26" borderId="0" xfId="0" applyFill="1"/>
    <xf numFmtId="0" fontId="101" fillId="0" borderId="0" xfId="48" quotePrefix="1" applyFont="1" applyAlignment="1">
      <alignment horizontal="center"/>
    </xf>
    <xf numFmtId="0" fontId="130" fillId="0" borderId="27" xfId="0" applyFont="1" applyFill="1" applyBorder="1" applyAlignment="1">
      <alignment horizontal="center"/>
    </xf>
    <xf numFmtId="3" fontId="130" fillId="0" borderId="28" xfId="0" applyNumberFormat="1" applyFont="1" applyFill="1" applyBorder="1" applyAlignment="1">
      <alignment horizontal="center"/>
    </xf>
    <xf numFmtId="3" fontId="130" fillId="0" borderId="27" xfId="0" applyNumberFormat="1" applyFont="1" applyFill="1" applyBorder="1" applyAlignment="1">
      <alignment horizontal="center"/>
    </xf>
    <xf numFmtId="0" fontId="63" fillId="0" borderId="0" xfId="171" applyFont="1" applyFill="1" applyBorder="1" applyAlignment="1" applyProtection="1">
      <alignment horizontal="center"/>
    </xf>
    <xf numFmtId="0" fontId="130" fillId="0" borderId="29" xfId="0" applyFont="1" applyFill="1" applyBorder="1" applyAlignment="1">
      <alignment horizontal="center"/>
    </xf>
    <xf numFmtId="0" fontId="130" fillId="0" borderId="30" xfId="0" applyFont="1" applyFill="1" applyBorder="1" applyAlignment="1">
      <alignment horizontal="center"/>
    </xf>
    <xf numFmtId="3" fontId="130" fillId="0" borderId="30" xfId="0" applyNumberFormat="1" applyFont="1" applyFill="1" applyBorder="1" applyAlignment="1">
      <alignment horizontal="center"/>
    </xf>
    <xf numFmtId="3" fontId="130" fillId="0" borderId="29" xfId="0" applyNumberFormat="1" applyFont="1" applyFill="1" applyBorder="1" applyAlignment="1">
      <alignment horizontal="center"/>
    </xf>
    <xf numFmtId="14" fontId="63" fillId="0" borderId="31" xfId="171" applyNumberFormat="1" applyFont="1" applyFill="1" applyBorder="1" applyAlignment="1">
      <alignment horizontal="center"/>
    </xf>
    <xf numFmtId="0" fontId="63" fillId="0" borderId="31" xfId="0" applyFont="1" applyFill="1" applyBorder="1" applyAlignment="1">
      <alignment horizontal="center"/>
    </xf>
    <xf numFmtId="0" fontId="130" fillId="0" borderId="0" xfId="0" applyFont="1" applyFill="1" applyBorder="1" applyAlignment="1">
      <alignment horizontal="left"/>
    </xf>
    <xf numFmtId="0" fontId="130" fillId="0" borderId="0" xfId="4" applyFont="1" applyFill="1" applyBorder="1"/>
    <xf numFmtId="3" fontId="130" fillId="0" borderId="0" xfId="174" applyNumberFormat="1" applyFont="1" applyFill="1" applyBorder="1"/>
    <xf numFmtId="3" fontId="130" fillId="0" borderId="0" xfId="4" applyNumberFormat="1" applyFont="1" applyFill="1" applyBorder="1"/>
    <xf numFmtId="167" fontId="63" fillId="0" borderId="0" xfId="127" applyNumberFormat="1" applyFont="1" applyFill="1" applyBorder="1" applyProtection="1"/>
    <xf numFmtId="167" fontId="63" fillId="0" borderId="0" xfId="120" applyNumberFormat="1" applyFont="1" applyFill="1" applyBorder="1" applyProtection="1"/>
    <xf numFmtId="166" fontId="63" fillId="0" borderId="0" xfId="7" applyNumberFormat="1" applyFont="1" applyFill="1" applyBorder="1" applyProtection="1">
      <protection locked="0"/>
    </xf>
    <xf numFmtId="3" fontId="63" fillId="0" borderId="0" xfId="173" applyNumberFormat="1" applyFont="1" applyFill="1" applyBorder="1" applyProtection="1"/>
    <xf numFmtId="3" fontId="130" fillId="0" borderId="0" xfId="175" applyNumberFormat="1" applyFont="1" applyFill="1" applyBorder="1"/>
    <xf numFmtId="3" fontId="63" fillId="0" borderId="0" xfId="176" applyNumberFormat="1" applyFont="1" applyFill="1" applyBorder="1" applyAlignment="1"/>
    <xf numFmtId="37" fontId="130" fillId="0" borderId="0" xfId="0" applyNumberFormat="1" applyFont="1" applyFill="1" applyBorder="1"/>
    <xf numFmtId="10" fontId="130" fillId="0" borderId="0" xfId="0" applyNumberFormat="1" applyFont="1" applyFill="1" applyBorder="1"/>
    <xf numFmtId="3" fontId="63" fillId="0" borderId="0" xfId="113" applyNumberFormat="1" applyFont="1" applyFill="1" applyBorder="1"/>
    <xf numFmtId="3" fontId="130" fillId="0" borderId="0" xfId="177" applyNumberFormat="1" applyFont="1" applyFill="1" applyBorder="1" applyAlignment="1" applyProtection="1">
      <alignment wrapText="1" readingOrder="1"/>
      <protection locked="0"/>
    </xf>
    <xf numFmtId="3" fontId="130" fillId="0" borderId="0" xfId="0" applyNumberFormat="1" applyFont="1" applyFill="1" applyBorder="1"/>
    <xf numFmtId="167" fontId="63" fillId="0" borderId="0" xfId="173" applyNumberFormat="1" applyFont="1" applyFill="1" applyBorder="1" applyProtection="1"/>
    <xf numFmtId="183" fontId="130" fillId="0" borderId="0" xfId="177" applyNumberFormat="1" applyFont="1" applyFill="1" applyBorder="1" applyAlignment="1" applyProtection="1">
      <alignment vertical="top" wrapText="1" readingOrder="1"/>
      <protection locked="0"/>
    </xf>
    <xf numFmtId="10" fontId="130" fillId="65" borderId="0" xfId="0" applyNumberFormat="1" applyFont="1" applyFill="1" applyBorder="1"/>
    <xf numFmtId="3" fontId="8" fillId="17" borderId="12" xfId="27" applyNumberFormat="1" applyFont="1" applyFill="1" applyBorder="1" applyAlignment="1" applyProtection="1">
      <protection locked="0"/>
    </xf>
    <xf numFmtId="0" fontId="20" fillId="26" borderId="12" xfId="20" applyFont="1" applyFill="1" applyBorder="1" applyProtection="1"/>
    <xf numFmtId="3" fontId="8" fillId="14" borderId="12" xfId="25" applyNumberFormat="1" applyFont="1" applyFill="1" applyBorder="1" applyAlignment="1" applyProtection="1">
      <protection locked="0"/>
    </xf>
    <xf numFmtId="3" fontId="8" fillId="14" borderId="11" xfId="25" applyNumberFormat="1" applyFont="1" applyFill="1" applyBorder="1" applyAlignment="1" applyProtection="1">
      <protection locked="0"/>
    </xf>
    <xf numFmtId="0" fontId="96" fillId="0" borderId="0" xfId="25" applyFont="1" applyProtection="1">
      <protection locked="0"/>
    </xf>
    <xf numFmtId="0" fontId="96" fillId="0" borderId="0" xfId="31" applyFont="1" applyProtection="1">
      <protection locked="0"/>
    </xf>
    <xf numFmtId="3" fontId="8" fillId="14" borderId="12" xfId="31" applyNumberFormat="1" applyFont="1" applyFill="1" applyBorder="1" applyAlignment="1" applyProtection="1">
      <protection locked="0"/>
    </xf>
    <xf numFmtId="3" fontId="8" fillId="26" borderId="12" xfId="33" applyNumberFormat="1" applyFont="1" applyFill="1" applyBorder="1" applyAlignment="1" applyProtection="1">
      <alignment vertical="top"/>
    </xf>
    <xf numFmtId="0" fontId="141" fillId="0" borderId="0" xfId="33" applyFont="1" applyProtection="1"/>
    <xf numFmtId="3" fontId="89" fillId="0" borderId="0" xfId="33" applyNumberFormat="1" applyFont="1" applyAlignment="1" applyProtection="1">
      <alignment vertical="top"/>
    </xf>
    <xf numFmtId="3" fontId="8" fillId="14" borderId="12" xfId="35" applyNumberFormat="1" applyFont="1" applyFill="1" applyBorder="1" applyAlignment="1" applyProtection="1">
      <protection locked="0"/>
    </xf>
    <xf numFmtId="3" fontId="8" fillId="14" borderId="12" xfId="36" applyNumberFormat="1" applyFont="1" applyFill="1" applyBorder="1" applyAlignment="1" applyProtection="1">
      <protection locked="0"/>
    </xf>
    <xf numFmtId="3" fontId="8" fillId="14" borderId="12" xfId="37" applyNumberFormat="1" applyFont="1" applyFill="1" applyBorder="1" applyAlignment="1" applyProtection="1">
      <protection locked="0"/>
    </xf>
    <xf numFmtId="3" fontId="8" fillId="14" borderId="12" xfId="38" applyNumberFormat="1" applyFont="1" applyFill="1" applyBorder="1" applyProtection="1">
      <protection locked="0"/>
    </xf>
    <xf numFmtId="3" fontId="8" fillId="14" borderId="12" xfId="41" applyNumberFormat="1" applyFont="1" applyFill="1" applyBorder="1" applyAlignment="1" applyProtection="1">
      <protection locked="0"/>
    </xf>
    <xf numFmtId="3" fontId="8" fillId="14" borderId="12" xfId="42" applyNumberFormat="1" applyFont="1" applyFill="1" applyBorder="1" applyAlignment="1" applyProtection="1">
      <protection locked="0"/>
    </xf>
    <xf numFmtId="3" fontId="8" fillId="14" borderId="12" xfId="43" applyNumberFormat="1" applyFont="1" applyFill="1" applyBorder="1" applyAlignment="1" applyProtection="1">
      <protection locked="0"/>
    </xf>
    <xf numFmtId="3" fontId="8" fillId="14" borderId="12" xfId="44" applyNumberFormat="1" applyFont="1" applyFill="1" applyBorder="1" applyAlignment="1" applyProtection="1">
      <protection locked="0"/>
    </xf>
    <xf numFmtId="3" fontId="8" fillId="14" borderId="12" xfId="45" applyNumberFormat="1" applyFont="1" applyFill="1" applyBorder="1" applyAlignment="1" applyProtection="1">
      <protection locked="0"/>
    </xf>
    <xf numFmtId="3" fontId="8" fillId="14" borderId="7" xfId="33" applyNumberFormat="1" applyFont="1" applyFill="1" applyBorder="1" applyAlignment="1" applyProtection="1">
      <alignment vertical="top"/>
      <protection locked="0"/>
    </xf>
    <xf numFmtId="3" fontId="8" fillId="0" borderId="11" xfId="33" applyNumberFormat="1" applyFont="1" applyFill="1" applyBorder="1" applyAlignment="1" applyProtection="1">
      <alignment vertical="top"/>
    </xf>
    <xf numFmtId="3" fontId="8" fillId="14" borderId="1" xfId="0" applyNumberFormat="1" applyFont="1" applyFill="1" applyBorder="1" applyAlignment="1" applyProtection="1">
      <alignment horizontal="center"/>
      <protection locked="0"/>
    </xf>
    <xf numFmtId="3" fontId="0" fillId="14" borderId="1" xfId="0" applyNumberFormat="1" applyFill="1" applyBorder="1" applyAlignment="1" applyProtection="1">
      <alignment horizontal="center"/>
      <protection locked="0"/>
    </xf>
    <xf numFmtId="0" fontId="98" fillId="0" borderId="0" xfId="12" applyFont="1" applyProtection="1"/>
    <xf numFmtId="0" fontId="89" fillId="0" borderId="0" xfId="12" applyFont="1" applyProtection="1">
      <protection locked="0"/>
    </xf>
    <xf numFmtId="0" fontId="89" fillId="0" borderId="0" xfId="44" applyFont="1" applyProtection="1">
      <protection locked="0"/>
    </xf>
    <xf numFmtId="0" fontId="98" fillId="0" borderId="0" xfId="44" applyFont="1" applyAlignment="1" applyProtection="1">
      <alignment horizontal="right"/>
    </xf>
    <xf numFmtId="0" fontId="98" fillId="0" borderId="0" xfId="45" applyFont="1" applyAlignment="1" applyProtection="1">
      <alignment horizontal="right"/>
    </xf>
    <xf numFmtId="0" fontId="89" fillId="0" borderId="0" xfId="45" applyFont="1" applyProtection="1">
      <protection locked="0"/>
    </xf>
    <xf numFmtId="3" fontId="8" fillId="14" borderId="12" xfId="30" applyNumberFormat="1" applyFont="1" applyFill="1" applyBorder="1" applyProtection="1">
      <protection locked="0"/>
    </xf>
    <xf numFmtId="0" fontId="12" fillId="0" borderId="0" xfId="0" applyFont="1" applyFill="1" applyBorder="1"/>
    <xf numFmtId="2" fontId="0" fillId="0" borderId="0" xfId="0" applyNumberFormat="1" applyFill="1" applyBorder="1" applyProtection="1">
      <protection locked="0"/>
    </xf>
    <xf numFmtId="0" fontId="85" fillId="0" borderId="0" xfId="0" applyFont="1" applyFill="1" applyBorder="1"/>
    <xf numFmtId="0" fontId="89" fillId="0" borderId="0" xfId="0" applyFont="1" applyFill="1" applyBorder="1"/>
    <xf numFmtId="3" fontId="89" fillId="0" borderId="0" xfId="0" applyNumberFormat="1" applyFont="1" applyFill="1" applyBorder="1"/>
    <xf numFmtId="168" fontId="0" fillId="0" borderId="0" xfId="0" applyNumberFormat="1" applyFill="1" applyBorder="1"/>
    <xf numFmtId="2" fontId="0" fillId="0" borderId="0" xfId="0" applyNumberFormat="1" applyFill="1" applyBorder="1"/>
    <xf numFmtId="168" fontId="89" fillId="0" borderId="0" xfId="0" applyNumberFormat="1" applyFont="1" applyFill="1" applyBorder="1"/>
    <xf numFmtId="0" fontId="8" fillId="0" borderId="0" xfId="0" applyFont="1" applyFill="1" applyBorder="1"/>
    <xf numFmtId="0" fontId="8" fillId="0" borderId="12" xfId="35" applyFont="1" applyFill="1" applyBorder="1" applyAlignment="1" applyProtection="1">
      <alignment horizontal="center"/>
    </xf>
    <xf numFmtId="0" fontId="8" fillId="0" borderId="13" xfId="35" applyFont="1" applyFill="1" applyBorder="1" applyAlignment="1" applyProtection="1">
      <alignment horizontal="center"/>
    </xf>
    <xf numFmtId="0" fontId="8" fillId="0" borderId="8" xfId="35" applyFont="1" applyFill="1" applyBorder="1" applyAlignment="1" applyProtection="1">
      <alignment horizontal="center"/>
    </xf>
    <xf numFmtId="0" fontId="8" fillId="0" borderId="5" xfId="35" applyFont="1" applyFill="1" applyBorder="1" applyAlignment="1" applyProtection="1">
      <alignment horizontal="center"/>
    </xf>
    <xf numFmtId="0" fontId="8" fillId="0" borderId="12" xfId="34" applyFont="1" applyFill="1" applyBorder="1" applyAlignment="1" applyProtection="1">
      <alignment horizontal="center"/>
    </xf>
    <xf numFmtId="0" fontId="8" fillId="0" borderId="5" xfId="34" applyFont="1" applyFill="1" applyBorder="1" applyAlignment="1" applyProtection="1">
      <alignment horizontal="center"/>
    </xf>
    <xf numFmtId="3" fontId="8" fillId="14" borderId="13" xfId="22" applyNumberFormat="1" applyFont="1" applyFill="1" applyBorder="1" applyAlignment="1" applyProtection="1">
      <alignment horizontal="right" vertical="top"/>
      <protection locked="0"/>
    </xf>
    <xf numFmtId="3" fontId="0" fillId="2" borderId="1" xfId="0" applyNumberFormat="1" applyFill="1" applyBorder="1" applyProtection="1">
      <protection locked="0"/>
    </xf>
    <xf numFmtId="3" fontId="0" fillId="2" borderId="11" xfId="0" applyNumberFormat="1" applyFill="1" applyBorder="1" applyProtection="1">
      <protection locked="0"/>
    </xf>
    <xf numFmtId="3" fontId="8" fillId="0" borderId="9" xfId="33" applyNumberFormat="1" applyFont="1" applyFill="1" applyBorder="1" applyAlignment="1" applyProtection="1"/>
    <xf numFmtId="3" fontId="8" fillId="0" borderId="3" xfId="40" applyNumberFormat="1" applyFont="1" applyFill="1" applyBorder="1" applyAlignment="1" applyProtection="1"/>
    <xf numFmtId="3" fontId="8" fillId="0" borderId="13" xfId="46" applyNumberFormat="1" applyFont="1" applyFill="1" applyBorder="1" applyAlignment="1" applyProtection="1">
      <alignment vertical="top"/>
    </xf>
    <xf numFmtId="0" fontId="63" fillId="0" borderId="27" xfId="0" applyFont="1" applyFill="1" applyBorder="1" applyAlignment="1">
      <alignment horizontal="center"/>
    </xf>
    <xf numFmtId="14" fontId="130" fillId="0" borderId="31" xfId="0" applyNumberFormat="1" applyFont="1" applyFill="1" applyBorder="1" applyAlignment="1">
      <alignment horizontal="center"/>
    </xf>
    <xf numFmtId="0" fontId="63" fillId="0" borderId="29" xfId="0" applyFont="1" applyFill="1" applyBorder="1" applyAlignment="1">
      <alignment horizontal="center"/>
    </xf>
    <xf numFmtId="3" fontId="8" fillId="0" borderId="8" xfId="33" applyNumberFormat="1" applyFont="1" applyFill="1" applyBorder="1" applyAlignment="1" applyProtection="1">
      <alignment vertical="top"/>
    </xf>
    <xf numFmtId="0" fontId="0" fillId="0" borderId="0" xfId="0"/>
    <xf numFmtId="0" fontId="8" fillId="0" borderId="42" xfId="177" applyBorder="1"/>
    <xf numFmtId="0" fontId="8" fillId="0" borderId="43" xfId="177" applyBorder="1"/>
    <xf numFmtId="0" fontId="8" fillId="0" borderId="44" xfId="177" applyBorder="1"/>
    <xf numFmtId="0" fontId="8" fillId="0" borderId="0" xfId="177"/>
    <xf numFmtId="0" fontId="123" fillId="0" borderId="0" xfId="108" applyAlignment="1" applyProtection="1"/>
    <xf numFmtId="0" fontId="8" fillId="0" borderId="45" xfId="177" applyBorder="1"/>
    <xf numFmtId="0" fontId="8" fillId="0" borderId="0" xfId="177" applyBorder="1"/>
    <xf numFmtId="0" fontId="8" fillId="0" borderId="46" xfId="177" applyBorder="1"/>
    <xf numFmtId="0" fontId="8" fillId="8" borderId="45" xfId="177" applyFill="1" applyBorder="1"/>
    <xf numFmtId="0" fontId="8" fillId="8" borderId="0" xfId="177" applyFill="1" applyBorder="1"/>
    <xf numFmtId="0" fontId="8" fillId="8" borderId="46" xfId="177" applyFill="1" applyBorder="1"/>
    <xf numFmtId="0" fontId="143" fillId="8" borderId="0" xfId="177" applyFont="1" applyFill="1" applyBorder="1"/>
    <xf numFmtId="0" fontId="11" fillId="8" borderId="0" xfId="177" applyFont="1" applyFill="1" applyBorder="1" applyAlignment="1">
      <alignment horizontal="right"/>
    </xf>
    <xf numFmtId="0" fontId="22" fillId="8" borderId="0" xfId="177" applyFont="1" applyFill="1" applyBorder="1" applyAlignment="1">
      <alignment horizontal="left"/>
    </xf>
    <xf numFmtId="0" fontId="31" fillId="0" borderId="0" xfId="177" applyFont="1"/>
    <xf numFmtId="0" fontId="144" fillId="3" borderId="0" xfId="177" applyFont="1" applyFill="1"/>
    <xf numFmtId="0" fontId="8" fillId="3" borderId="0" xfId="177" applyFill="1"/>
    <xf numFmtId="0" fontId="8" fillId="26" borderId="0" xfId="177" applyFill="1"/>
    <xf numFmtId="0" fontId="18" fillId="0" borderId="0" xfId="177" applyFont="1"/>
    <xf numFmtId="0" fontId="146" fillId="3" borderId="0" xfId="177" applyFont="1" applyFill="1"/>
    <xf numFmtId="0" fontId="18" fillId="3" borderId="0" xfId="177" applyFont="1" applyFill="1"/>
    <xf numFmtId="0" fontId="8" fillId="0" borderId="0" xfId="177" applyFill="1"/>
    <xf numFmtId="0" fontId="8" fillId="0" borderId="47" xfId="177" applyBorder="1"/>
    <xf numFmtId="0" fontId="8" fillId="0" borderId="31" xfId="177" applyBorder="1"/>
    <xf numFmtId="0" fontId="8" fillId="0" borderId="48" xfId="177" applyBorder="1"/>
    <xf numFmtId="0" fontId="20" fillId="0" borderId="0" xfId="182" applyFont="1" applyProtection="1"/>
    <xf numFmtId="0" fontId="34" fillId="0" borderId="0" xfId="182" applyFont="1" applyAlignment="1" applyProtection="1">
      <alignment horizontal="right"/>
    </xf>
    <xf numFmtId="170" fontId="20" fillId="0" borderId="0" xfId="182" applyNumberFormat="1" applyFont="1" applyAlignment="1" applyProtection="1">
      <alignment horizontal="left"/>
    </xf>
    <xf numFmtId="184" fontId="20" fillId="0" borderId="0" xfId="182" applyNumberFormat="1" applyFont="1" applyAlignment="1" applyProtection="1">
      <alignment horizontal="left"/>
    </xf>
    <xf numFmtId="0" fontId="22" fillId="0" borderId="0" xfId="182" applyFont="1"/>
    <xf numFmtId="0" fontId="20" fillId="0" borderId="0" xfId="182" applyFont="1" applyAlignment="1" applyProtection="1">
      <alignment horizontal="right"/>
    </xf>
    <xf numFmtId="0" fontId="20" fillId="0" borderId="1" xfId="182" applyFont="1" applyBorder="1" applyAlignment="1" applyProtection="1">
      <alignment horizontal="left"/>
    </xf>
    <xf numFmtId="0" fontId="20" fillId="0" borderId="1" xfId="182" applyFont="1" applyBorder="1" applyProtection="1"/>
    <xf numFmtId="1" fontId="20" fillId="0" borderId="1" xfId="182" applyNumberFormat="1" applyFont="1" applyBorder="1" applyProtection="1"/>
    <xf numFmtId="0" fontId="34" fillId="0" borderId="0" xfId="182" applyFont="1" applyAlignment="1" applyProtection="1">
      <alignment horizontal="center"/>
    </xf>
    <xf numFmtId="0" fontId="34" fillId="0" borderId="1" xfId="182" applyFont="1" applyBorder="1" applyProtection="1"/>
    <xf numFmtId="0" fontId="20" fillId="0" borderId="0" xfId="182" applyFont="1" applyAlignment="1" applyProtection="1">
      <alignment horizontal="centerContinuous"/>
    </xf>
    <xf numFmtId="0" fontId="20" fillId="0" borderId="0" xfId="182" applyFont="1" applyAlignment="1" applyProtection="1">
      <alignment horizontal="left"/>
    </xf>
    <xf numFmtId="0" fontId="34" fillId="0" borderId="0" xfId="182" applyFont="1" applyAlignment="1" applyProtection="1">
      <alignment horizontal="centerContinuous"/>
    </xf>
    <xf numFmtId="5" fontId="136" fillId="26" borderId="0" xfId="182" applyNumberFormat="1" applyFont="1" applyFill="1" applyBorder="1" applyProtection="1"/>
    <xf numFmtId="5" fontId="20" fillId="0" borderId="0" xfId="182" applyNumberFormat="1" applyFont="1" applyFill="1" applyProtection="1"/>
    <xf numFmtId="5" fontId="20" fillId="0" borderId="1" xfId="182" applyNumberFormat="1" applyFont="1" applyFill="1" applyBorder="1" applyProtection="1"/>
    <xf numFmtId="0" fontId="20" fillId="0" borderId="49" xfId="182" applyFont="1" applyBorder="1" applyProtection="1"/>
    <xf numFmtId="5" fontId="20" fillId="0" borderId="49" xfId="182" applyNumberFormat="1" applyFont="1" applyFill="1" applyBorder="1" applyProtection="1"/>
    <xf numFmtId="5" fontId="20" fillId="0" borderId="0" xfId="182" applyNumberFormat="1" applyFont="1" applyFill="1" applyBorder="1" applyProtection="1"/>
    <xf numFmtId="169" fontId="20" fillId="2" borderId="1" xfId="182" applyNumberFormat="1" applyFont="1" applyFill="1" applyBorder="1" applyProtection="1">
      <protection locked="0"/>
    </xf>
    <xf numFmtId="5" fontId="20" fillId="0" borderId="14" xfId="182" applyNumberFormat="1" applyFont="1" applyFill="1" applyBorder="1" applyProtection="1"/>
    <xf numFmtId="0" fontId="20" fillId="0" borderId="49" xfId="182" applyFont="1" applyFill="1" applyBorder="1" applyProtection="1"/>
    <xf numFmtId="0" fontId="34" fillId="0" borderId="0" xfId="182" applyFont="1" applyBorder="1" applyAlignment="1" applyProtection="1">
      <alignment horizontal="left"/>
    </xf>
    <xf numFmtId="0" fontId="20" fillId="0" borderId="0" xfId="182" applyFont="1" applyBorder="1" applyAlignment="1" applyProtection="1">
      <alignment horizontal="centerContinuous"/>
    </xf>
    <xf numFmtId="169" fontId="20" fillId="0" borderId="0" xfId="182" applyNumberFormat="1" applyFont="1" applyFill="1" applyBorder="1" applyAlignment="1" applyProtection="1">
      <alignment horizontal="right"/>
    </xf>
    <xf numFmtId="0" fontId="20" fillId="0" borderId="0" xfId="182" applyFont="1" applyFill="1" applyBorder="1" applyAlignment="1" applyProtection="1">
      <alignment horizontal="centerContinuous"/>
    </xf>
    <xf numFmtId="0" fontId="34" fillId="0" borderId="0" xfId="182" applyFont="1" applyBorder="1" applyAlignment="1" applyProtection="1">
      <alignment horizontal="centerContinuous"/>
    </xf>
    <xf numFmtId="177" fontId="20" fillId="0" borderId="0" xfId="182" applyNumberFormat="1" applyFont="1" applyAlignment="1" applyProtection="1">
      <alignment horizontal="right"/>
    </xf>
    <xf numFmtId="3" fontId="20" fillId="0" borderId="0" xfId="182" applyNumberFormat="1" applyFont="1" applyProtection="1"/>
    <xf numFmtId="169" fontId="20" fillId="2" borderId="14" xfId="182" applyNumberFormat="1" applyFont="1" applyFill="1" applyBorder="1" applyProtection="1">
      <protection locked="0"/>
    </xf>
    <xf numFmtId="0" fontId="148" fillId="0" borderId="0" xfId="182" applyFont="1" applyProtection="1"/>
    <xf numFmtId="2" fontId="20" fillId="0" borderId="0" xfId="182" applyNumberFormat="1" applyFont="1" applyAlignment="1" applyProtection="1">
      <alignment horizontal="right"/>
    </xf>
    <xf numFmtId="169" fontId="148" fillId="0" borderId="0" xfId="182" applyNumberFormat="1" applyFont="1" applyBorder="1" applyAlignment="1" applyProtection="1">
      <alignment horizontal="right"/>
    </xf>
    <xf numFmtId="0" fontId="149" fillId="0" borderId="0" xfId="182" applyFont="1" applyAlignment="1" applyProtection="1">
      <alignment horizontal="left"/>
    </xf>
    <xf numFmtId="169" fontId="20" fillId="0" borderId="0" xfId="182" applyNumberFormat="1" applyFont="1" applyFill="1" applyBorder="1" applyProtection="1"/>
    <xf numFmtId="177" fontId="20" fillId="0" borderId="0" xfId="182" applyNumberFormat="1" applyFont="1" applyProtection="1"/>
    <xf numFmtId="16" fontId="20" fillId="0" borderId="0" xfId="182" applyNumberFormat="1" applyFont="1" applyAlignment="1" applyProtection="1">
      <alignment horizontal="right"/>
    </xf>
    <xf numFmtId="169" fontId="20" fillId="0" borderId="1" xfId="182" applyNumberFormat="1" applyFont="1" applyFill="1" applyBorder="1" applyProtection="1"/>
    <xf numFmtId="0" fontId="20" fillId="0" borderId="0" xfId="182" applyFont="1" applyBorder="1" applyProtection="1"/>
    <xf numFmtId="0" fontId="40" fillId="0" borderId="0" xfId="182" applyFont="1" applyProtection="1"/>
    <xf numFmtId="0" fontId="34" fillId="0" borderId="0" xfId="182" applyFont="1" applyProtection="1"/>
    <xf numFmtId="0" fontId="8" fillId="0" borderId="0" xfId="182" applyFont="1" applyProtection="1"/>
    <xf numFmtId="0" fontId="20" fillId="0" borderId="0" xfId="182" applyFont="1" applyBorder="1" applyAlignment="1" applyProtection="1">
      <alignment horizontal="right"/>
    </xf>
    <xf numFmtId="0" fontId="20" fillId="0" borderId="0" xfId="182" applyFont="1"/>
    <xf numFmtId="0" fontId="20" fillId="0" borderId="1" xfId="182" applyFont="1" applyBorder="1" applyAlignment="1" applyProtection="1">
      <alignment horizontal="right"/>
    </xf>
    <xf numFmtId="0" fontId="34" fillId="0" borderId="1" xfId="182" applyFont="1" applyBorder="1" applyAlignment="1" applyProtection="1">
      <alignment horizontal="centerContinuous"/>
    </xf>
    <xf numFmtId="0" fontId="20" fillId="0" borderId="0" xfId="182" applyFont="1" applyFill="1" applyProtection="1"/>
    <xf numFmtId="0" fontId="34" fillId="0" borderId="49" xfId="182" applyFont="1" applyBorder="1" applyProtection="1"/>
    <xf numFmtId="169" fontId="20" fillId="0" borderId="49" xfId="182" applyNumberFormat="1" applyFont="1" applyFill="1" applyBorder="1" applyAlignment="1" applyProtection="1">
      <alignment horizontal="right"/>
    </xf>
    <xf numFmtId="0" fontId="8" fillId="0" borderId="0" xfId="182" applyFont="1" applyBorder="1" applyProtection="1"/>
    <xf numFmtId="0" fontId="8" fillId="0" borderId="0" xfId="182" applyFont="1" applyBorder="1" applyAlignment="1" applyProtection="1">
      <alignment horizontal="left"/>
    </xf>
    <xf numFmtId="185" fontId="8" fillId="0" borderId="0" xfId="182" applyNumberFormat="1" applyFont="1" applyProtection="1"/>
    <xf numFmtId="5" fontId="8" fillId="0" borderId="1" xfId="182" applyNumberFormat="1" applyFont="1" applyFill="1" applyBorder="1" applyProtection="1"/>
    <xf numFmtId="186" fontId="8" fillId="0" borderId="0" xfId="182" applyNumberFormat="1" applyFont="1" applyProtection="1"/>
    <xf numFmtId="5" fontId="8" fillId="0" borderId="0" xfId="182" applyNumberFormat="1" applyFont="1" applyProtection="1"/>
    <xf numFmtId="5" fontId="8" fillId="0" borderId="1" xfId="182" applyNumberFormat="1" applyFont="1" applyBorder="1" applyProtection="1"/>
    <xf numFmtId="5" fontId="8" fillId="0" borderId="0" xfId="182" applyNumberFormat="1" applyFont="1" applyBorder="1" applyProtection="1"/>
    <xf numFmtId="0" fontId="8" fillId="0" borderId="0" xfId="182" applyFont="1" applyAlignment="1" applyProtection="1">
      <alignment horizontal="right"/>
    </xf>
    <xf numFmtId="172" fontId="8" fillId="0" borderId="0" xfId="182" applyNumberFormat="1" applyFont="1" applyProtection="1"/>
    <xf numFmtId="0" fontId="97" fillId="0" borderId="0" xfId="182" applyFont="1" applyProtection="1"/>
    <xf numFmtId="185" fontId="20" fillId="0" borderId="0" xfId="182" applyNumberFormat="1" applyFont="1" applyProtection="1"/>
    <xf numFmtId="0" fontId="133" fillId="0" borderId="0" xfId="182" applyFont="1" applyProtection="1"/>
    <xf numFmtId="0" fontId="12" fillId="0" borderId="0" xfId="182" applyFont="1" applyProtection="1"/>
    <xf numFmtId="174" fontId="20" fillId="2" borderId="1" xfId="182" applyNumberFormat="1" applyFont="1" applyFill="1" applyBorder="1" applyProtection="1">
      <protection locked="0"/>
    </xf>
    <xf numFmtId="187" fontId="8" fillId="0" borderId="0" xfId="182" applyNumberFormat="1" applyFont="1" applyBorder="1" applyProtection="1"/>
    <xf numFmtId="0" fontId="34" fillId="0" borderId="0" xfId="182" applyFont="1" applyBorder="1" applyProtection="1"/>
    <xf numFmtId="5" fontId="20" fillId="0" borderId="0" xfId="182" applyNumberFormat="1" applyFont="1" applyBorder="1" applyProtection="1"/>
    <xf numFmtId="37" fontId="20" fillId="0" borderId="0" xfId="182" applyNumberFormat="1" applyFont="1" applyFill="1" applyBorder="1" applyProtection="1"/>
    <xf numFmtId="0" fontId="20" fillId="0" borderId="0" xfId="182" applyFont="1" applyFill="1" applyBorder="1" applyProtection="1"/>
    <xf numFmtId="169" fontId="20" fillId="0" borderId="0" xfId="182" applyNumberFormat="1" applyFont="1" applyFill="1" applyAlignment="1" applyProtection="1">
      <alignment horizontal="right"/>
    </xf>
    <xf numFmtId="0" fontId="34" fillId="0" borderId="0" xfId="182" applyFont="1" applyFill="1" applyAlignment="1" applyProtection="1">
      <alignment horizontal="center"/>
    </xf>
    <xf numFmtId="5" fontId="20" fillId="0" borderId="1" xfId="182" applyNumberFormat="1" applyFont="1" applyFill="1" applyBorder="1" applyAlignment="1" applyProtection="1">
      <alignment horizontal="right"/>
    </xf>
    <xf numFmtId="5" fontId="20" fillId="26" borderId="0" xfId="182" applyNumberFormat="1" applyFont="1" applyFill="1" applyBorder="1" applyProtection="1"/>
    <xf numFmtId="5" fontId="20" fillId="0" borderId="0" xfId="182" applyNumberFormat="1" applyFont="1" applyProtection="1"/>
    <xf numFmtId="5" fontId="20" fillId="2" borderId="1" xfId="182" applyNumberFormat="1" applyFont="1" applyFill="1" applyBorder="1" applyProtection="1">
      <protection locked="0"/>
    </xf>
    <xf numFmtId="5" fontId="20" fillId="0" borderId="49" xfId="182" applyNumberFormat="1" applyFont="1" applyBorder="1" applyProtection="1"/>
    <xf numFmtId="5" fontId="20" fillId="2" borderId="14" xfId="182" applyNumberFormat="1" applyFont="1" applyFill="1" applyBorder="1" applyProtection="1">
      <protection locked="0"/>
    </xf>
    <xf numFmtId="0" fontId="8" fillId="0" borderId="0" xfId="182" applyFont="1"/>
    <xf numFmtId="5" fontId="20" fillId="2" borderId="1" xfId="182" applyNumberFormat="1" applyFont="1" applyFill="1" applyBorder="1" applyAlignment="1" applyProtection="1">
      <alignment horizontal="right"/>
      <protection locked="0"/>
    </xf>
    <xf numFmtId="5" fontId="20" fillId="2" borderId="14" xfId="182" applyNumberFormat="1" applyFont="1" applyFill="1" applyBorder="1" applyAlignment="1" applyProtection="1">
      <alignment horizontal="right"/>
      <protection locked="0"/>
    </xf>
    <xf numFmtId="0" fontId="20" fillId="2" borderId="1" xfId="182" applyFont="1" applyFill="1" applyBorder="1" applyProtection="1">
      <protection locked="0"/>
    </xf>
    <xf numFmtId="3" fontId="20" fillId="0" borderId="0" xfId="182" applyNumberFormat="1" applyFont="1" applyBorder="1" applyProtection="1"/>
    <xf numFmtId="5" fontId="40" fillId="2" borderId="14" xfId="182" applyNumberFormat="1" applyFont="1" applyFill="1" applyBorder="1" applyProtection="1">
      <protection locked="0"/>
    </xf>
    <xf numFmtId="0" fontId="20" fillId="0" borderId="0" xfId="182" applyFont="1" applyFill="1" applyProtection="1">
      <protection locked="0"/>
    </xf>
    <xf numFmtId="1" fontId="20" fillId="0" borderId="0" xfId="182" applyNumberFormat="1" applyFont="1" applyBorder="1" applyProtection="1"/>
    <xf numFmtId="16" fontId="20" fillId="0" borderId="0" xfId="182" applyNumberFormat="1" applyFont="1" applyBorder="1" applyAlignment="1" applyProtection="1">
      <alignment horizontal="right"/>
    </xf>
    <xf numFmtId="3" fontId="20" fillId="0" borderId="0" xfId="182" applyNumberFormat="1" applyFont="1" applyAlignment="1" applyProtection="1">
      <alignment horizontal="right"/>
    </xf>
    <xf numFmtId="169" fontId="20" fillId="0" borderId="0" xfId="182" applyNumberFormat="1" applyFont="1" applyBorder="1" applyProtection="1"/>
    <xf numFmtId="2" fontId="20" fillId="0" borderId="0" xfId="182" applyNumberFormat="1" applyFont="1" applyBorder="1" applyProtection="1"/>
    <xf numFmtId="0" fontId="34" fillId="0" borderId="0" xfId="182" applyFont="1" applyBorder="1" applyAlignment="1" applyProtection="1">
      <alignment horizontal="right"/>
    </xf>
    <xf numFmtId="0" fontId="8" fillId="0" borderId="0" xfId="183" applyFont="1" applyProtection="1"/>
    <xf numFmtId="0" fontId="22" fillId="0" borderId="0" xfId="183" applyFont="1" applyProtection="1"/>
    <xf numFmtId="170" fontId="8" fillId="0" borderId="0" xfId="183" applyNumberFormat="1" applyFont="1" applyAlignment="1" applyProtection="1">
      <alignment horizontal="left"/>
    </xf>
    <xf numFmtId="0" fontId="12" fillId="0" borderId="0" xfId="183" applyFont="1" applyAlignment="1" applyProtection="1">
      <alignment horizontal="centerContinuous"/>
    </xf>
    <xf numFmtId="0" fontId="8" fillId="0" borderId="0" xfId="183" applyFont="1" applyAlignment="1" applyProtection="1">
      <alignment horizontal="centerContinuous"/>
    </xf>
    <xf numFmtId="0" fontId="12" fillId="0" borderId="0" xfId="183" applyFont="1" applyAlignment="1" applyProtection="1">
      <alignment horizontal="right"/>
    </xf>
    <xf numFmtId="1" fontId="8" fillId="0" borderId="1" xfId="183" applyNumberFormat="1" applyFont="1" applyFill="1" applyBorder="1" applyProtection="1"/>
    <xf numFmtId="167" fontId="8" fillId="2" borderId="1" xfId="183" applyNumberFormat="1" applyFont="1" applyFill="1" applyBorder="1" applyProtection="1">
      <protection locked="0"/>
    </xf>
    <xf numFmtId="0" fontId="8" fillId="0" borderId="0" xfId="183" applyFont="1" applyBorder="1" applyProtection="1"/>
    <xf numFmtId="167" fontId="8" fillId="0" borderId="1" xfId="183" applyNumberFormat="1" applyFont="1" applyFill="1" applyBorder="1" applyProtection="1"/>
    <xf numFmtId="167" fontId="8" fillId="0" borderId="0" xfId="183" applyNumberFormat="1" applyFont="1" applyProtection="1"/>
    <xf numFmtId="5" fontId="8" fillId="0" borderId="1" xfId="183" applyNumberFormat="1" applyFont="1" applyFill="1" applyBorder="1" applyAlignment="1" applyProtection="1"/>
    <xf numFmtId="168" fontId="8" fillId="0" borderId="0" xfId="183" applyNumberFormat="1" applyFont="1" applyProtection="1"/>
    <xf numFmtId="3" fontId="8" fillId="0" borderId="0" xfId="183" applyNumberFormat="1" applyFont="1" applyProtection="1"/>
    <xf numFmtId="0" fontId="8" fillId="0" borderId="15" xfId="183" applyFont="1" applyBorder="1" applyProtection="1"/>
    <xf numFmtId="38" fontId="8" fillId="0" borderId="0" xfId="180" applyFont="1" applyProtection="1"/>
    <xf numFmtId="0" fontId="22" fillId="0" borderId="0" xfId="183" applyFont="1" applyBorder="1" applyProtection="1"/>
    <xf numFmtId="5" fontId="8" fillId="2" borderId="1" xfId="183" applyNumberFormat="1" applyFont="1" applyFill="1" applyBorder="1" applyProtection="1">
      <protection locked="0"/>
    </xf>
    <xf numFmtId="5" fontId="8" fillId="0" borderId="0" xfId="183" applyNumberFormat="1" applyFont="1" applyProtection="1"/>
    <xf numFmtId="5" fontId="8" fillId="0" borderId="0" xfId="183" applyNumberFormat="1" applyFont="1" applyFill="1" applyProtection="1"/>
    <xf numFmtId="5" fontId="8" fillId="0" borderId="1" xfId="183" applyNumberFormat="1" applyFont="1" applyFill="1" applyBorder="1" applyProtection="1"/>
    <xf numFmtId="0" fontId="8" fillId="0" borderId="1" xfId="183" applyFont="1" applyBorder="1" applyProtection="1"/>
    <xf numFmtId="5" fontId="8" fillId="0" borderId="14" xfId="183" applyNumberFormat="1" applyFont="1" applyBorder="1" applyProtection="1"/>
    <xf numFmtId="0" fontId="8" fillId="0" borderId="0" xfId="183" applyFont="1"/>
    <xf numFmtId="0" fontId="150" fillId="0" borderId="0" xfId="183" applyFont="1" applyProtection="1"/>
    <xf numFmtId="168" fontId="8" fillId="2" borderId="1" xfId="183" applyNumberFormat="1" applyFont="1" applyFill="1" applyBorder="1" applyProtection="1">
      <protection locked="0"/>
    </xf>
    <xf numFmtId="0" fontId="151" fillId="0" borderId="0" xfId="183" applyFont="1" applyProtection="1"/>
    <xf numFmtId="0" fontId="8" fillId="0" borderId="0" xfId="177" applyProtection="1"/>
    <xf numFmtId="0" fontId="8" fillId="0" borderId="0" xfId="177" applyAlignment="1" applyProtection="1">
      <alignment horizontal="right"/>
    </xf>
    <xf numFmtId="0" fontId="8" fillId="0" borderId="0" xfId="177" applyAlignment="1" applyProtection="1">
      <alignment horizontal="left"/>
    </xf>
    <xf numFmtId="0" fontId="12" fillId="0" borderId="0" xfId="177" applyFont="1" applyBorder="1" applyAlignment="1" applyProtection="1">
      <alignment horizontal="center"/>
    </xf>
    <xf numFmtId="0" fontId="135" fillId="0" borderId="0" xfId="177" applyFont="1" applyProtection="1"/>
    <xf numFmtId="0" fontId="8" fillId="0" borderId="0" xfId="177" quotePrefix="1" applyFont="1" applyProtection="1"/>
    <xf numFmtId="0" fontId="8" fillId="0" borderId="0" xfId="177" applyFont="1" applyProtection="1"/>
    <xf numFmtId="0" fontId="8" fillId="0" borderId="0" xfId="177" applyFont="1" applyBorder="1" applyAlignment="1" applyProtection="1">
      <alignment horizontal="center"/>
    </xf>
    <xf numFmtId="0" fontId="8" fillId="0" borderId="0" xfId="177" applyBorder="1" applyAlignment="1" applyProtection="1">
      <alignment horizontal="center"/>
    </xf>
    <xf numFmtId="0" fontId="8" fillId="0" borderId="13" xfId="177" applyFont="1" applyBorder="1" applyProtection="1"/>
    <xf numFmtId="3" fontId="8" fillId="14" borderId="13" xfId="177" applyNumberFormat="1" applyFill="1" applyBorder="1" applyProtection="1">
      <protection locked="0"/>
    </xf>
    <xf numFmtId="3" fontId="8" fillId="0" borderId="13" xfId="177" applyNumberFormat="1" applyFont="1" applyBorder="1" applyProtection="1"/>
    <xf numFmtId="3" fontId="98" fillId="0" borderId="0" xfId="177" applyNumberFormat="1" applyFont="1" applyBorder="1" applyProtection="1"/>
    <xf numFmtId="0" fontId="8" fillId="0" borderId="13" xfId="177" applyFont="1" applyBorder="1" applyAlignment="1" applyProtection="1">
      <alignment horizontal="left" wrapText="1"/>
    </xf>
    <xf numFmtId="168" fontId="8" fillId="0" borderId="12" xfId="177" applyNumberFormat="1" applyBorder="1" applyProtection="1"/>
    <xf numFmtId="168" fontId="8" fillId="0" borderId="0" xfId="177" applyNumberFormat="1" applyBorder="1" applyProtection="1"/>
    <xf numFmtId="3" fontId="98" fillId="0" borderId="0" xfId="177" applyNumberFormat="1" applyFont="1" applyFill="1" applyBorder="1" applyProtection="1"/>
    <xf numFmtId="3" fontId="89" fillId="0" borderId="0" xfId="177" applyNumberFormat="1" applyFont="1" applyFill="1" applyBorder="1" applyProtection="1"/>
    <xf numFmtId="168" fontId="8" fillId="0" borderId="0" xfId="177" applyNumberFormat="1" applyFill="1" applyBorder="1" applyAlignment="1" applyProtection="1">
      <alignment horizontal="right"/>
    </xf>
    <xf numFmtId="0" fontId="99" fillId="0" borderId="0" xfId="177" applyFont="1" applyProtection="1"/>
    <xf numFmtId="168" fontId="8" fillId="0" borderId="0" xfId="177" applyNumberFormat="1" applyBorder="1" applyAlignment="1" applyProtection="1">
      <alignment horizontal="right"/>
    </xf>
    <xf numFmtId="0" fontId="152" fillId="0" borderId="0" xfId="177" applyFont="1" applyProtection="1"/>
    <xf numFmtId="0" fontId="89" fillId="0" borderId="0" xfId="177" applyFont="1" applyProtection="1"/>
    <xf numFmtId="0" fontId="8" fillId="0" borderId="1" xfId="177" applyBorder="1" applyProtection="1"/>
    <xf numFmtId="0" fontId="9" fillId="0" borderId="0" xfId="177" applyFont="1" applyProtection="1"/>
    <xf numFmtId="0" fontId="8" fillId="0" borderId="0" xfId="177" applyBorder="1" applyProtection="1"/>
    <xf numFmtId="0" fontId="153" fillId="0" borderId="0" xfId="177" applyFont="1" applyBorder="1" applyProtection="1"/>
    <xf numFmtId="0" fontId="9" fillId="0" borderId="0" xfId="177" applyFont="1" applyBorder="1" applyProtection="1"/>
    <xf numFmtId="0" fontId="8" fillId="0" borderId="0" xfId="184" applyFont="1" applyFill="1" applyBorder="1" applyProtection="1"/>
    <xf numFmtId="0" fontId="8" fillId="0" borderId="0" xfId="184" applyFont="1" applyFill="1" applyBorder="1" applyAlignment="1" applyProtection="1">
      <alignment horizontal="right"/>
    </xf>
    <xf numFmtId="164" fontId="8" fillId="0" borderId="1" xfId="184" applyNumberFormat="1" applyFont="1" applyFill="1" applyBorder="1" applyAlignment="1" applyProtection="1">
      <alignment horizontal="left"/>
    </xf>
    <xf numFmtId="0" fontId="8" fillId="0" borderId="0" xfId="184" applyFont="1" applyFill="1" applyBorder="1" applyAlignment="1" applyProtection="1">
      <alignment horizontal="centerContinuous"/>
    </xf>
    <xf numFmtId="0" fontId="132" fillId="0" borderId="0" xfId="177" applyFont="1"/>
    <xf numFmtId="0" fontId="8" fillId="0" borderId="1" xfId="184" applyFont="1" applyFill="1" applyBorder="1" applyAlignment="1" applyProtection="1">
      <alignment horizontal="centerContinuous"/>
    </xf>
    <xf numFmtId="0" fontId="12" fillId="0" borderId="0" xfId="184" applyFont="1" applyFill="1" applyBorder="1" applyAlignment="1" applyProtection="1">
      <alignment horizontal="left"/>
    </xf>
    <xf numFmtId="0" fontId="8" fillId="0" borderId="0" xfId="184" applyFont="1" applyFill="1" applyBorder="1" applyAlignment="1" applyProtection="1">
      <alignment horizontal="left"/>
    </xf>
    <xf numFmtId="0" fontId="8" fillId="0" borderId="0" xfId="184" applyFont="1" applyFill="1"/>
    <xf numFmtId="0" fontId="8" fillId="0" borderId="0" xfId="177" applyFont="1"/>
    <xf numFmtId="0" fontId="8" fillId="0" borderId="0" xfId="177" quotePrefix="1" applyFont="1" applyBorder="1" applyAlignment="1">
      <alignment horizontal="right"/>
    </xf>
    <xf numFmtId="5" fontId="8" fillId="0" borderId="1" xfId="177" applyNumberFormat="1" applyFont="1" applyFill="1" applyBorder="1"/>
    <xf numFmtId="5" fontId="8" fillId="0" borderId="0" xfId="184" applyNumberFormat="1" applyFont="1" applyFill="1" applyBorder="1" applyProtection="1"/>
    <xf numFmtId="0" fontId="89" fillId="0" borderId="0" xfId="177" applyFont="1"/>
    <xf numFmtId="0" fontId="8" fillId="0" borderId="0" xfId="177" applyFont="1" applyBorder="1"/>
    <xf numFmtId="167" fontId="8" fillId="0" borderId="1" xfId="177" applyNumberFormat="1" applyFont="1" applyBorder="1"/>
    <xf numFmtId="0" fontId="8" fillId="0" borderId="0" xfId="177" applyFont="1" applyAlignment="1">
      <alignment horizontal="center"/>
    </xf>
    <xf numFmtId="6" fontId="8" fillId="0" borderId="0" xfId="177" applyNumberFormat="1" applyFont="1" applyBorder="1"/>
    <xf numFmtId="3" fontId="8" fillId="0" borderId="0" xfId="177" applyNumberFormat="1" applyFont="1" applyBorder="1"/>
    <xf numFmtId="167" fontId="8" fillId="0" borderId="14" xfId="177" applyNumberFormat="1" applyFont="1" applyBorder="1"/>
    <xf numFmtId="6" fontId="8" fillId="0" borderId="0" xfId="177" applyNumberFormat="1" applyFont="1"/>
    <xf numFmtId="3" fontId="8" fillId="0" borderId="15" xfId="177" applyNumberFormat="1" applyFont="1" applyBorder="1"/>
    <xf numFmtId="4" fontId="8" fillId="0" borderId="14" xfId="177" applyNumberFormat="1" applyFont="1" applyBorder="1"/>
    <xf numFmtId="3" fontId="8" fillId="0" borderId="14" xfId="177" applyNumberFormat="1" applyFont="1" applyBorder="1"/>
    <xf numFmtId="0" fontId="14" fillId="0" borderId="0" xfId="177" applyFont="1"/>
    <xf numFmtId="3" fontId="8" fillId="0" borderId="1" xfId="177" applyNumberFormat="1" applyFont="1" applyBorder="1"/>
    <xf numFmtId="3" fontId="8" fillId="0" borderId="0" xfId="177" applyNumberFormat="1" applyFont="1"/>
    <xf numFmtId="0" fontId="8" fillId="0" borderId="0" xfId="177" applyProtection="1">
      <protection locked="0"/>
    </xf>
    <xf numFmtId="0" fontId="8" fillId="0" borderId="0" xfId="177" applyFont="1" applyAlignment="1">
      <alignment horizontal="left"/>
    </xf>
    <xf numFmtId="3" fontId="8" fillId="0" borderId="1" xfId="177" applyNumberFormat="1" applyFont="1" applyFill="1" applyBorder="1"/>
    <xf numFmtId="0" fontId="8" fillId="0" borderId="0" xfId="177" quotePrefix="1" applyFont="1" applyAlignment="1">
      <alignment horizontal="right"/>
    </xf>
    <xf numFmtId="3" fontId="8" fillId="0" borderId="1" xfId="177" quotePrefix="1" applyNumberFormat="1" applyFont="1" applyBorder="1" applyAlignment="1">
      <alignment horizontal="right"/>
    </xf>
    <xf numFmtId="3" fontId="8" fillId="0" borderId="0" xfId="177" quotePrefix="1" applyNumberFormat="1" applyFont="1" applyBorder="1" applyAlignment="1">
      <alignment horizontal="right"/>
    </xf>
    <xf numFmtId="3" fontId="8" fillId="14" borderId="1" xfId="177" applyNumberFormat="1" applyFont="1" applyFill="1" applyBorder="1" applyProtection="1">
      <protection locked="0"/>
    </xf>
    <xf numFmtId="0" fontId="90" fillId="0" borderId="0" xfId="177" applyFont="1"/>
    <xf numFmtId="0" fontId="135" fillId="0" borderId="0" xfId="177" applyFont="1"/>
    <xf numFmtId="0" fontId="8" fillId="66" borderId="0" xfId="177" applyFont="1" applyFill="1" applyAlignment="1">
      <alignment horizontal="right"/>
    </xf>
    <xf numFmtId="0" fontId="99" fillId="66" borderId="0" xfId="177" applyFont="1" applyFill="1"/>
    <xf numFmtId="0" fontId="8" fillId="66" borderId="0" xfId="177" applyFill="1"/>
    <xf numFmtId="3" fontId="8" fillId="61" borderId="1" xfId="177" applyNumberFormat="1" applyFill="1" applyBorder="1"/>
    <xf numFmtId="0" fontId="89" fillId="66" borderId="0" xfId="177" applyFont="1" applyFill="1"/>
    <xf numFmtId="0" fontId="8" fillId="66" borderId="0" xfId="177" applyFont="1" applyFill="1"/>
    <xf numFmtId="3" fontId="8" fillId="66" borderId="14" xfId="177" applyNumberFormat="1" applyFill="1" applyBorder="1"/>
    <xf numFmtId="3" fontId="8" fillId="14" borderId="32" xfId="177" applyNumberFormat="1" applyFill="1" applyBorder="1" applyProtection="1">
      <protection locked="0"/>
    </xf>
    <xf numFmtId="0" fontId="155" fillId="66" borderId="0" xfId="177" applyFont="1" applyFill="1"/>
    <xf numFmtId="3" fontId="8" fillId="66" borderId="0" xfId="177" applyNumberFormat="1" applyFill="1"/>
    <xf numFmtId="0" fontId="8" fillId="0" borderId="0" xfId="177" applyFont="1" applyFill="1" applyBorder="1"/>
    <xf numFmtId="5" fontId="8" fillId="0" borderId="1" xfId="177" applyNumberFormat="1" applyFont="1" applyBorder="1"/>
    <xf numFmtId="3" fontId="8" fillId="0" borderId="14" xfId="177" quotePrefix="1" applyNumberFormat="1" applyFont="1" applyFill="1" applyBorder="1" applyAlignment="1">
      <alignment horizontal="right"/>
    </xf>
    <xf numFmtId="0" fontId="17" fillId="0" borderId="0" xfId="177" applyFont="1"/>
    <xf numFmtId="168" fontId="8" fillId="0" borderId="1" xfId="177" applyNumberFormat="1" applyFont="1" applyBorder="1"/>
    <xf numFmtId="3" fontId="8" fillId="0" borderId="1" xfId="177" applyNumberFormat="1" applyFont="1" applyBorder="1" applyAlignment="1">
      <alignment horizontal="right"/>
    </xf>
    <xf numFmtId="167" fontId="8" fillId="0" borderId="0" xfId="177" applyNumberFormat="1" applyFont="1" applyBorder="1"/>
    <xf numFmtId="168" fontId="8" fillId="0" borderId="0" xfId="177" applyNumberFormat="1" applyFont="1" applyBorder="1"/>
    <xf numFmtId="3" fontId="8" fillId="0" borderId="0" xfId="177" applyNumberFormat="1" applyFont="1" applyBorder="1" applyAlignment="1">
      <alignment horizontal="right"/>
    </xf>
    <xf numFmtId="168" fontId="8" fillId="0" borderId="0" xfId="177" applyNumberFormat="1" applyFont="1" applyBorder="1" applyAlignment="1">
      <alignment horizontal="right"/>
    </xf>
    <xf numFmtId="0" fontId="156" fillId="0" borderId="0" xfId="177" applyFont="1"/>
    <xf numFmtId="5" fontId="8" fillId="0" borderId="1" xfId="177" applyNumberFormat="1" applyFont="1" applyBorder="1" applyAlignment="1">
      <alignment horizontal="right"/>
    </xf>
    <xf numFmtId="0" fontId="8" fillId="0" borderId="0" xfId="177" applyFont="1" applyAlignment="1">
      <alignment horizontal="right"/>
    </xf>
    <xf numFmtId="5" fontId="8" fillId="0" borderId="0" xfId="177" applyNumberFormat="1" applyFont="1"/>
    <xf numFmtId="0" fontId="8" fillId="0" borderId="0" xfId="47" applyFont="1" applyFill="1"/>
    <xf numFmtId="5" fontId="8" fillId="0" borderId="1" xfId="47" applyNumberFormat="1" applyFont="1" applyFill="1" applyBorder="1" applyAlignment="1"/>
    <xf numFmtId="0" fontId="156" fillId="0" borderId="0" xfId="177" applyFont="1" applyAlignment="1">
      <alignment horizontal="left"/>
    </xf>
    <xf numFmtId="5" fontId="8" fillId="0" borderId="0" xfId="47" applyNumberFormat="1" applyFont="1" applyFill="1" applyBorder="1" applyAlignment="1"/>
    <xf numFmtId="5" fontId="8" fillId="0" borderId="0" xfId="177" applyNumberFormat="1"/>
    <xf numFmtId="0" fontId="8" fillId="0" borderId="0" xfId="47" quotePrefix="1" applyFont="1" applyFill="1" applyAlignment="1">
      <alignment horizontal="right"/>
    </xf>
    <xf numFmtId="5" fontId="8" fillId="0" borderId="1" xfId="47" applyNumberFormat="1" applyFont="1" applyFill="1" applyBorder="1" applyAlignment="1">
      <alignment horizontal="right"/>
    </xf>
    <xf numFmtId="5" fontId="8" fillId="0" borderId="0" xfId="47" applyNumberFormat="1" applyFont="1" applyFill="1" applyBorder="1" applyAlignment="1">
      <alignment horizontal="right"/>
    </xf>
    <xf numFmtId="5" fontId="8" fillId="0" borderId="1" xfId="47" applyNumberFormat="1" applyFont="1" applyFill="1" applyBorder="1" applyAlignment="1" applyProtection="1">
      <alignment horizontal="right"/>
    </xf>
    <xf numFmtId="5" fontId="8" fillId="0" borderId="32" xfId="177" applyNumberFormat="1" applyBorder="1"/>
    <xf numFmtId="6" fontId="8" fillId="0" borderId="0" xfId="177" applyNumberFormat="1"/>
    <xf numFmtId="3" fontId="8" fillId="0" borderId="1" xfId="177" applyNumberFormat="1" applyBorder="1"/>
    <xf numFmtId="168" fontId="8" fillId="0" borderId="1" xfId="177" applyNumberFormat="1" applyBorder="1"/>
    <xf numFmtId="3" fontId="8" fillId="0" borderId="0" xfId="177" applyNumberFormat="1" applyBorder="1"/>
    <xf numFmtId="5" fontId="8" fillId="0" borderId="1" xfId="177" applyNumberFormat="1" applyBorder="1"/>
    <xf numFmtId="0" fontId="8" fillId="0" borderId="49" xfId="177" applyBorder="1"/>
    <xf numFmtId="167" fontId="8" fillId="0" borderId="1" xfId="177" applyNumberFormat="1" applyFill="1" applyBorder="1" applyAlignment="1">
      <alignment horizontal="right"/>
    </xf>
    <xf numFmtId="167" fontId="8" fillId="0" borderId="1" xfId="177" applyNumberFormat="1" applyFill="1" applyBorder="1"/>
    <xf numFmtId="167" fontId="8" fillId="0" borderId="1" xfId="177" applyNumberFormat="1" applyFont="1" applyFill="1" applyBorder="1"/>
    <xf numFmtId="0" fontId="8" fillId="0" borderId="0" xfId="177" quotePrefix="1" applyFont="1" applyAlignment="1">
      <alignment horizontal="center"/>
    </xf>
    <xf numFmtId="0" fontId="8" fillId="0" borderId="0" xfId="177" quotePrefix="1" applyFont="1"/>
    <xf numFmtId="167" fontId="8" fillId="0" borderId="1" xfId="177" applyNumberFormat="1" applyBorder="1"/>
    <xf numFmtId="167" fontId="8" fillId="0" borderId="1" xfId="177" applyNumberFormat="1" applyBorder="1" applyAlignment="1">
      <alignment horizontal="right"/>
    </xf>
    <xf numFmtId="0" fontId="8" fillId="0" borderId="0" xfId="185" applyFont="1" applyFill="1"/>
    <xf numFmtId="0" fontId="8" fillId="0" borderId="0" xfId="185" applyFont="1" applyFill="1" applyAlignment="1">
      <alignment horizontal="right"/>
    </xf>
    <xf numFmtId="0" fontId="8" fillId="0" borderId="0" xfId="185" applyFont="1" applyFill="1" applyBorder="1" applyAlignment="1">
      <alignment horizontal="right"/>
    </xf>
    <xf numFmtId="0" fontId="8" fillId="0" borderId="1" xfId="185" applyFont="1" applyFill="1" applyBorder="1" applyAlignment="1">
      <alignment horizontal="left"/>
    </xf>
    <xf numFmtId="170" fontId="8" fillId="0" borderId="0" xfId="185" applyNumberFormat="1" applyFont="1" applyFill="1" applyAlignment="1">
      <alignment horizontal="left"/>
    </xf>
    <xf numFmtId="0" fontId="12" fillId="0" borderId="0" xfId="185" applyFont="1" applyFill="1" applyAlignment="1">
      <alignment horizontal="centerContinuous"/>
    </xf>
    <xf numFmtId="0" fontId="8" fillId="0" borderId="0" xfId="185" applyFont="1" applyFill="1" applyAlignment="1">
      <alignment horizontal="centerContinuous"/>
    </xf>
    <xf numFmtId="9" fontId="8" fillId="0" borderId="0" xfId="177" applyNumberFormat="1"/>
    <xf numFmtId="0" fontId="8" fillId="0" borderId="0" xfId="177" quotePrefix="1"/>
    <xf numFmtId="0" fontId="89" fillId="0" borderId="0" xfId="177" applyFont="1" applyBorder="1"/>
    <xf numFmtId="2" fontId="8" fillId="14" borderId="1" xfId="177" applyNumberFormat="1" applyFill="1" applyBorder="1" applyAlignment="1" applyProtection="1">
      <alignment horizontal="right"/>
      <protection locked="0"/>
    </xf>
    <xf numFmtId="2" fontId="8" fillId="0" borderId="0" xfId="177" applyNumberFormat="1" applyFill="1" applyBorder="1" applyAlignment="1">
      <alignment horizontal="right"/>
    </xf>
    <xf numFmtId="0" fontId="8" fillId="0" borderId="0" xfId="177" applyFont="1" applyFill="1" applyBorder="1" applyProtection="1"/>
    <xf numFmtId="0" fontId="8" fillId="0" borderId="0" xfId="177" applyFill="1" applyProtection="1"/>
    <xf numFmtId="2" fontId="8" fillId="0" borderId="0" xfId="177" applyNumberFormat="1" applyFill="1" applyBorder="1" applyAlignment="1" applyProtection="1">
      <alignment horizontal="right"/>
    </xf>
    <xf numFmtId="1" fontId="8" fillId="0" borderId="1" xfId="177" applyNumberFormat="1" applyFont="1" applyFill="1" applyBorder="1" applyAlignment="1" applyProtection="1">
      <alignment horizontal="right"/>
    </xf>
    <xf numFmtId="2" fontId="8" fillId="0" borderId="1" xfId="177" applyNumberFormat="1" applyBorder="1" applyAlignment="1">
      <alignment horizontal="right"/>
    </xf>
    <xf numFmtId="2" fontId="89" fillId="0" borderId="0" xfId="177" applyNumberFormat="1" applyFont="1" applyBorder="1" applyAlignment="1">
      <alignment horizontal="left"/>
    </xf>
    <xf numFmtId="0" fontId="8" fillId="0" borderId="0" xfId="185" applyFont="1" applyFill="1" applyBorder="1"/>
    <xf numFmtId="2" fontId="8" fillId="0" borderId="0" xfId="177" applyNumberFormat="1" applyBorder="1" applyAlignment="1">
      <alignment horizontal="right"/>
    </xf>
    <xf numFmtId="2" fontId="8" fillId="0" borderId="0" xfId="177" applyNumberFormat="1" applyFill="1" applyBorder="1"/>
    <xf numFmtId="0" fontId="98" fillId="0" borderId="0" xfId="177" applyFont="1"/>
    <xf numFmtId="3" fontId="8" fillId="14" borderId="1" xfId="177" applyNumberFormat="1" applyFill="1" applyBorder="1" applyAlignment="1" applyProtection="1">
      <alignment horizontal="right"/>
      <protection locked="0"/>
    </xf>
    <xf numFmtId="3" fontId="8" fillId="0" borderId="0" xfId="177" applyNumberFormat="1"/>
    <xf numFmtId="14" fontId="157" fillId="0" borderId="0" xfId="177" applyNumberFormat="1" applyFont="1"/>
    <xf numFmtId="0" fontId="99" fillId="0" borderId="0" xfId="177" applyFont="1" applyAlignment="1"/>
    <xf numFmtId="0" fontId="99" fillId="0" borderId="0" xfId="177" applyFont="1"/>
    <xf numFmtId="1" fontId="8" fillId="0" borderId="0" xfId="177" applyNumberFormat="1"/>
    <xf numFmtId="2" fontId="8" fillId="0" borderId="0" xfId="177" applyNumberFormat="1"/>
    <xf numFmtId="1" fontId="8" fillId="0" borderId="0" xfId="177" applyNumberFormat="1" applyFill="1"/>
    <xf numFmtId="2" fontId="8" fillId="0" borderId="0" xfId="177" applyNumberFormat="1" applyFill="1"/>
    <xf numFmtId="0" fontId="8" fillId="0" borderId="0" xfId="186" applyFont="1" applyProtection="1"/>
    <xf numFmtId="188" fontId="8" fillId="0" borderId="0" xfId="186" applyNumberFormat="1" applyFont="1" applyProtection="1"/>
    <xf numFmtId="0" fontId="8" fillId="0" borderId="0" xfId="186" applyFont="1" applyAlignment="1">
      <alignment horizontal="centerContinuous"/>
    </xf>
    <xf numFmtId="0" fontId="12" fillId="0" borderId="0" xfId="186" applyFont="1" applyAlignment="1" applyProtection="1"/>
    <xf numFmtId="0" fontId="8" fillId="0" borderId="0" xfId="186" applyFont="1" applyAlignment="1" applyProtection="1"/>
    <xf numFmtId="0" fontId="12" fillId="0" borderId="0" xfId="186" applyFont="1" applyAlignment="1" applyProtection="1">
      <alignment horizontal="right"/>
    </xf>
    <xf numFmtId="164" fontId="12" fillId="0" borderId="1" xfId="186" applyNumberFormat="1" applyFont="1" applyFill="1" applyBorder="1" applyAlignment="1" applyProtection="1">
      <alignment horizontal="left"/>
    </xf>
    <xf numFmtId="0" fontId="22" fillId="0" borderId="0" xfId="186" applyFont="1" applyProtection="1"/>
    <xf numFmtId="0" fontId="8" fillId="0" borderId="0" xfId="186" applyFont="1" applyAlignment="1" applyProtection="1">
      <alignment horizontal="left"/>
    </xf>
    <xf numFmtId="0" fontId="8" fillId="0" borderId="0" xfId="186" applyFont="1"/>
    <xf numFmtId="0" fontId="8" fillId="0" borderId="0" xfId="186" applyFont="1" applyAlignment="1"/>
    <xf numFmtId="0" fontId="12" fillId="0" borderId="0" xfId="186" applyFont="1" applyAlignment="1">
      <alignment horizontal="centerContinuous"/>
    </xf>
    <xf numFmtId="0" fontId="8" fillId="0" borderId="0" xfId="186" applyFont="1" applyAlignment="1" applyProtection="1">
      <alignment horizontal="centerContinuous"/>
    </xf>
    <xf numFmtId="170" fontId="8" fillId="0" borderId="0" xfId="186" applyNumberFormat="1" applyFont="1" applyAlignment="1" applyProtection="1">
      <alignment horizontal="left"/>
    </xf>
    <xf numFmtId="0" fontId="12" fillId="0" borderId="0" xfId="186" applyFont="1" applyAlignment="1" applyProtection="1">
      <alignment horizontal="centerContinuous"/>
    </xf>
    <xf numFmtId="188" fontId="12" fillId="0" borderId="0" xfId="186" applyNumberFormat="1" applyFont="1" applyAlignment="1" applyProtection="1">
      <alignment horizontal="centerContinuous"/>
    </xf>
    <xf numFmtId="0" fontId="8" fillId="0" borderId="4" xfId="186" applyFont="1" applyBorder="1" applyProtection="1"/>
    <xf numFmtId="0" fontId="8" fillId="0" borderId="5" xfId="186" applyFont="1" applyBorder="1" applyProtection="1"/>
    <xf numFmtId="0" fontId="8" fillId="0" borderId="6" xfId="186" applyFont="1" applyBorder="1" applyProtection="1"/>
    <xf numFmtId="0" fontId="8" fillId="0" borderId="7" xfId="186" applyFont="1" applyBorder="1" applyAlignment="1" applyProtection="1">
      <alignment horizontal="center"/>
    </xf>
    <xf numFmtId="0" fontId="8" fillId="0" borderId="8" xfId="186" applyFont="1" applyBorder="1" applyProtection="1"/>
    <xf numFmtId="0" fontId="8" fillId="0" borderId="9" xfId="186" applyFont="1" applyBorder="1" applyProtection="1"/>
    <xf numFmtId="0" fontId="8" fillId="0" borderId="8" xfId="186" applyFont="1" applyBorder="1" applyAlignment="1" applyProtection="1">
      <alignment horizontal="centerContinuous"/>
    </xf>
    <xf numFmtId="0" fontId="8" fillId="0" borderId="9" xfId="186" applyFont="1" applyBorder="1" applyAlignment="1" applyProtection="1">
      <alignment horizontal="centerContinuous"/>
    </xf>
    <xf numFmtId="0" fontId="8" fillId="0" borderId="7" xfId="186" applyFont="1" applyBorder="1" applyAlignment="1" applyProtection="1">
      <alignment horizontal="centerContinuous"/>
    </xf>
    <xf numFmtId="0" fontId="8" fillId="0" borderId="1" xfId="186" applyFont="1" applyBorder="1" applyProtection="1"/>
    <xf numFmtId="188" fontId="8" fillId="0" borderId="1" xfId="186" applyNumberFormat="1" applyFont="1" applyBorder="1" applyProtection="1"/>
    <xf numFmtId="0" fontId="8" fillId="0" borderId="12" xfId="186" applyFont="1" applyBorder="1" applyAlignment="1" applyProtection="1">
      <alignment horizontal="center"/>
    </xf>
    <xf numFmtId="0" fontId="8" fillId="0" borderId="10" xfId="186" applyFont="1" applyBorder="1" applyAlignment="1" applyProtection="1">
      <alignment horizontal="center"/>
    </xf>
    <xf numFmtId="0" fontId="8" fillId="0" borderId="11" xfId="186" applyFont="1" applyBorder="1" applyAlignment="1" applyProtection="1">
      <alignment horizontal="center"/>
    </xf>
    <xf numFmtId="0" fontId="8" fillId="0" borderId="11" xfId="186" applyFont="1" applyBorder="1" applyAlignment="1" applyProtection="1">
      <alignment horizontal="centerContinuous"/>
    </xf>
    <xf numFmtId="0" fontId="8" fillId="0" borderId="12" xfId="186" applyFont="1" applyBorder="1" applyProtection="1"/>
    <xf numFmtId="0" fontId="8" fillId="0" borderId="50" xfId="186" applyFont="1" applyBorder="1" applyProtection="1"/>
    <xf numFmtId="188" fontId="8" fillId="0" borderId="50" xfId="186" applyNumberFormat="1" applyFont="1" applyBorder="1" applyProtection="1"/>
    <xf numFmtId="0" fontId="8" fillId="0" borderId="51" xfId="186" applyFont="1" applyBorder="1" applyProtection="1"/>
    <xf numFmtId="189" fontId="8" fillId="0" borderId="50" xfId="186" applyNumberFormat="1" applyFont="1" applyBorder="1" applyAlignment="1" applyProtection="1">
      <alignment horizontal="center"/>
    </xf>
    <xf numFmtId="0" fontId="8" fillId="0" borderId="52" xfId="186" applyFont="1" applyBorder="1" applyProtection="1"/>
    <xf numFmtId="2" fontId="8" fillId="0" borderId="51" xfId="186" applyNumberFormat="1" applyFont="1" applyBorder="1" applyProtection="1"/>
    <xf numFmtId="7" fontId="8" fillId="0" borderId="51" xfId="186" applyNumberFormat="1" applyFont="1" applyBorder="1" applyProtection="1"/>
    <xf numFmtId="0" fontId="12" fillId="0" borderId="0" xfId="186" applyFont="1" applyProtection="1"/>
    <xf numFmtId="189" fontId="8" fillId="0" borderId="7" xfId="186" applyNumberFormat="1" applyFont="1" applyBorder="1" applyAlignment="1" applyProtection="1">
      <alignment horizontal="center"/>
    </xf>
    <xf numFmtId="189" fontId="8" fillId="0" borderId="0" xfId="186" applyNumberFormat="1" applyFont="1" applyAlignment="1" applyProtection="1">
      <alignment horizontal="center"/>
    </xf>
    <xf numFmtId="2" fontId="8" fillId="0" borderId="7" xfId="186" applyNumberFormat="1" applyFont="1" applyBorder="1" applyProtection="1"/>
    <xf numFmtId="0" fontId="8" fillId="0" borderId="7" xfId="186" applyFont="1" applyBorder="1" applyProtection="1"/>
    <xf numFmtId="7" fontId="8" fillId="0" borderId="7" xfId="186" applyNumberFormat="1" applyFont="1" applyBorder="1" applyProtection="1"/>
    <xf numFmtId="3" fontId="8" fillId="2" borderId="10" xfId="186" applyNumberFormat="1" applyFont="1" applyFill="1" applyBorder="1" applyProtection="1">
      <protection locked="0"/>
    </xf>
    <xf numFmtId="189" fontId="8" fillId="0" borderId="7" xfId="186" applyNumberFormat="1" applyFont="1" applyFill="1" applyBorder="1" applyAlignment="1" applyProtection="1">
      <alignment horizontal="center"/>
    </xf>
    <xf numFmtId="5" fontId="8" fillId="0" borderId="11" xfId="186" applyNumberFormat="1" applyFont="1" applyFill="1" applyBorder="1" applyProtection="1"/>
    <xf numFmtId="189" fontId="8" fillId="0" borderId="0" xfId="186" applyNumberFormat="1" applyFont="1" applyFill="1" applyAlignment="1" applyProtection="1">
      <alignment horizontal="center"/>
    </xf>
    <xf numFmtId="5" fontId="8" fillId="0" borderId="12" xfId="186" applyNumberFormat="1" applyFont="1" applyFill="1" applyBorder="1" applyProtection="1"/>
    <xf numFmtId="2" fontId="8" fillId="2" borderId="12" xfId="186" applyNumberFormat="1" applyFont="1" applyFill="1" applyBorder="1" applyProtection="1">
      <protection locked="0"/>
    </xf>
    <xf numFmtId="3" fontId="8" fillId="2" borderId="2" xfId="186" applyNumberFormat="1" applyFont="1" applyFill="1" applyBorder="1" applyProtection="1">
      <protection locked="0"/>
    </xf>
    <xf numFmtId="2" fontId="8" fillId="2" borderId="13" xfId="186" applyNumberFormat="1" applyFont="1" applyFill="1" applyBorder="1" applyProtection="1">
      <protection locked="0"/>
    </xf>
    <xf numFmtId="2" fontId="8" fillId="2" borderId="4" xfId="186" applyNumberFormat="1" applyFont="1" applyFill="1" applyBorder="1" applyProtection="1">
      <protection locked="0"/>
    </xf>
    <xf numFmtId="5" fontId="8" fillId="0" borderId="7" xfId="186" applyNumberFormat="1" applyFont="1" applyFill="1" applyBorder="1" applyProtection="1"/>
    <xf numFmtId="5" fontId="8" fillId="0" borderId="10" xfId="186" applyNumberFormat="1" applyFont="1" applyFill="1" applyBorder="1" applyProtection="1"/>
    <xf numFmtId="2" fontId="8" fillId="67" borderId="4" xfId="186" applyNumberFormat="1" applyFont="1" applyFill="1" applyBorder="1" applyProtection="1"/>
    <xf numFmtId="5" fontId="8" fillId="67" borderId="6" xfId="186" applyNumberFormat="1" applyFont="1" applyFill="1" applyBorder="1" applyProtection="1"/>
    <xf numFmtId="5" fontId="8" fillId="0" borderId="9" xfId="186" applyNumberFormat="1" applyFont="1" applyFill="1" applyBorder="1" applyProtection="1"/>
    <xf numFmtId="5" fontId="8" fillId="0" borderId="8" xfId="186" applyNumberFormat="1" applyFont="1" applyFill="1" applyBorder="1" applyProtection="1"/>
    <xf numFmtId="2" fontId="8" fillId="0" borderId="7" xfId="186" applyNumberFormat="1" applyFont="1" applyFill="1" applyBorder="1" applyProtection="1"/>
    <xf numFmtId="189" fontId="8" fillId="67" borderId="7" xfId="186" applyNumberFormat="1" applyFont="1" applyFill="1" applyBorder="1" applyAlignment="1" applyProtection="1">
      <alignment horizontal="center"/>
    </xf>
    <xf numFmtId="0" fontId="8" fillId="67" borderId="0" xfId="186" applyFont="1" applyFill="1" applyProtection="1"/>
    <xf numFmtId="5" fontId="8" fillId="67" borderId="5" xfId="186" applyNumberFormat="1" applyFont="1" applyFill="1" applyBorder="1" applyProtection="1"/>
    <xf numFmtId="188" fontId="12" fillId="0" borderId="0" xfId="186" applyNumberFormat="1" applyFont="1" applyAlignment="1" applyProtection="1">
      <alignment horizontal="right"/>
    </xf>
    <xf numFmtId="3" fontId="8" fillId="0" borderId="5" xfId="186" applyNumberFormat="1" applyFont="1" applyFill="1" applyBorder="1" applyProtection="1"/>
    <xf numFmtId="0" fontId="8" fillId="67" borderId="0" xfId="186" applyFont="1" applyFill="1" applyBorder="1" applyProtection="1"/>
    <xf numFmtId="2" fontId="8" fillId="68" borderId="9" xfId="186" applyNumberFormat="1" applyFont="1" applyFill="1" applyBorder="1" applyProtection="1"/>
    <xf numFmtId="5" fontId="8" fillId="0" borderId="6" xfId="186" applyNumberFormat="1" applyFont="1" applyFill="1" applyBorder="1" applyProtection="1"/>
    <xf numFmtId="3" fontId="8" fillId="68" borderId="5" xfId="186" applyNumberFormat="1" applyFont="1" applyFill="1" applyBorder="1" applyProtection="1"/>
    <xf numFmtId="189" fontId="8" fillId="68" borderId="7" xfId="186" applyNumberFormat="1" applyFont="1" applyFill="1" applyBorder="1" applyAlignment="1" applyProtection="1">
      <alignment horizontal="center"/>
    </xf>
    <xf numFmtId="5" fontId="8" fillId="68" borderId="9" xfId="186" applyNumberFormat="1" applyFont="1" applyFill="1" applyBorder="1" applyProtection="1"/>
    <xf numFmtId="5" fontId="8" fillId="68" borderId="0" xfId="186" applyNumberFormat="1" applyFont="1" applyFill="1" applyProtection="1"/>
    <xf numFmtId="2" fontId="8" fillId="68" borderId="4" xfId="186" applyNumberFormat="1" applyFont="1" applyFill="1" applyBorder="1" applyProtection="1"/>
    <xf numFmtId="5" fontId="8" fillId="68" borderId="15" xfId="186" applyNumberFormat="1" applyFont="1" applyFill="1" applyBorder="1" applyProtection="1"/>
    <xf numFmtId="5" fontId="8" fillId="68" borderId="4" xfId="186" applyNumberFormat="1" applyFont="1" applyFill="1" applyBorder="1" applyProtection="1"/>
    <xf numFmtId="3" fontId="8" fillId="68" borderId="8" xfId="186" applyNumberFormat="1" applyFont="1" applyFill="1" applyBorder="1" applyProtection="1"/>
    <xf numFmtId="5" fontId="8" fillId="67" borderId="0" xfId="186" applyNumberFormat="1" applyFont="1" applyFill="1" applyProtection="1"/>
    <xf numFmtId="2" fontId="8" fillId="68" borderId="12" xfId="186" applyNumberFormat="1" applyFont="1" applyFill="1" applyBorder="1" applyProtection="1"/>
    <xf numFmtId="5" fontId="8" fillId="68" borderId="0" xfId="186" applyNumberFormat="1" applyFont="1" applyFill="1" applyBorder="1" applyProtection="1"/>
    <xf numFmtId="5" fontId="8" fillId="68" borderId="7" xfId="186" applyNumberFormat="1" applyFont="1" applyFill="1" applyBorder="1" applyProtection="1"/>
    <xf numFmtId="2" fontId="8" fillId="2" borderId="10" xfId="186" applyNumberFormat="1" applyFont="1" applyFill="1" applyBorder="1" applyProtection="1">
      <protection locked="0"/>
    </xf>
    <xf numFmtId="5" fontId="8" fillId="0" borderId="3" xfId="186" applyNumberFormat="1" applyFont="1" applyFill="1" applyBorder="1" applyProtection="1"/>
    <xf numFmtId="5" fontId="8" fillId="0" borderId="4" xfId="186" applyNumberFormat="1" applyFont="1" applyFill="1" applyBorder="1" applyProtection="1"/>
    <xf numFmtId="0" fontId="8" fillId="67" borderId="7" xfId="186" applyFont="1" applyFill="1" applyBorder="1" applyAlignment="1" applyProtection="1">
      <alignment horizontal="center"/>
    </xf>
    <xf numFmtId="5" fontId="8" fillId="67" borderId="3" xfId="186" applyNumberFormat="1" applyFont="1" applyFill="1" applyBorder="1" applyProtection="1"/>
    <xf numFmtId="188" fontId="12" fillId="0" borderId="0" xfId="186" applyNumberFormat="1" applyFont="1" applyProtection="1"/>
    <xf numFmtId="2" fontId="8" fillId="68" borderId="7" xfId="186" applyNumberFormat="1" applyFont="1" applyFill="1" applyBorder="1" applyProtection="1"/>
    <xf numFmtId="5" fontId="8" fillId="68" borderId="6" xfId="186" applyNumberFormat="1" applyFont="1" applyFill="1" applyBorder="1" applyProtection="1"/>
    <xf numFmtId="2" fontId="8" fillId="68" borderId="8" xfId="186" applyNumberFormat="1" applyFont="1" applyFill="1" applyBorder="1" applyProtection="1"/>
    <xf numFmtId="5" fontId="8" fillId="68" borderId="5" xfId="186" applyNumberFormat="1" applyFont="1" applyFill="1" applyBorder="1" applyProtection="1"/>
    <xf numFmtId="5" fontId="8" fillId="68" borderId="8" xfId="186" applyNumberFormat="1" applyFont="1" applyFill="1" applyBorder="1" applyProtection="1"/>
    <xf numFmtId="0" fontId="8" fillId="68" borderId="7" xfId="186" applyFont="1" applyFill="1" applyBorder="1" applyAlignment="1" applyProtection="1">
      <alignment horizontal="center"/>
    </xf>
    <xf numFmtId="0" fontId="8" fillId="68" borderId="0" xfId="186" applyFont="1" applyFill="1" applyProtection="1"/>
    <xf numFmtId="5" fontId="8" fillId="0" borderId="0" xfId="186" applyNumberFormat="1" applyFont="1" applyFill="1" applyBorder="1" applyProtection="1"/>
    <xf numFmtId="189" fontId="8" fillId="2" borderId="12" xfId="186" applyNumberFormat="1" applyFont="1" applyFill="1" applyBorder="1" applyAlignment="1" applyProtection="1">
      <alignment horizontal="center"/>
      <protection locked="0"/>
    </xf>
    <xf numFmtId="2" fontId="8" fillId="67" borderId="8" xfId="186" applyNumberFormat="1" applyFont="1" applyFill="1" applyBorder="1" applyProtection="1"/>
    <xf numFmtId="5" fontId="8" fillId="67" borderId="4" xfId="186" applyNumberFormat="1" applyFont="1" applyFill="1" applyBorder="1" applyProtection="1"/>
    <xf numFmtId="3" fontId="8" fillId="0" borderId="2" xfId="186" applyNumberFormat="1" applyFont="1" applyFill="1" applyBorder="1" applyProtection="1"/>
    <xf numFmtId="0" fontId="8" fillId="68" borderId="4" xfId="186" applyFont="1" applyFill="1" applyBorder="1" applyProtection="1"/>
    <xf numFmtId="0" fontId="8" fillId="68" borderId="7" xfId="186" applyFont="1" applyFill="1" applyBorder="1" applyProtection="1"/>
    <xf numFmtId="5" fontId="8" fillId="67" borderId="7" xfId="186" applyNumberFormat="1" applyFont="1" applyFill="1" applyBorder="1" applyProtection="1"/>
    <xf numFmtId="0" fontId="8" fillId="68" borderId="12" xfId="186" applyFont="1" applyFill="1" applyBorder="1" applyProtection="1"/>
    <xf numFmtId="5" fontId="8" fillId="67" borderId="12" xfId="186" applyNumberFormat="1" applyFont="1" applyFill="1" applyBorder="1" applyProtection="1"/>
    <xf numFmtId="2" fontId="8" fillId="67" borderId="12" xfId="186" applyNumberFormat="1" applyFont="1" applyFill="1" applyBorder="1" applyProtection="1"/>
    <xf numFmtId="5" fontId="8" fillId="2" borderId="12" xfId="186" applyNumberFormat="1" applyFont="1" applyFill="1" applyBorder="1" applyProtection="1">
      <protection locked="0"/>
    </xf>
    <xf numFmtId="5" fontId="8" fillId="0" borderId="53" xfId="186" applyNumberFormat="1" applyFont="1" applyFill="1" applyBorder="1" applyProtection="1"/>
    <xf numFmtId="7" fontId="8" fillId="68" borderId="51" xfId="186" applyNumberFormat="1" applyFont="1" applyFill="1" applyBorder="1" applyProtection="1"/>
    <xf numFmtId="7" fontId="8" fillId="68" borderId="50" xfId="186" applyNumberFormat="1" applyFont="1" applyFill="1" applyBorder="1" applyProtection="1"/>
    <xf numFmtId="5" fontId="8" fillId="68" borderId="50" xfId="186" applyNumberFormat="1" applyFont="1" applyFill="1" applyBorder="1" applyProtection="1"/>
    <xf numFmtId="7" fontId="8" fillId="67" borderId="50" xfId="186" applyNumberFormat="1" applyFont="1" applyFill="1" applyBorder="1" applyProtection="1"/>
    <xf numFmtId="7" fontId="8" fillId="68" borderId="7" xfId="186" applyNumberFormat="1" applyFont="1" applyFill="1" applyBorder="1" applyProtection="1"/>
    <xf numFmtId="7" fontId="8" fillId="68" borderId="0" xfId="186" applyNumberFormat="1" applyFont="1" applyFill="1" applyProtection="1"/>
    <xf numFmtId="7" fontId="8" fillId="67" borderId="0" xfId="186" applyNumberFormat="1" applyFont="1" applyFill="1" applyProtection="1"/>
    <xf numFmtId="7" fontId="8" fillId="68" borderId="12" xfId="186" applyNumberFormat="1" applyFont="1" applyFill="1" applyBorder="1" applyProtection="1"/>
    <xf numFmtId="5" fontId="8" fillId="0" borderId="0" xfId="186" applyNumberFormat="1" applyFont="1" applyFill="1" applyProtection="1"/>
    <xf numFmtId="188" fontId="22" fillId="0" borderId="0" xfId="186" applyNumberFormat="1" applyFont="1" applyProtection="1"/>
    <xf numFmtId="0" fontId="8" fillId="0" borderId="0" xfId="187" applyFont="1" applyFill="1" applyProtection="1"/>
    <xf numFmtId="0" fontId="8" fillId="0" borderId="0" xfId="187" applyFont="1" applyFill="1" applyProtection="1">
      <protection locked="0"/>
    </xf>
    <xf numFmtId="0" fontId="20" fillId="0" borderId="0" xfId="187" applyFont="1" applyFill="1" applyProtection="1"/>
    <xf numFmtId="0" fontId="20" fillId="0" borderId="0" xfId="187" applyFont="1" applyFill="1" applyProtection="1">
      <protection locked="0"/>
    </xf>
    <xf numFmtId="170" fontId="8" fillId="0" borderId="0" xfId="187" applyNumberFormat="1" applyFont="1" applyFill="1" applyAlignment="1" applyProtection="1">
      <alignment horizontal="left"/>
    </xf>
    <xf numFmtId="0" fontId="12" fillId="0" borderId="0" xfId="187" applyFont="1" applyFill="1" applyAlignment="1" applyProtection="1">
      <alignment horizontal="centerContinuous"/>
    </xf>
    <xf numFmtId="0" fontId="8" fillId="0" borderId="0" xfId="187" applyFont="1" applyFill="1" applyAlignment="1" applyProtection="1">
      <alignment horizontal="centerContinuous"/>
    </xf>
    <xf numFmtId="0" fontId="8" fillId="0" borderId="0" xfId="187" applyFont="1" applyFill="1"/>
    <xf numFmtId="0" fontId="8" fillId="0" borderId="0" xfId="187" applyFont="1" applyFill="1" applyAlignment="1" applyProtection="1">
      <alignment horizontal="right"/>
    </xf>
    <xf numFmtId="164" fontId="8" fillId="0" borderId="1" xfId="187" applyNumberFormat="1" applyFont="1" applyFill="1" applyBorder="1" applyProtection="1"/>
    <xf numFmtId="0" fontId="12" fillId="0" borderId="0" xfId="187" applyFont="1" applyFill="1" applyProtection="1"/>
    <xf numFmtId="0" fontId="8" fillId="0" borderId="0" xfId="187" applyFont="1" applyFill="1" applyAlignment="1" applyProtection="1">
      <alignment horizontal="left"/>
    </xf>
    <xf numFmtId="172" fontId="8" fillId="0" borderId="0" xfId="187" applyNumberFormat="1" applyFont="1" applyFill="1" applyAlignment="1" applyProtection="1">
      <alignment horizontal="center"/>
    </xf>
    <xf numFmtId="0" fontId="8" fillId="0" borderId="0" xfId="187" applyFont="1" applyFill="1" applyAlignment="1" applyProtection="1">
      <alignment horizontal="center"/>
    </xf>
    <xf numFmtId="0" fontId="20" fillId="0" borderId="0" xfId="187" applyFont="1" applyFill="1" applyBorder="1" applyProtection="1"/>
    <xf numFmtId="0" fontId="8" fillId="0" borderId="0" xfId="187" applyFont="1" applyFill="1" applyBorder="1" applyAlignment="1" applyProtection="1">
      <alignment horizontal="center"/>
    </xf>
    <xf numFmtId="188" fontId="8" fillId="0" borderId="0" xfId="187" applyNumberFormat="1" applyFont="1" applyFill="1" applyAlignment="1" applyProtection="1">
      <alignment horizontal="left"/>
    </xf>
    <xf numFmtId="5" fontId="8" fillId="26" borderId="1" xfId="187" applyNumberFormat="1" applyFont="1" applyFill="1" applyBorder="1" applyProtection="1"/>
    <xf numFmtId="10" fontId="8" fillId="26" borderId="1" xfId="187" applyNumberFormat="1" applyFont="1" applyFill="1" applyBorder="1" applyProtection="1"/>
    <xf numFmtId="5" fontId="8" fillId="3" borderId="1" xfId="187" applyNumberFormat="1" applyFont="1" applyFill="1" applyBorder="1" applyAlignment="1" applyProtection="1">
      <alignment horizontal="center"/>
    </xf>
    <xf numFmtId="5" fontId="8" fillId="0" borderId="0" xfId="187" applyNumberFormat="1" applyFont="1" applyFill="1" applyBorder="1" applyProtection="1"/>
    <xf numFmtId="10" fontId="8" fillId="0" borderId="1" xfId="187" applyNumberFormat="1" applyFont="1" applyFill="1" applyBorder="1" applyProtection="1"/>
    <xf numFmtId="5" fontId="8" fillId="0" borderId="1" xfId="187" applyNumberFormat="1" applyFont="1" applyFill="1" applyBorder="1" applyProtection="1"/>
    <xf numFmtId="5" fontId="8" fillId="3" borderId="1" xfId="187" applyNumberFormat="1" applyFont="1" applyFill="1" applyBorder="1" applyProtection="1"/>
    <xf numFmtId="0" fontId="8" fillId="0" borderId="0" xfId="187" applyFont="1" applyFill="1" applyBorder="1" applyProtection="1"/>
    <xf numFmtId="10" fontId="8" fillId="0" borderId="0" xfId="187" applyNumberFormat="1" applyFont="1" applyFill="1" applyBorder="1" applyProtection="1"/>
    <xf numFmtId="5" fontId="8" fillId="0" borderId="32" xfId="187" applyNumberFormat="1" applyFont="1" applyFill="1" applyBorder="1" applyProtection="1"/>
    <xf numFmtId="10" fontId="8" fillId="0" borderId="32" xfId="187" applyNumberFormat="1" applyFont="1" applyFill="1" applyBorder="1" applyProtection="1"/>
    <xf numFmtId="0" fontId="8" fillId="0" borderId="0" xfId="187" applyFont="1" applyFill="1" applyBorder="1" applyProtection="1">
      <protection locked="0"/>
    </xf>
    <xf numFmtId="5" fontId="8" fillId="0" borderId="0" xfId="187" applyNumberFormat="1" applyFont="1" applyFill="1" applyProtection="1">
      <protection locked="0"/>
    </xf>
    <xf numFmtId="0" fontId="12" fillId="0" borderId="0" xfId="187" applyFont="1" applyFill="1" applyAlignment="1" applyProtection="1">
      <alignment horizontal="left"/>
    </xf>
    <xf numFmtId="0" fontId="12" fillId="0" borderId="0" xfId="187" applyFont="1" applyFill="1" applyAlignment="1" applyProtection="1">
      <alignment horizontal="center"/>
    </xf>
    <xf numFmtId="5" fontId="8" fillId="0" borderId="0" xfId="187" applyNumberFormat="1" applyFont="1" applyFill="1" applyBorder="1" applyAlignment="1" applyProtection="1">
      <alignment horizontal="right"/>
    </xf>
    <xf numFmtId="5" fontId="8" fillId="0" borderId="0" xfId="187" applyNumberFormat="1" applyFont="1" applyFill="1" applyBorder="1" applyProtection="1">
      <protection locked="0"/>
    </xf>
    <xf numFmtId="168" fontId="8" fillId="0" borderId="0" xfId="187" applyNumberFormat="1" applyFont="1" applyFill="1" applyBorder="1" applyProtection="1"/>
    <xf numFmtId="168" fontId="8" fillId="0" borderId="0" xfId="187" applyNumberFormat="1" applyFont="1" applyFill="1" applyBorder="1" applyProtection="1">
      <protection locked="0"/>
    </xf>
    <xf numFmtId="0" fontId="96" fillId="0" borderId="0" xfId="187" applyFont="1" applyFill="1" applyProtection="1">
      <protection locked="0"/>
    </xf>
    <xf numFmtId="0" fontId="8" fillId="0" borderId="0" xfId="188" applyFont="1" applyFill="1" applyProtection="1"/>
    <xf numFmtId="0" fontId="8" fillId="0" borderId="0" xfId="188" applyFont="1" applyFill="1" applyAlignment="1" applyProtection="1">
      <alignment horizontal="right"/>
    </xf>
    <xf numFmtId="0" fontId="8" fillId="0" borderId="0" xfId="188" applyFont="1" applyFill="1" applyAlignment="1" applyProtection="1">
      <alignment horizontal="left"/>
    </xf>
    <xf numFmtId="0" fontId="22" fillId="0" borderId="0" xfId="188" applyFont="1" applyFill="1" applyProtection="1">
      <protection locked="0"/>
    </xf>
    <xf numFmtId="170" fontId="8" fillId="0" borderId="0" xfId="188" applyNumberFormat="1" applyFont="1" applyFill="1" applyAlignment="1" applyProtection="1">
      <alignment horizontal="left"/>
    </xf>
    <xf numFmtId="164" fontId="8" fillId="0" borderId="0" xfId="188" applyNumberFormat="1" applyFont="1" applyFill="1" applyBorder="1" applyAlignment="1" applyProtection="1">
      <alignment horizontal="left"/>
    </xf>
    <xf numFmtId="0" fontId="12" fillId="0" borderId="0" xfId="188" applyFont="1" applyFill="1" applyAlignment="1" applyProtection="1">
      <alignment horizontal="centerContinuous"/>
    </xf>
    <xf numFmtId="0" fontId="8" fillId="0" borderId="0" xfId="188" applyFont="1" applyFill="1" applyAlignment="1" applyProtection="1">
      <alignment horizontal="centerContinuous"/>
    </xf>
    <xf numFmtId="0" fontId="12" fillId="0" borderId="0" xfId="188" applyFont="1" applyFill="1" applyAlignment="1" applyProtection="1">
      <alignment horizontal="centerContinuous" vertical="top"/>
    </xf>
    <xf numFmtId="0" fontId="12" fillId="0" borderId="0" xfId="188" applyFont="1" applyFill="1" applyProtection="1"/>
    <xf numFmtId="5" fontId="8" fillId="0" borderId="0" xfId="188" applyNumberFormat="1" applyFont="1" applyFill="1" applyAlignment="1" applyProtection="1">
      <alignment horizontal="right"/>
    </xf>
    <xf numFmtId="0" fontId="8" fillId="2" borderId="1" xfId="188" applyFont="1" applyFill="1" applyBorder="1" applyProtection="1">
      <protection locked="0"/>
    </xf>
    <xf numFmtId="5" fontId="8" fillId="0" borderId="1" xfId="188" applyNumberFormat="1" applyFont="1" applyFill="1" applyBorder="1" applyAlignment="1" applyProtection="1">
      <alignment horizontal="right"/>
    </xf>
    <xf numFmtId="168" fontId="8" fillId="0" borderId="1" xfId="188" applyNumberFormat="1" applyFont="1" applyFill="1" applyBorder="1" applyProtection="1"/>
    <xf numFmtId="0" fontId="22" fillId="0" borderId="0" xfId="188" applyFont="1" applyFill="1" applyProtection="1"/>
    <xf numFmtId="2" fontId="8" fillId="2" borderId="1" xfId="188" applyNumberFormat="1" applyFont="1" applyFill="1" applyBorder="1" applyProtection="1">
      <protection locked="0"/>
    </xf>
    <xf numFmtId="0" fontId="12" fillId="0" borderId="0" xfId="177" applyFont="1" applyAlignment="1">
      <alignment horizontal="center"/>
    </xf>
    <xf numFmtId="0" fontId="8" fillId="0" borderId="0" xfId="177" applyFont="1" applyAlignment="1"/>
    <xf numFmtId="0" fontId="152" fillId="0" borderId="0" xfId="177" applyFont="1"/>
    <xf numFmtId="167" fontId="8" fillId="14" borderId="1" xfId="177" applyNumberFormat="1" applyFill="1" applyBorder="1" applyProtection="1">
      <protection locked="0"/>
    </xf>
    <xf numFmtId="167" fontId="8" fillId="14" borderId="1" xfId="177" applyNumberFormat="1" applyFont="1" applyFill="1" applyBorder="1" applyProtection="1">
      <protection locked="0"/>
    </xf>
    <xf numFmtId="0" fontId="8" fillId="0" borderId="0" xfId="189" applyFont="1" applyFill="1" applyProtection="1"/>
    <xf numFmtId="0" fontId="8" fillId="0" borderId="0" xfId="189" applyFont="1" applyFill="1" applyAlignment="1" applyProtection="1">
      <alignment horizontal="right"/>
    </xf>
    <xf numFmtId="164" fontId="36" fillId="0" borderId="0" xfId="189" applyNumberFormat="1" applyFont="1" applyFill="1" applyBorder="1" applyAlignment="1" applyProtection="1">
      <alignment horizontal="left"/>
    </xf>
    <xf numFmtId="0" fontId="22" fillId="0" borderId="0" xfId="189" applyFont="1" applyFill="1" applyProtection="1"/>
    <xf numFmtId="0" fontId="22" fillId="0" borderId="0" xfId="189" applyFont="1" applyFill="1" applyProtection="1">
      <protection locked="0"/>
    </xf>
    <xf numFmtId="170" fontId="8" fillId="0" borderId="0" xfId="189" applyNumberFormat="1" applyFont="1" applyFill="1" applyAlignment="1" applyProtection="1">
      <alignment horizontal="left"/>
    </xf>
    <xf numFmtId="0" fontId="12" fillId="0" borderId="0" xfId="189" applyFont="1" applyFill="1" applyAlignment="1" applyProtection="1">
      <alignment horizontal="centerContinuous"/>
    </xf>
    <xf numFmtId="0" fontId="8" fillId="0" borderId="0" xfId="189" applyFont="1" applyFill="1" applyAlignment="1" applyProtection="1">
      <alignment horizontal="centerContinuous"/>
    </xf>
    <xf numFmtId="0" fontId="159" fillId="0" borderId="0" xfId="189" applyFont="1" applyFill="1" applyProtection="1">
      <protection locked="0"/>
    </xf>
    <xf numFmtId="0" fontId="8" fillId="0" borderId="0" xfId="189" applyFont="1" applyFill="1" applyAlignment="1" applyProtection="1">
      <alignment horizontal="center"/>
    </xf>
    <xf numFmtId="5" fontId="8" fillId="2" borderId="1" xfId="189" applyNumberFormat="1" applyFont="1" applyFill="1" applyBorder="1" applyAlignment="1" applyProtection="1">
      <alignment horizontal="right"/>
      <protection locked="0"/>
    </xf>
    <xf numFmtId="5" fontId="8" fillId="0" borderId="0" xfId="189" applyNumberFormat="1" applyFont="1" applyFill="1" applyBorder="1" applyAlignment="1" applyProtection="1">
      <alignment horizontal="right"/>
    </xf>
    <xf numFmtId="5" fontId="8" fillId="0" borderId="0" xfId="189" applyNumberFormat="1" applyFont="1" applyFill="1" applyAlignment="1" applyProtection="1">
      <alignment horizontal="right"/>
    </xf>
    <xf numFmtId="5" fontId="8" fillId="0" borderId="1" xfId="189" applyNumberFormat="1" applyFont="1" applyFill="1" applyBorder="1" applyAlignment="1" applyProtection="1">
      <alignment horizontal="right"/>
    </xf>
    <xf numFmtId="0" fontId="160" fillId="0" borderId="0" xfId="189" applyFont="1" applyFill="1" applyProtection="1">
      <protection locked="0"/>
    </xf>
    <xf numFmtId="0" fontId="12" fillId="0" borderId="0" xfId="189" applyFont="1" applyFill="1" applyProtection="1"/>
    <xf numFmtId="0" fontId="8" fillId="0" borderId="0" xfId="189" applyFont="1" applyFill="1" applyBorder="1" applyProtection="1"/>
    <xf numFmtId="0" fontId="8" fillId="0" borderId="0" xfId="189" applyFont="1" applyFill="1"/>
    <xf numFmtId="0" fontId="8" fillId="0" borderId="0" xfId="189" applyFont="1" applyFill="1" applyAlignment="1" applyProtection="1">
      <alignment horizontal="left"/>
    </xf>
    <xf numFmtId="0" fontId="8" fillId="0" borderId="49" xfId="189" applyFont="1" applyFill="1" applyBorder="1" applyProtection="1"/>
    <xf numFmtId="0" fontId="8" fillId="0" borderId="0" xfId="189" applyFont="1" applyFill="1" applyBorder="1"/>
    <xf numFmtId="0" fontId="8" fillId="0" borderId="0" xfId="189" applyFont="1" applyFill="1" applyBorder="1" applyAlignment="1" applyProtection="1">
      <alignment horizontal="centerContinuous"/>
    </xf>
    <xf numFmtId="0" fontId="8" fillId="0" borderId="0" xfId="189" applyFont="1" applyFill="1" applyBorder="1" applyAlignment="1" applyProtection="1">
      <alignment horizontal="right"/>
    </xf>
    <xf numFmtId="1" fontId="8" fillId="0" borderId="0" xfId="189" applyNumberFormat="1" applyFont="1" applyFill="1" applyBorder="1" applyAlignment="1" applyProtection="1">
      <alignment horizontal="centerContinuous"/>
    </xf>
    <xf numFmtId="0" fontId="12" fillId="0" borderId="0" xfId="189" applyFont="1" applyFill="1" applyBorder="1" applyAlignment="1" applyProtection="1">
      <alignment horizontal="centerContinuous"/>
    </xf>
    <xf numFmtId="0" fontId="8" fillId="0" borderId="0" xfId="189" applyFont="1" applyFill="1" applyBorder="1" applyAlignment="1">
      <alignment horizontal="centerContinuous"/>
    </xf>
    <xf numFmtId="1" fontId="36" fillId="0" borderId="0" xfId="189" applyNumberFormat="1" applyFont="1" applyFill="1" applyBorder="1" applyAlignment="1" applyProtection="1">
      <alignment horizontal="left"/>
    </xf>
    <xf numFmtId="0" fontId="99" fillId="0" borderId="0" xfId="189" applyFont="1" applyFill="1" applyProtection="1">
      <protection locked="0"/>
    </xf>
    <xf numFmtId="0" fontId="161" fillId="0" borderId="0" xfId="189" applyFont="1" applyFill="1" applyProtection="1">
      <protection locked="0"/>
    </xf>
    <xf numFmtId="0" fontId="64" fillId="0" borderId="0" xfId="177" applyFont="1" applyBorder="1"/>
    <xf numFmtId="0" fontId="8" fillId="0" borderId="0" xfId="190" applyFont="1" applyFill="1"/>
    <xf numFmtId="0" fontId="8" fillId="0" borderId="0" xfId="177" applyFill="1" applyBorder="1"/>
    <xf numFmtId="0" fontId="64" fillId="0" borderId="0" xfId="177" applyFont="1"/>
    <xf numFmtId="0" fontId="22" fillId="0" borderId="0" xfId="190" applyFont="1" applyFill="1" applyProtection="1"/>
    <xf numFmtId="2" fontId="64" fillId="0" borderId="0" xfId="177" applyNumberFormat="1" applyFont="1"/>
    <xf numFmtId="174" fontId="8" fillId="0" borderId="0" xfId="177" applyNumberFormat="1" applyFill="1"/>
    <xf numFmtId="174" fontId="8" fillId="0" borderId="0" xfId="177" applyNumberFormat="1"/>
    <xf numFmtId="0" fontId="8" fillId="0" borderId="0" xfId="177" applyAlignment="1">
      <alignment horizontal="center"/>
    </xf>
    <xf numFmtId="0" fontId="8" fillId="16" borderId="0" xfId="177" applyFill="1" applyAlignment="1">
      <alignment horizontal="center"/>
    </xf>
    <xf numFmtId="174" fontId="8" fillId="16" borderId="0" xfId="177" applyNumberFormat="1" applyFill="1"/>
    <xf numFmtId="2" fontId="8" fillId="16" borderId="0" xfId="177" applyNumberFormat="1" applyFill="1"/>
    <xf numFmtId="0" fontId="8" fillId="25" borderId="0" xfId="177" applyFill="1" applyAlignment="1">
      <alignment horizontal="center"/>
    </xf>
    <xf numFmtId="174" fontId="8" fillId="25" borderId="0" xfId="177" applyNumberFormat="1" applyFill="1"/>
    <xf numFmtId="2" fontId="8" fillId="25" borderId="0" xfId="177" applyNumberFormat="1" applyFill="1"/>
    <xf numFmtId="0" fontId="18" fillId="0" borderId="0" xfId="189" applyFont="1" applyFill="1"/>
    <xf numFmtId="189" fontId="18" fillId="0" borderId="0" xfId="189" applyNumberFormat="1" applyFont="1" applyFill="1"/>
    <xf numFmtId="190" fontId="18" fillId="0" borderId="0" xfId="189" applyNumberFormat="1" applyFont="1" applyFill="1"/>
    <xf numFmtId="0" fontId="8" fillId="0" borderId="0" xfId="190" applyFont="1" applyFill="1" applyProtection="1"/>
    <xf numFmtId="0" fontId="8" fillId="0" borderId="0" xfId="190" applyFont="1" applyFill="1" applyAlignment="1" applyProtection="1">
      <alignment horizontal="right"/>
    </xf>
    <xf numFmtId="164" fontId="8" fillId="0" borderId="1" xfId="190" applyNumberFormat="1" applyFont="1" applyFill="1" applyBorder="1" applyProtection="1"/>
    <xf numFmtId="0" fontId="22" fillId="0" borderId="0" xfId="190" applyFont="1" applyFill="1" applyProtection="1">
      <protection locked="0"/>
    </xf>
    <xf numFmtId="170" fontId="8" fillId="0" borderId="0" xfId="190" applyNumberFormat="1" applyFont="1" applyFill="1" applyAlignment="1" applyProtection="1">
      <alignment horizontal="left"/>
    </xf>
    <xf numFmtId="0" fontId="8" fillId="0" borderId="0" xfId="190" applyFont="1" applyFill="1" applyAlignment="1" applyProtection="1">
      <alignment horizontal="centerContinuous"/>
    </xf>
    <xf numFmtId="1" fontId="8" fillId="0" borderId="0" xfId="190" applyNumberFormat="1" applyFont="1" applyFill="1" applyBorder="1" applyAlignment="1" applyProtection="1">
      <alignment horizontal="right"/>
    </xf>
    <xf numFmtId="0" fontId="12" fillId="0" borderId="0" xfId="190" applyFont="1" applyFill="1" applyAlignment="1" applyProtection="1">
      <alignment horizontal="centerContinuous"/>
    </xf>
    <xf numFmtId="0" fontId="159" fillId="0" borderId="0" xfId="190" applyFont="1" applyFill="1" applyProtection="1">
      <protection locked="0"/>
    </xf>
    <xf numFmtId="5" fontId="8" fillId="2" borderId="1" xfId="190" applyNumberFormat="1" applyFont="1" applyFill="1" applyBorder="1" applyAlignment="1" applyProtection="1">
      <alignment horizontal="right"/>
      <protection locked="0"/>
    </xf>
    <xf numFmtId="5" fontId="8" fillId="0" borderId="0" xfId="190" applyNumberFormat="1" applyFont="1" applyFill="1" applyBorder="1" applyAlignment="1" applyProtection="1">
      <alignment horizontal="right"/>
    </xf>
    <xf numFmtId="5" fontId="8" fillId="0" borderId="1" xfId="190" applyNumberFormat="1" applyFont="1" applyFill="1" applyBorder="1"/>
    <xf numFmtId="0" fontId="162" fillId="0" borderId="0" xfId="190" applyFont="1" applyFill="1" applyProtection="1">
      <protection locked="0"/>
    </xf>
    <xf numFmtId="0" fontId="12" fillId="0" borderId="0" xfId="190" applyFont="1" applyFill="1" applyProtection="1"/>
    <xf numFmtId="5" fontId="8" fillId="2" borderId="1" xfId="190" applyNumberFormat="1" applyFont="1" applyFill="1" applyBorder="1" applyProtection="1">
      <protection locked="0"/>
    </xf>
    <xf numFmtId="5" fontId="8" fillId="0" borderId="0" xfId="190" applyNumberFormat="1" applyFont="1" applyFill="1" applyBorder="1" applyProtection="1"/>
    <xf numFmtId="5" fontId="8" fillId="0" borderId="1" xfId="190" applyNumberFormat="1" applyFont="1" applyFill="1" applyBorder="1" applyProtection="1"/>
    <xf numFmtId="0" fontId="8" fillId="0" borderId="49" xfId="190" applyFont="1" applyFill="1" applyBorder="1" applyAlignment="1" applyProtection="1">
      <alignment horizontal="centerContinuous"/>
    </xf>
    <xf numFmtId="1" fontId="8" fillId="0" borderId="49" xfId="190" applyNumberFormat="1" applyFont="1" applyFill="1" applyBorder="1" applyAlignment="1" applyProtection="1">
      <alignment horizontal="right"/>
    </xf>
    <xf numFmtId="0" fontId="89" fillId="0" borderId="0" xfId="190" applyFont="1" applyFill="1"/>
    <xf numFmtId="0" fontId="99" fillId="0" borderId="0" xfId="190" applyFont="1" applyFill="1"/>
    <xf numFmtId="0" fontId="8" fillId="0" borderId="0" xfId="190" applyFont="1" applyFill="1" applyBorder="1"/>
    <xf numFmtId="0" fontId="18" fillId="0" borderId="0" xfId="190" applyFont="1" applyFill="1" applyBorder="1"/>
    <xf numFmtId="0" fontId="89" fillId="0" borderId="0" xfId="190" applyFont="1" applyFill="1" applyBorder="1"/>
    <xf numFmtId="0" fontId="18" fillId="0" borderId="0" xfId="190" applyFont="1" applyFill="1"/>
    <xf numFmtId="189" fontId="18" fillId="0" borderId="0" xfId="190" applyNumberFormat="1" applyFont="1" applyFill="1"/>
    <xf numFmtId="190" fontId="18" fillId="0" borderId="0" xfId="190" applyNumberFormat="1" applyFont="1" applyFill="1"/>
    <xf numFmtId="0" fontId="15" fillId="0" borderId="0" xfId="177" applyFont="1"/>
    <xf numFmtId="0" fontId="12" fillId="0" borderId="0" xfId="177" applyFont="1" applyAlignment="1">
      <alignment horizontal="right"/>
    </xf>
    <xf numFmtId="0" fontId="8" fillId="0" borderId="31" xfId="177" applyFont="1" applyFill="1" applyBorder="1" applyAlignment="1" applyProtection="1">
      <alignment horizontal="left"/>
    </xf>
    <xf numFmtId="0" fontId="15" fillId="0" borderId="5" xfId="177" applyFont="1" applyBorder="1"/>
    <xf numFmtId="0" fontId="15" fillId="0" borderId="15" xfId="177" applyFont="1" applyBorder="1"/>
    <xf numFmtId="0" fontId="8" fillId="0" borderId="15" xfId="177" applyFont="1" applyBorder="1"/>
    <xf numFmtId="0" fontId="12" fillId="0" borderId="15" xfId="177" applyFont="1" applyBorder="1" applyAlignment="1">
      <alignment horizontal="right"/>
    </xf>
    <xf numFmtId="0" fontId="8" fillId="0" borderId="6" xfId="177" applyFont="1" applyBorder="1"/>
    <xf numFmtId="0" fontId="12" fillId="0" borderId="8" xfId="177" applyFont="1" applyBorder="1" applyAlignment="1">
      <alignment horizontal="centerContinuous"/>
    </xf>
    <xf numFmtId="0" fontId="12" fillId="0" borderId="0" xfId="177" applyFont="1" applyBorder="1" applyAlignment="1">
      <alignment horizontal="centerContinuous"/>
    </xf>
    <xf numFmtId="0" fontId="12" fillId="0" borderId="9" xfId="177" applyFont="1" applyBorder="1" applyAlignment="1">
      <alignment horizontal="centerContinuous"/>
    </xf>
    <xf numFmtId="0" fontId="8" fillId="3" borderId="4" xfId="177" applyFont="1" applyFill="1" applyBorder="1"/>
    <xf numFmtId="0" fontId="8" fillId="3" borderId="15" xfId="177" applyFont="1" applyFill="1" applyBorder="1"/>
    <xf numFmtId="0" fontId="12" fillId="3" borderId="15" xfId="177" applyFont="1" applyFill="1" applyBorder="1" applyAlignment="1">
      <alignment horizontal="center"/>
    </xf>
    <xf numFmtId="0" fontId="12" fillId="3" borderId="4" xfId="177" applyFont="1" applyFill="1" applyBorder="1" applyAlignment="1">
      <alignment horizontal="center"/>
    </xf>
    <xf numFmtId="0" fontId="8" fillId="3" borderId="7" xfId="177" applyFont="1" applyFill="1" applyBorder="1"/>
    <xf numFmtId="0" fontId="8" fillId="3" borderId="0" xfId="177" applyFont="1" applyFill="1" applyBorder="1"/>
    <xf numFmtId="0" fontId="12" fillId="3" borderId="7" xfId="177" applyFont="1" applyFill="1" applyBorder="1" applyAlignment="1">
      <alignment horizontal="center"/>
    </xf>
    <xf numFmtId="0" fontId="12" fillId="3" borderId="0" xfId="177" applyFont="1" applyFill="1" applyBorder="1" applyAlignment="1">
      <alignment horizontal="center"/>
    </xf>
    <xf numFmtId="14" fontId="12" fillId="3" borderId="0" xfId="177" applyNumberFormat="1" applyFont="1" applyFill="1" applyBorder="1" applyAlignment="1">
      <alignment horizontal="center"/>
    </xf>
    <xf numFmtId="0" fontId="12" fillId="3" borderId="12" xfId="177" applyFont="1" applyFill="1" applyBorder="1" applyAlignment="1">
      <alignment horizontal="center"/>
    </xf>
    <xf numFmtId="0" fontId="12" fillId="3" borderId="1" xfId="177" applyFont="1" applyFill="1" applyBorder="1" applyAlignment="1">
      <alignment horizontal="center"/>
    </xf>
    <xf numFmtId="0" fontId="8" fillId="2" borderId="12" xfId="177" applyFont="1" applyFill="1" applyBorder="1" applyProtection="1">
      <protection locked="0"/>
    </xf>
    <xf numFmtId="3" fontId="8" fillId="2" borderId="12" xfId="177" applyNumberFormat="1" applyFont="1" applyFill="1" applyBorder="1" applyProtection="1">
      <protection locked="0"/>
    </xf>
    <xf numFmtId="168" fontId="8" fillId="0" borderId="12" xfId="177" applyNumberFormat="1" applyFont="1" applyFill="1" applyBorder="1" applyProtection="1"/>
    <xf numFmtId="0" fontId="8" fillId="2" borderId="13" xfId="177" applyFont="1" applyFill="1" applyBorder="1" applyProtection="1">
      <protection locked="0"/>
    </xf>
    <xf numFmtId="3" fontId="8" fillId="2" borderId="13" xfId="177" applyNumberFormat="1" applyFont="1" applyFill="1" applyBorder="1" applyProtection="1">
      <protection locked="0"/>
    </xf>
    <xf numFmtId="168" fontId="8" fillId="0" borderId="13" xfId="177" applyNumberFormat="1" applyFont="1" applyFill="1" applyBorder="1" applyProtection="1"/>
    <xf numFmtId="0" fontId="8" fillId="0" borderId="0" xfId="181" applyFont="1" applyAlignment="1" applyProtection="1">
      <alignment horizontal="right"/>
    </xf>
    <xf numFmtId="0" fontId="8" fillId="0" borderId="0" xfId="181" applyFont="1" applyProtection="1"/>
    <xf numFmtId="0" fontId="20" fillId="0" borderId="0" xfId="181" applyFont="1" applyProtection="1"/>
    <xf numFmtId="0" fontId="12" fillId="0" borderId="0" xfId="181" applyFont="1" applyAlignment="1" applyProtection="1">
      <alignment horizontal="centerContinuous"/>
    </xf>
    <xf numFmtId="0" fontId="8" fillId="0" borderId="0" xfId="181" applyFont="1" applyProtection="1">
      <protection locked="0"/>
    </xf>
    <xf numFmtId="0" fontId="8" fillId="0" borderId="0" xfId="181" applyFont="1" applyAlignment="1" applyProtection="1">
      <alignment horizontal="centerContinuous"/>
    </xf>
    <xf numFmtId="0" fontId="8" fillId="0" borderId="0" xfId="181" applyFont="1" applyAlignment="1" applyProtection="1">
      <alignment horizontal="center"/>
    </xf>
    <xf numFmtId="0" fontId="8" fillId="0" borderId="0" xfId="181" applyFont="1" applyAlignment="1" applyProtection="1">
      <alignment horizontal="left"/>
    </xf>
    <xf numFmtId="0" fontId="8" fillId="0" borderId="5" xfId="181" applyFont="1" applyBorder="1" applyAlignment="1" applyProtection="1">
      <alignment horizontal="centerContinuous"/>
    </xf>
    <xf numFmtId="0" fontId="8" fillId="0" borderId="15" xfId="181" applyFont="1" applyBorder="1" applyAlignment="1" applyProtection="1">
      <alignment horizontal="centerContinuous"/>
    </xf>
    <xf numFmtId="0" fontId="8" fillId="0" borderId="6" xfId="181" applyFont="1" applyBorder="1" applyAlignment="1" applyProtection="1">
      <alignment horizontal="centerContinuous"/>
    </xf>
    <xf numFmtId="0" fontId="8" fillId="0" borderId="10" xfId="181" applyFont="1" applyBorder="1" applyAlignment="1" applyProtection="1">
      <alignment horizontal="centerContinuous"/>
      <protection locked="0"/>
    </xf>
    <xf numFmtId="0" fontId="8" fillId="0" borderId="1" xfId="181" applyFont="1" applyBorder="1" applyAlignment="1" applyProtection="1">
      <alignment horizontal="centerContinuous"/>
      <protection locked="0"/>
    </xf>
    <xf numFmtId="0" fontId="8" fillId="0" borderId="11" xfId="181" applyFont="1" applyBorder="1" applyAlignment="1" applyProtection="1">
      <alignment horizontal="centerContinuous"/>
      <protection locked="0"/>
    </xf>
    <xf numFmtId="0" fontId="8" fillId="0" borderId="4" xfId="181" applyFont="1" applyBorder="1" applyAlignment="1" applyProtection="1">
      <alignment horizontal="centerContinuous"/>
    </xf>
    <xf numFmtId="0" fontId="8" fillId="0" borderId="7" xfId="181" applyFont="1" applyBorder="1" applyAlignment="1" applyProtection="1">
      <alignment horizontal="centerContinuous"/>
    </xf>
    <xf numFmtId="0" fontId="8" fillId="0" borderId="12" xfId="181" applyFont="1" applyBorder="1" applyAlignment="1" applyProtection="1">
      <alignment horizontal="centerContinuous"/>
    </xf>
    <xf numFmtId="0" fontId="8" fillId="2" borderId="13" xfId="181" applyFont="1" applyFill="1" applyBorder="1" applyProtection="1">
      <protection locked="0"/>
    </xf>
    <xf numFmtId="174" fontId="8" fillId="2" borderId="13" xfId="181" applyNumberFormat="1" applyFont="1" applyFill="1" applyBorder="1" applyProtection="1">
      <protection locked="0"/>
    </xf>
    <xf numFmtId="3" fontId="8" fillId="2" borderId="13" xfId="181" applyNumberFormat="1" applyFont="1" applyFill="1" applyBorder="1" applyProtection="1">
      <protection locked="0"/>
    </xf>
    <xf numFmtId="0" fontId="8" fillId="0" borderId="0" xfId="181" applyFont="1" applyBorder="1" applyProtection="1">
      <protection locked="0"/>
    </xf>
    <xf numFmtId="0" fontId="8" fillId="0" borderId="1" xfId="181" applyFont="1" applyBorder="1" applyProtection="1"/>
    <xf numFmtId="0" fontId="20" fillId="0" borderId="1" xfId="181" applyFont="1" applyBorder="1" applyProtection="1"/>
    <xf numFmtId="0" fontId="17" fillId="0" borderId="0" xfId="181" applyFont="1" applyProtection="1"/>
    <xf numFmtId="0" fontId="8" fillId="0" borderId="0" xfId="46" applyFont="1" applyFill="1" applyBorder="1" applyAlignment="1" applyProtection="1">
      <alignment vertical="top"/>
    </xf>
    <xf numFmtId="0" fontId="8" fillId="0" borderId="0" xfId="177" applyFont="1" applyFill="1" applyBorder="1" applyAlignment="1" applyProtection="1">
      <alignment horizontal="right"/>
    </xf>
    <xf numFmtId="0" fontId="8" fillId="0" borderId="0" xfId="177" applyFont="1" applyFill="1" applyBorder="1" applyAlignment="1" applyProtection="1">
      <alignment horizontal="left"/>
    </xf>
    <xf numFmtId="0" fontId="8" fillId="0" borderId="0" xfId="177" applyFont="1" applyFill="1" applyBorder="1" applyAlignment="1" applyProtection="1">
      <alignment horizontal="center"/>
    </xf>
    <xf numFmtId="49" fontId="8" fillId="0" borderId="0" xfId="177" applyNumberFormat="1" applyFont="1" applyFill="1" applyBorder="1" applyAlignment="1" applyProtection="1">
      <alignment horizontal="center"/>
    </xf>
    <xf numFmtId="49" fontId="8" fillId="0" borderId="13" xfId="177" applyNumberFormat="1" applyFont="1" applyFill="1" applyBorder="1" applyProtection="1"/>
    <xf numFmtId="0" fontId="8" fillId="0" borderId="13" xfId="177" applyNumberFormat="1" applyFont="1" applyFill="1" applyBorder="1" applyAlignment="1" applyProtection="1">
      <alignment horizontal="center"/>
    </xf>
    <xf numFmtId="3" fontId="8" fillId="0" borderId="13" xfId="177" applyNumberFormat="1" applyFont="1" applyFill="1" applyBorder="1" applyProtection="1"/>
    <xf numFmtId="3" fontId="8" fillId="0" borderId="13" xfId="177" applyNumberFormat="1" applyFont="1" applyFill="1" applyBorder="1" applyAlignment="1" applyProtection="1">
      <alignment horizontal="right"/>
    </xf>
    <xf numFmtId="0" fontId="8" fillId="0" borderId="13" xfId="177" applyFont="1" applyFill="1" applyBorder="1" applyProtection="1"/>
    <xf numFmtId="0" fontId="8" fillId="0" borderId="13" xfId="177" applyFont="1" applyFill="1" applyBorder="1" applyAlignment="1" applyProtection="1">
      <alignment horizontal="center"/>
    </xf>
    <xf numFmtId="3" fontId="8" fillId="0" borderId="0" xfId="177" applyNumberFormat="1" applyFont="1" applyFill="1" applyBorder="1" applyProtection="1"/>
    <xf numFmtId="0" fontId="8" fillId="69" borderId="13" xfId="177" applyFont="1" applyFill="1" applyBorder="1" applyProtection="1"/>
    <xf numFmtId="0" fontId="8" fillId="69" borderId="13" xfId="177" applyFont="1" applyFill="1" applyBorder="1" applyAlignment="1" applyProtection="1">
      <alignment horizontal="center"/>
    </xf>
    <xf numFmtId="0" fontId="12" fillId="0" borderId="13" xfId="177" applyFont="1" applyFill="1" applyBorder="1" applyProtection="1"/>
    <xf numFmtId="0" fontId="12" fillId="0" borderId="13" xfId="177" applyFont="1" applyFill="1" applyBorder="1" applyAlignment="1" applyProtection="1">
      <alignment horizontal="center"/>
    </xf>
    <xf numFmtId="167" fontId="8" fillId="0" borderId="13" xfId="177" applyNumberFormat="1" applyFont="1" applyFill="1" applyBorder="1" applyProtection="1"/>
    <xf numFmtId="0" fontId="12" fillId="26" borderId="13" xfId="177" applyFont="1" applyFill="1" applyBorder="1" applyAlignment="1" applyProtection="1">
      <alignment horizontal="center"/>
    </xf>
    <xf numFmtId="0" fontId="14" fillId="0" borderId="0" xfId="177" applyFont="1" applyFill="1" applyBorder="1" applyProtection="1"/>
    <xf numFmtId="0" fontId="9" fillId="0" borderId="0" xfId="177" applyFont="1" applyFill="1" applyBorder="1" applyProtection="1"/>
    <xf numFmtId="0" fontId="45" fillId="3" borderId="0" xfId="177" applyFont="1" applyFill="1"/>
    <xf numFmtId="0" fontId="8" fillId="3" borderId="0" xfId="177" applyFont="1" applyFill="1"/>
    <xf numFmtId="0" fontId="163" fillId="3" borderId="0" xfId="177" applyFont="1" applyFill="1"/>
    <xf numFmtId="0" fontId="8" fillId="7" borderId="0" xfId="177" applyFill="1"/>
    <xf numFmtId="0" fontId="8" fillId="7" borderId="0" xfId="177" applyFill="1" applyAlignment="1">
      <alignment horizontal="right"/>
    </xf>
    <xf numFmtId="0" fontId="8" fillId="7" borderId="0" xfId="177" applyFont="1" applyFill="1" applyProtection="1"/>
    <xf numFmtId="0" fontId="8" fillId="7" borderId="0" xfId="177" applyFill="1" applyProtection="1"/>
    <xf numFmtId="0" fontId="8" fillId="2" borderId="0" xfId="177" applyFill="1" applyProtection="1">
      <protection locked="0"/>
    </xf>
    <xf numFmtId="49" fontId="8" fillId="2" borderId="0" xfId="177" applyNumberFormat="1" applyFill="1" applyProtection="1">
      <protection locked="0"/>
    </xf>
    <xf numFmtId="0" fontId="8" fillId="2" borderId="0" xfId="177" applyFont="1" applyFill="1" applyProtection="1">
      <protection locked="0"/>
    </xf>
    <xf numFmtId="0" fontId="8" fillId="7" borderId="0" xfId="177" applyFont="1" applyFill="1"/>
    <xf numFmtId="49" fontId="8" fillId="2" borderId="0" xfId="177" applyNumberFormat="1" applyFont="1" applyFill="1" applyProtection="1">
      <protection locked="0"/>
    </xf>
    <xf numFmtId="0" fontId="8" fillId="70" borderId="0" xfId="177" applyFill="1"/>
    <xf numFmtId="0" fontId="8" fillId="70" borderId="0" xfId="177" applyFill="1" applyAlignment="1">
      <alignment horizontal="right"/>
    </xf>
    <xf numFmtId="191" fontId="8" fillId="2" borderId="0" xfId="177" applyNumberFormat="1" applyFill="1" applyProtection="1">
      <protection locked="0"/>
    </xf>
    <xf numFmtId="0" fontId="8" fillId="70" borderId="0" xfId="177" applyFont="1" applyFill="1"/>
    <xf numFmtId="0" fontId="8" fillId="0" borderId="0" xfId="177" applyAlignment="1">
      <alignment horizontal="right"/>
    </xf>
    <xf numFmtId="0" fontId="8" fillId="0" borderId="0" xfId="177" applyAlignment="1">
      <alignment horizontal="left"/>
    </xf>
    <xf numFmtId="0" fontId="8" fillId="0" borderId="13" xfId="177" applyBorder="1"/>
    <xf numFmtId="167" fontId="8" fillId="2" borderId="13" xfId="177" applyNumberFormat="1" applyFill="1" applyBorder="1" applyProtection="1">
      <protection locked="0"/>
    </xf>
    <xf numFmtId="3" fontId="8" fillId="0" borderId="13" xfId="177" applyNumberFormat="1" applyBorder="1"/>
    <xf numFmtId="167" fontId="8" fillId="3" borderId="13" xfId="177" applyNumberFormat="1" applyFill="1" applyBorder="1" applyAlignment="1" applyProtection="1">
      <alignment horizontal="center"/>
    </xf>
    <xf numFmtId="3" fontId="8" fillId="3" borderId="13" xfId="177" applyNumberFormat="1" applyFill="1" applyBorder="1" applyAlignment="1">
      <alignment horizontal="center"/>
    </xf>
    <xf numFmtId="167" fontId="8" fillId="0" borderId="0" xfId="177" applyNumberFormat="1" applyFill="1" applyBorder="1" applyAlignment="1" applyProtection="1">
      <alignment horizontal="center"/>
    </xf>
    <xf numFmtId="3" fontId="8" fillId="0" borderId="0" xfId="177" applyNumberFormat="1" applyFill="1" applyBorder="1" applyProtection="1">
      <protection locked="0"/>
    </xf>
    <xf numFmtId="3" fontId="8" fillId="0" borderId="0" xfId="177" applyNumberFormat="1" applyFill="1" applyBorder="1" applyAlignment="1">
      <alignment horizontal="center"/>
    </xf>
    <xf numFmtId="0" fontId="164" fillId="0" borderId="31" xfId="177" applyFont="1" applyBorder="1"/>
    <xf numFmtId="0" fontId="64" fillId="0" borderId="31" xfId="177" applyFont="1" applyBorder="1"/>
    <xf numFmtId="0" fontId="165" fillId="0" borderId="0" xfId="177" applyFont="1" applyAlignment="1">
      <alignment horizontal="right"/>
    </xf>
    <xf numFmtId="0" fontId="165" fillId="0" borderId="0" xfId="177" applyFont="1"/>
    <xf numFmtId="0" fontId="64" fillId="0" borderId="0" xfId="177" applyFont="1" applyAlignment="1">
      <alignment horizontal="right"/>
    </xf>
    <xf numFmtId="0" fontId="64" fillId="0" borderId="31" xfId="177" applyFont="1" applyBorder="1" applyAlignment="1">
      <alignment horizontal="right"/>
    </xf>
    <xf numFmtId="0" fontId="165" fillId="0" borderId="31" xfId="177" applyFont="1" applyBorder="1"/>
    <xf numFmtId="0" fontId="64" fillId="0" borderId="0" xfId="177" applyFont="1" applyBorder="1" applyAlignment="1">
      <alignment horizontal="right"/>
    </xf>
    <xf numFmtId="0" fontId="165" fillId="0" borderId="0" xfId="177" applyFont="1" applyBorder="1" applyAlignment="1">
      <alignment horizontal="right"/>
    </xf>
    <xf numFmtId="0" fontId="165" fillId="0" borderId="0" xfId="177" applyFont="1" applyFill="1" applyBorder="1"/>
    <xf numFmtId="0" fontId="165" fillId="0" borderId="31" xfId="177" applyFont="1" applyFill="1" applyBorder="1"/>
    <xf numFmtId="0" fontId="165" fillId="0" borderId="31" xfId="177" applyFont="1" applyBorder="1" applyAlignment="1">
      <alignment horizontal="right"/>
    </xf>
    <xf numFmtId="0" fontId="165" fillId="0" borderId="0" xfId="177" applyFont="1" applyAlignment="1">
      <alignment horizontal="left"/>
    </xf>
    <xf numFmtId="167" fontId="8" fillId="0" borderId="0" xfId="177" applyNumberFormat="1"/>
    <xf numFmtId="0" fontId="167" fillId="0" borderId="0" xfId="191" applyFont="1"/>
    <xf numFmtId="0" fontId="168" fillId="0" borderId="0" xfId="191" applyFont="1"/>
    <xf numFmtId="0" fontId="167" fillId="0" borderId="0" xfId="191" applyFont="1" applyAlignment="1">
      <alignment horizontal="center"/>
    </xf>
    <xf numFmtId="0" fontId="167" fillId="0" borderId="0" xfId="191" applyFont="1" applyFill="1"/>
    <xf numFmtId="0" fontId="167" fillId="0" borderId="0" xfId="191" quotePrefix="1" applyFont="1" applyFill="1"/>
    <xf numFmtId="0" fontId="169" fillId="0" borderId="0" xfId="191" applyFont="1"/>
    <xf numFmtId="0" fontId="171" fillId="0" borderId="0" xfId="191" applyFont="1"/>
    <xf numFmtId="0" fontId="172" fillId="0" borderId="0" xfId="191" applyFont="1"/>
    <xf numFmtId="0" fontId="173" fillId="0" borderId="0" xfId="191" applyFont="1"/>
    <xf numFmtId="0" fontId="14" fillId="0" borderId="0" xfId="191" applyFont="1" applyProtection="1"/>
    <xf numFmtId="0" fontId="174" fillId="0" borderId="0" xfId="191" applyFont="1" applyProtection="1"/>
    <xf numFmtId="0" fontId="14" fillId="0" borderId="0" xfId="191" applyFont="1" applyAlignment="1" applyProtection="1">
      <alignment horizontal="center"/>
    </xf>
    <xf numFmtId="0" fontId="14" fillId="0" borderId="0" xfId="191" applyFont="1" applyAlignment="1" applyProtection="1">
      <alignment horizontal="left"/>
    </xf>
    <xf numFmtId="3" fontId="14" fillId="21" borderId="13" xfId="191" applyNumberFormat="1" applyFont="1" applyFill="1" applyBorder="1" applyProtection="1"/>
    <xf numFmtId="167" fontId="14" fillId="22" borderId="13" xfId="191" applyNumberFormat="1" applyFont="1" applyFill="1" applyBorder="1" applyProtection="1">
      <protection locked="0"/>
    </xf>
    <xf numFmtId="167" fontId="14" fillId="22" borderId="13" xfId="191" applyNumberFormat="1" applyFont="1" applyFill="1" applyBorder="1" applyAlignment="1" applyProtection="1">
      <alignment horizontal="center"/>
      <protection locked="0"/>
    </xf>
    <xf numFmtId="3" fontId="14" fillId="21" borderId="3" xfId="191" applyNumberFormat="1" applyFont="1" applyFill="1" applyBorder="1" applyProtection="1"/>
    <xf numFmtId="3" fontId="14" fillId="21" borderId="14" xfId="191" applyNumberFormat="1" applyFont="1" applyFill="1" applyBorder="1" applyProtection="1"/>
    <xf numFmtId="3" fontId="14" fillId="26" borderId="0" xfId="191" applyNumberFormat="1" applyFont="1" applyFill="1" applyProtection="1"/>
    <xf numFmtId="167" fontId="14" fillId="26" borderId="0" xfId="191" applyNumberFormat="1" applyFont="1" applyFill="1" applyProtection="1"/>
    <xf numFmtId="0" fontId="14" fillId="3" borderId="0" xfId="191" applyFont="1" applyFill="1" applyProtection="1"/>
    <xf numFmtId="167" fontId="14" fillId="22" borderId="2" xfId="191" applyNumberFormat="1" applyFont="1" applyFill="1" applyBorder="1" applyProtection="1">
      <protection locked="0"/>
    </xf>
    <xf numFmtId="3" fontId="14" fillId="0" borderId="13" xfId="191" applyNumberFormat="1" applyFont="1" applyBorder="1" applyProtection="1"/>
    <xf numFmtId="167" fontId="167" fillId="0" borderId="13" xfId="191" applyNumberFormat="1" applyFont="1" applyBorder="1"/>
    <xf numFmtId="3" fontId="167" fillId="0" borderId="0" xfId="191" applyNumberFormat="1" applyFont="1"/>
    <xf numFmtId="167" fontId="14" fillId="3" borderId="0" xfId="191" applyNumberFormat="1" applyFont="1" applyFill="1" applyProtection="1"/>
    <xf numFmtId="0" fontId="14" fillId="26" borderId="0" xfId="191" applyFont="1" applyFill="1" applyProtection="1"/>
    <xf numFmtId="3" fontId="14" fillId="71" borderId="13" xfId="191" applyNumberFormat="1" applyFont="1" applyFill="1" applyBorder="1" applyProtection="1">
      <protection locked="0"/>
    </xf>
    <xf numFmtId="3" fontId="14" fillId="3" borderId="0" xfId="191" applyNumberFormat="1" applyFont="1" applyFill="1" applyProtection="1"/>
    <xf numFmtId="167" fontId="14" fillId="71" borderId="13" xfId="191" applyNumberFormat="1" applyFont="1" applyFill="1" applyBorder="1" applyProtection="1">
      <protection locked="0"/>
    </xf>
    <xf numFmtId="37" fontId="14" fillId="21" borderId="13" xfId="191" applyNumberFormat="1" applyFont="1" applyFill="1" applyBorder="1" applyProtection="1"/>
    <xf numFmtId="38" fontId="14" fillId="21" borderId="13" xfId="191" applyNumberFormat="1" applyFont="1" applyFill="1" applyBorder="1" applyProtection="1"/>
    <xf numFmtId="0" fontId="14" fillId="3" borderId="1" xfId="191" applyFont="1" applyFill="1" applyBorder="1" applyProtection="1"/>
    <xf numFmtId="3" fontId="167" fillId="21" borderId="13" xfId="191" applyNumberFormat="1" applyFont="1" applyFill="1" applyBorder="1" applyProtection="1">
      <protection locked="0"/>
    </xf>
    <xf numFmtId="0" fontId="167" fillId="71" borderId="13" xfId="191" applyFont="1" applyFill="1" applyBorder="1" applyAlignment="1" applyProtection="1">
      <alignment horizontal="center"/>
      <protection locked="0"/>
    </xf>
    <xf numFmtId="167" fontId="14" fillId="3" borderId="1" xfId="191" applyNumberFormat="1" applyFont="1" applyFill="1" applyBorder="1" applyProtection="1"/>
    <xf numFmtId="3" fontId="167" fillId="21" borderId="13" xfId="191" applyNumberFormat="1" applyFont="1" applyFill="1" applyBorder="1"/>
    <xf numFmtId="167" fontId="167" fillId="22" borderId="13" xfId="191" applyNumberFormat="1" applyFont="1" applyFill="1" applyBorder="1" applyProtection="1">
      <protection locked="0"/>
    </xf>
    <xf numFmtId="0" fontId="167" fillId="26" borderId="1" xfId="191" applyFont="1" applyFill="1" applyBorder="1"/>
    <xf numFmtId="167" fontId="167" fillId="26" borderId="1" xfId="191" applyNumberFormat="1" applyFont="1" applyFill="1" applyBorder="1"/>
    <xf numFmtId="0" fontId="14" fillId="26" borderId="1" xfId="191" applyFont="1" applyFill="1" applyBorder="1" applyProtection="1"/>
    <xf numFmtId="0" fontId="167" fillId="0" borderId="0" xfId="191" applyFont="1" applyProtection="1"/>
    <xf numFmtId="3" fontId="167" fillId="0" borderId="0" xfId="191" applyNumberFormat="1" applyFont="1" applyProtection="1"/>
    <xf numFmtId="167" fontId="167" fillId="0" borderId="0" xfId="191" applyNumberFormat="1" applyFont="1" applyProtection="1"/>
    <xf numFmtId="167" fontId="167" fillId="0" borderId="0" xfId="191" applyNumberFormat="1" applyFont="1"/>
    <xf numFmtId="3" fontId="14" fillId="21" borderId="6" xfId="191" applyNumberFormat="1" applyFont="1" applyFill="1" applyBorder="1" applyProtection="1"/>
    <xf numFmtId="167" fontId="14" fillId="22" borderId="4" xfId="191" applyNumberFormat="1" applyFont="1" applyFill="1" applyBorder="1" applyProtection="1">
      <protection locked="0"/>
    </xf>
    <xf numFmtId="3" fontId="14" fillId="21" borderId="4" xfId="191" applyNumberFormat="1" applyFont="1" applyFill="1" applyBorder="1" applyProtection="1"/>
    <xf numFmtId="3" fontId="14" fillId="71" borderId="2" xfId="191" applyNumberFormat="1" applyFont="1" applyFill="1" applyBorder="1" applyProtection="1">
      <protection locked="0"/>
    </xf>
    <xf numFmtId="167" fontId="14" fillId="22" borderId="2" xfId="191" applyNumberFormat="1" applyFont="1" applyFill="1" applyBorder="1" applyProtection="1"/>
    <xf numFmtId="167" fontId="14" fillId="71" borderId="2" xfId="191" applyNumberFormat="1" applyFont="1" applyFill="1" applyBorder="1" applyProtection="1">
      <protection locked="0"/>
    </xf>
    <xf numFmtId="37" fontId="14" fillId="21" borderId="3" xfId="191" applyNumberFormat="1" applyFont="1" applyFill="1" applyBorder="1" applyProtection="1"/>
    <xf numFmtId="5" fontId="8" fillId="0" borderId="32" xfId="187" applyNumberFormat="1" applyFont="1" applyFill="1" applyBorder="1" applyAlignment="1" applyProtection="1">
      <alignment horizontal="right"/>
    </xf>
    <xf numFmtId="182" fontId="101" fillId="0" borderId="0" xfId="48" applyNumberFormat="1" applyFont="1"/>
    <xf numFmtId="3" fontId="8" fillId="25" borderId="10" xfId="33" applyNumberFormat="1" applyFont="1" applyFill="1" applyBorder="1" applyAlignment="1" applyProtection="1">
      <alignment vertical="top"/>
    </xf>
    <xf numFmtId="3" fontId="8" fillId="26" borderId="11" xfId="33" applyNumberFormat="1" applyFont="1" applyFill="1" applyBorder="1" applyAlignment="1" applyProtection="1">
      <alignment vertical="top"/>
    </xf>
    <xf numFmtId="3" fontId="8" fillId="14" borderId="13" xfId="33" applyNumberFormat="1" applyFont="1" applyFill="1" applyBorder="1" applyAlignment="1" applyProtection="1">
      <alignment vertical="top"/>
      <protection locked="0"/>
    </xf>
    <xf numFmtId="3" fontId="8" fillId="26" borderId="1" xfId="9" applyNumberFormat="1" applyFont="1" applyFill="1" applyBorder="1" applyAlignment="1" applyProtection="1">
      <alignment horizontal="right"/>
    </xf>
    <xf numFmtId="3" fontId="8" fillId="26" borderId="2" xfId="22" applyNumberFormat="1" applyFont="1" applyFill="1" applyBorder="1" applyAlignment="1" applyProtection="1">
      <alignment horizontal="right" vertical="top"/>
    </xf>
    <xf numFmtId="3" fontId="8" fillId="26" borderId="15" xfId="10" applyNumberFormat="1" applyFont="1" applyFill="1" applyBorder="1" applyAlignment="1" applyProtection="1">
      <alignment horizontal="right"/>
    </xf>
    <xf numFmtId="3" fontId="8" fillId="26" borderId="1" xfId="11" applyNumberFormat="1" applyFont="1" applyFill="1" applyBorder="1" applyAlignment="1" applyProtection="1">
      <alignment horizontal="right"/>
    </xf>
    <xf numFmtId="3" fontId="8" fillId="26" borderId="1" xfId="13" applyNumberFormat="1" applyFont="1" applyFill="1" applyBorder="1" applyAlignment="1" applyProtection="1">
      <alignment horizontal="right"/>
    </xf>
    <xf numFmtId="3" fontId="8" fillId="26" borderId="1" xfId="15" applyNumberFormat="1" applyFont="1" applyFill="1" applyBorder="1" applyAlignment="1" applyProtection="1">
      <alignment horizontal="right"/>
    </xf>
    <xf numFmtId="3" fontId="8" fillId="26" borderId="1" xfId="17" applyNumberFormat="1" applyFont="1" applyFill="1" applyBorder="1" applyAlignment="1" applyProtection="1">
      <alignment horizontal="right" vertical="top"/>
    </xf>
    <xf numFmtId="3" fontId="8" fillId="26" borderId="14" xfId="18" applyNumberFormat="1" applyFont="1" applyFill="1" applyBorder="1" applyAlignment="1" applyProtection="1">
      <alignment horizontal="right"/>
    </xf>
    <xf numFmtId="3" fontId="8" fillId="26" borderId="15" xfId="19" applyNumberFormat="1" applyFont="1" applyFill="1" applyBorder="1" applyAlignment="1" applyProtection="1">
      <alignment horizontal="right"/>
    </xf>
    <xf numFmtId="3" fontId="8" fillId="26" borderId="0" xfId="20" applyNumberFormat="1" applyFont="1" applyFill="1" applyBorder="1" applyAlignment="1" applyProtection="1"/>
    <xf numFmtId="3" fontId="8" fillId="26" borderId="14" xfId="22" applyNumberFormat="1" applyFont="1" applyFill="1" applyBorder="1" applyAlignment="1" applyProtection="1">
      <alignment horizontal="right" vertical="top"/>
    </xf>
    <xf numFmtId="3" fontId="8" fillId="14" borderId="12" xfId="26" applyNumberFormat="1" applyFont="1" applyFill="1" applyBorder="1" applyAlignment="1" applyProtection="1">
      <protection locked="0"/>
    </xf>
    <xf numFmtId="3" fontId="12" fillId="14" borderId="12" xfId="38" applyNumberFormat="1" applyFont="1" applyFill="1" applyBorder="1" applyAlignment="1" applyProtection="1">
      <protection locked="0"/>
    </xf>
    <xf numFmtId="3" fontId="8" fillId="26" borderId="13" xfId="38" applyNumberFormat="1" applyFont="1" applyFill="1" applyBorder="1" applyAlignment="1" applyProtection="1"/>
    <xf numFmtId="3" fontId="8" fillId="14" borderId="1" xfId="16" applyNumberFormat="1" applyFont="1" applyFill="1" applyBorder="1" applyAlignment="1" applyProtection="1">
      <alignment horizontal="right"/>
      <protection locked="0"/>
    </xf>
    <xf numFmtId="0" fontId="20" fillId="26" borderId="12" xfId="20" applyFont="1" applyFill="1" applyBorder="1" applyAlignment="1" applyProtection="1">
      <alignment horizontal="right"/>
    </xf>
    <xf numFmtId="0" fontId="0" fillId="0" borderId="0" xfId="0"/>
    <xf numFmtId="0" fontId="0" fillId="0" borderId="0" xfId="0"/>
    <xf numFmtId="0" fontId="175" fillId="73" borderId="0" xfId="0" applyFont="1" applyFill="1" applyAlignment="1"/>
    <xf numFmtId="0" fontId="175" fillId="73" borderId="0" xfId="0" applyFont="1" applyFill="1" applyAlignment="1">
      <alignment horizontal="center"/>
    </xf>
    <xf numFmtId="0" fontId="152" fillId="7" borderId="0" xfId="177" applyFont="1" applyFill="1"/>
    <xf numFmtId="0" fontId="177" fillId="7" borderId="0" xfId="177" applyFont="1" applyFill="1"/>
    <xf numFmtId="0" fontId="175" fillId="0" borderId="0" xfId="0" applyFont="1" applyFill="1" applyAlignment="1"/>
    <xf numFmtId="0" fontId="123" fillId="0" borderId="0" xfId="108" applyFill="1" applyAlignment="1" applyProtection="1"/>
    <xf numFmtId="0" fontId="8" fillId="0" borderId="0" xfId="189" applyFont="1" applyFill="1" applyAlignment="1" applyProtection="1">
      <alignment horizontal="center" vertical="top"/>
    </xf>
    <xf numFmtId="0" fontId="90" fillId="0" borderId="0" xfId="48" applyFont="1" applyFill="1"/>
    <xf numFmtId="49" fontId="90" fillId="0" borderId="0" xfId="48" applyNumberFormat="1" applyFont="1" applyFill="1"/>
    <xf numFmtId="179" fontId="90" fillId="0" borderId="0" xfId="48" applyNumberFormat="1" applyFont="1" applyProtection="1"/>
    <xf numFmtId="8" fontId="90" fillId="0" borderId="0" xfId="48" quotePrefix="1" applyNumberFormat="1" applyFont="1" applyProtection="1"/>
    <xf numFmtId="2" fontId="90" fillId="0" borderId="0" xfId="48" applyNumberFormat="1" applyFont="1"/>
    <xf numFmtId="8" fontId="90" fillId="0" borderId="0" xfId="48" quotePrefix="1" applyNumberFormat="1" applyFont="1"/>
    <xf numFmtId="0" fontId="8" fillId="0" borderId="49" xfId="189" applyFont="1" applyFill="1" applyBorder="1" applyAlignment="1" applyProtection="1">
      <alignment horizontal="left"/>
    </xf>
    <xf numFmtId="0" fontId="8" fillId="0" borderId="49" xfId="190" applyFont="1" applyFill="1" applyBorder="1" applyProtection="1"/>
    <xf numFmtId="2" fontId="64" fillId="0" borderId="0" xfId="177" applyNumberFormat="1" applyFont="1" applyProtection="1">
      <protection locked="0"/>
    </xf>
    <xf numFmtId="3" fontId="8" fillId="26" borderId="13" xfId="26" applyNumberFormat="1" applyFont="1" applyFill="1" applyBorder="1" applyAlignment="1" applyProtection="1"/>
    <xf numFmtId="173" fontId="8" fillId="0" borderId="12" xfId="26" applyNumberFormat="1" applyFont="1" applyFill="1" applyBorder="1" applyAlignment="1" applyProtection="1">
      <alignment horizontal="left"/>
    </xf>
    <xf numFmtId="173" fontId="8" fillId="0" borderId="12" xfId="26" applyNumberFormat="1" applyFont="1" applyFill="1" applyBorder="1" applyAlignment="1" applyProtection="1">
      <alignment horizontal="center"/>
    </xf>
    <xf numFmtId="0" fontId="8" fillId="0" borderId="13" xfId="35" applyFont="1" applyFill="1" applyBorder="1" applyAlignment="1" applyProtection="1">
      <alignment horizontal="left"/>
    </xf>
    <xf numFmtId="0" fontId="8" fillId="0" borderId="2" xfId="35" applyFont="1" applyFill="1" applyBorder="1" applyAlignment="1" applyProtection="1">
      <alignment horizontal="left"/>
    </xf>
    <xf numFmtId="0" fontId="8" fillId="0" borderId="8" xfId="35" applyFont="1" applyFill="1" applyBorder="1" applyAlignment="1" applyProtection="1">
      <alignment horizontal="left"/>
    </xf>
    <xf numFmtId="0" fontId="8" fillId="0" borderId="13" xfId="34" applyFont="1" applyFill="1" applyBorder="1" applyAlignment="1" applyProtection="1">
      <alignment horizontal="left"/>
    </xf>
    <xf numFmtId="0" fontId="8" fillId="0" borderId="13" xfId="34" applyFont="1" applyFill="1" applyBorder="1" applyAlignment="1" applyProtection="1">
      <alignment horizontal="center"/>
    </xf>
    <xf numFmtId="0" fontId="8" fillId="0" borderId="2" xfId="34" applyFont="1" applyFill="1" applyBorder="1" applyAlignment="1" applyProtection="1">
      <alignment horizontal="left"/>
    </xf>
    <xf numFmtId="173" fontId="8" fillId="0" borderId="12" xfId="31" applyNumberFormat="1" applyFont="1" applyFill="1" applyBorder="1" applyAlignment="1" applyProtection="1">
      <alignment horizontal="left"/>
    </xf>
    <xf numFmtId="173" fontId="8" fillId="0" borderId="12" xfId="31" applyNumberFormat="1" applyFont="1" applyFill="1" applyBorder="1" applyAlignment="1" applyProtection="1">
      <alignment horizontal="center"/>
    </xf>
    <xf numFmtId="0" fontId="8" fillId="14" borderId="13" xfId="29" applyFont="1" applyFill="1" applyBorder="1" applyProtection="1"/>
    <xf numFmtId="14" fontId="8" fillId="14" borderId="13" xfId="29" applyNumberFormat="1" applyFont="1" applyFill="1" applyBorder="1" applyProtection="1"/>
    <xf numFmtId="2" fontId="8" fillId="14" borderId="13" xfId="29" applyNumberFormat="1" applyFont="1" applyFill="1" applyBorder="1" applyProtection="1"/>
    <xf numFmtId="3" fontId="8" fillId="14" borderId="13" xfId="29" applyNumberFormat="1" applyFont="1" applyFill="1" applyBorder="1" applyAlignment="1" applyProtection="1"/>
    <xf numFmtId="37" fontId="8" fillId="14" borderId="13" xfId="29" applyNumberFormat="1" applyFont="1" applyFill="1" applyBorder="1" applyAlignment="1" applyProtection="1"/>
    <xf numFmtId="37" fontId="8" fillId="14" borderId="13" xfId="29" applyNumberFormat="1" applyFont="1" applyFill="1" applyBorder="1" applyProtection="1"/>
    <xf numFmtId="3" fontId="8" fillId="2" borderId="14" xfId="48" applyNumberFormat="1" applyFont="1" applyFill="1" applyBorder="1" applyProtection="1">
      <protection locked="0"/>
    </xf>
    <xf numFmtId="3" fontId="8" fillId="14" borderId="14" xfId="48" applyNumberFormat="1" applyFont="1" applyFill="1" applyBorder="1" applyProtection="1">
      <protection locked="0"/>
    </xf>
    <xf numFmtId="3" fontId="8" fillId="14" borderId="12" xfId="33" applyNumberFormat="1" applyFont="1" applyFill="1" applyBorder="1" applyAlignment="1" applyProtection="1">
      <alignment vertical="top"/>
      <protection locked="0"/>
    </xf>
    <xf numFmtId="0" fontId="8" fillId="0" borderId="4" xfId="33" applyFont="1" applyFill="1" applyBorder="1" applyAlignment="1" applyProtection="1">
      <alignment vertical="top"/>
    </xf>
    <xf numFmtId="173" fontId="8" fillId="0" borderId="15" xfId="33" applyNumberFormat="1" applyFont="1" applyFill="1" applyBorder="1" applyAlignment="1" applyProtection="1">
      <alignment horizontal="center" vertical="top"/>
    </xf>
    <xf numFmtId="0" fontId="8" fillId="0" borderId="12" xfId="33" applyFont="1" applyFill="1" applyBorder="1" applyAlignment="1" applyProtection="1">
      <alignment vertical="top"/>
    </xf>
    <xf numFmtId="173" fontId="8" fillId="0" borderId="1" xfId="33" applyNumberFormat="1" applyFont="1" applyFill="1" applyBorder="1" applyAlignment="1" applyProtection="1">
      <alignment horizontal="center" vertical="top"/>
    </xf>
    <xf numFmtId="173" fontId="8" fillId="0" borderId="5" xfId="33" applyNumberFormat="1" applyFont="1" applyFill="1" applyBorder="1" applyAlignment="1" applyProtection="1">
      <alignment horizontal="center" vertical="top"/>
    </xf>
    <xf numFmtId="0" fontId="8" fillId="0" borderId="13" xfId="33" applyFont="1" applyFill="1" applyBorder="1" applyAlignment="1" applyProtection="1">
      <alignment vertical="top"/>
    </xf>
    <xf numFmtId="173" fontId="8" fillId="0" borderId="2" xfId="33" applyNumberFormat="1" applyFont="1" applyFill="1" applyBorder="1" applyAlignment="1" applyProtection="1">
      <alignment horizontal="center" vertical="top"/>
    </xf>
    <xf numFmtId="3" fontId="0" fillId="0" borderId="8" xfId="0" applyNumberFormat="1" applyBorder="1" applyAlignment="1">
      <alignment horizontal="right" vertical="top"/>
    </xf>
    <xf numFmtId="3" fontId="8" fillId="0" borderId="7" xfId="40" applyNumberFormat="1" applyFont="1" applyFill="1" applyBorder="1" applyAlignment="1" applyProtection="1">
      <alignment horizontal="right"/>
    </xf>
    <xf numFmtId="3" fontId="8" fillId="0" borderId="10" xfId="40" applyNumberFormat="1" applyFont="1" applyFill="1" applyBorder="1" applyAlignment="1" applyProtection="1"/>
    <xf numFmtId="0" fontId="8" fillId="0" borderId="10" xfId="40" applyFont="1" applyFill="1" applyBorder="1" applyProtection="1"/>
    <xf numFmtId="1" fontId="8" fillId="0" borderId="12" xfId="40" applyNumberFormat="1" applyFont="1" applyFill="1" applyBorder="1" applyAlignment="1" applyProtection="1">
      <alignment horizontal="center"/>
    </xf>
    <xf numFmtId="0" fontId="8" fillId="61" borderId="8" xfId="40" applyFont="1" applyFill="1" applyBorder="1" applyProtection="1"/>
    <xf numFmtId="1" fontId="8" fillId="61" borderId="8" xfId="40" applyNumberFormat="1" applyFont="1" applyFill="1" applyBorder="1" applyAlignment="1" applyProtection="1">
      <alignment horizontal="center"/>
    </xf>
    <xf numFmtId="173" fontId="8" fillId="0" borderId="13" xfId="12" applyNumberFormat="1" applyFont="1" applyFill="1" applyBorder="1" applyAlignment="1" applyProtection="1">
      <alignment horizontal="left"/>
    </xf>
    <xf numFmtId="173" fontId="8" fillId="0" borderId="12" xfId="27" applyNumberFormat="1" applyFont="1" applyFill="1" applyBorder="1" applyAlignment="1" applyProtection="1">
      <alignment horizontal="left"/>
    </xf>
    <xf numFmtId="173" fontId="8" fillId="0" borderId="10" xfId="27" applyNumberFormat="1" applyFont="1" applyFill="1" applyBorder="1" applyAlignment="1" applyProtection="1">
      <alignment horizontal="center"/>
    </xf>
    <xf numFmtId="0" fontId="8" fillId="61" borderId="8" xfId="34" applyFont="1" applyFill="1" applyBorder="1" applyAlignment="1" applyProtection="1">
      <alignment horizontal="center"/>
    </xf>
    <xf numFmtId="0" fontId="8" fillId="61" borderId="12" xfId="34" applyFont="1" applyFill="1" applyBorder="1" applyAlignment="1" applyProtection="1">
      <alignment horizontal="center"/>
    </xf>
    <xf numFmtId="3" fontId="8" fillId="0" borderId="10" xfId="34" applyNumberFormat="1" applyFont="1" applyFill="1" applyBorder="1" applyAlignment="1" applyProtection="1"/>
    <xf numFmtId="3" fontId="8" fillId="0" borderId="12" xfId="34" applyNumberFormat="1" applyFont="1" applyFill="1" applyBorder="1" applyAlignment="1" applyProtection="1">
      <protection locked="0"/>
    </xf>
    <xf numFmtId="0" fontId="8" fillId="61" borderId="10" xfId="34" applyFont="1" applyFill="1" applyBorder="1" applyAlignment="1" applyProtection="1">
      <alignment horizontal="left"/>
    </xf>
    <xf numFmtId="3" fontId="8" fillId="0" borderId="10" xfId="35" applyNumberFormat="1" applyFont="1" applyFill="1" applyBorder="1" applyAlignment="1" applyProtection="1"/>
    <xf numFmtId="0" fontId="8" fillId="61" borderId="8" xfId="35" applyFont="1" applyFill="1" applyBorder="1" applyAlignment="1" applyProtection="1">
      <alignment horizontal="center"/>
    </xf>
    <xf numFmtId="0" fontId="8" fillId="0" borderId="0" xfId="177" applyFont="1" applyAlignment="1">
      <alignment horizontal="center"/>
    </xf>
    <xf numFmtId="173" fontId="8" fillId="61" borderId="10" xfId="28" applyNumberFormat="1" applyFont="1" applyFill="1" applyBorder="1" applyAlignment="1" applyProtection="1">
      <alignment horizontal="left"/>
    </xf>
    <xf numFmtId="173" fontId="8" fillId="61" borderId="10" xfId="28" applyNumberFormat="1" applyFont="1" applyFill="1" applyBorder="1" applyAlignment="1" applyProtection="1">
      <alignment horizontal="center"/>
    </xf>
    <xf numFmtId="0" fontId="8" fillId="0" borderId="12" xfId="28" applyFont="1" applyBorder="1" applyAlignment="1" applyProtection="1">
      <alignment horizontal="center"/>
    </xf>
    <xf numFmtId="38" fontId="8" fillId="0" borderId="9" xfId="28" applyNumberFormat="1" applyFont="1" applyBorder="1" applyAlignment="1" applyProtection="1">
      <alignment horizontal="right"/>
    </xf>
    <xf numFmtId="0" fontId="8" fillId="0" borderId="7" xfId="28" applyFont="1" applyBorder="1" applyAlignment="1" applyProtection="1">
      <alignment horizontal="left"/>
    </xf>
    <xf numFmtId="0" fontId="16" fillId="0" borderId="7" xfId="28" applyFont="1" applyBorder="1" applyAlignment="1" applyProtection="1">
      <alignment horizontal="center"/>
    </xf>
    <xf numFmtId="0" fontId="8" fillId="0" borderId="5" xfId="28" applyFont="1" applyBorder="1" applyAlignment="1" applyProtection="1">
      <alignment horizontal="left"/>
    </xf>
    <xf numFmtId="3" fontId="8" fillId="2" borderId="1" xfId="28" applyNumberFormat="1" applyFont="1" applyFill="1" applyBorder="1" applyAlignment="1" applyProtection="1">
      <protection locked="0"/>
    </xf>
    <xf numFmtId="0" fontId="16" fillId="0" borderId="4" xfId="28" applyFont="1" applyBorder="1" applyAlignment="1" applyProtection="1">
      <alignment horizontal="center"/>
    </xf>
    <xf numFmtId="3" fontId="8" fillId="0" borderId="15" xfId="28" applyNumberFormat="1" applyFont="1" applyFill="1" applyBorder="1" applyAlignment="1" applyProtection="1"/>
    <xf numFmtId="3" fontId="8" fillId="0" borderId="4" xfId="28" applyNumberFormat="1" applyFont="1" applyFill="1" applyBorder="1" applyAlignment="1" applyProtection="1"/>
    <xf numFmtId="0" fontId="8" fillId="61" borderId="10" xfId="28" applyFont="1" applyFill="1" applyBorder="1" applyAlignment="1" applyProtection="1">
      <alignment horizontal="left"/>
    </xf>
    <xf numFmtId="0" fontId="8" fillId="61" borderId="12" xfId="28" applyFont="1" applyFill="1" applyBorder="1" applyAlignment="1" applyProtection="1">
      <alignment horizontal="center"/>
    </xf>
    <xf numFmtId="3" fontId="8" fillId="14" borderId="7" xfId="12" applyNumberFormat="1" applyFont="1" applyFill="1" applyBorder="1" applyAlignment="1" applyProtection="1">
      <protection locked="0"/>
    </xf>
    <xf numFmtId="3" fontId="8" fillId="14" borderId="13" xfId="12" applyNumberFormat="1" applyFont="1" applyFill="1" applyBorder="1" applyAlignment="1" applyProtection="1">
      <protection locked="0"/>
    </xf>
    <xf numFmtId="3" fontId="8" fillId="14" borderId="8" xfId="12" applyNumberFormat="1" applyFont="1" applyFill="1" applyBorder="1" applyAlignment="1" applyProtection="1">
      <protection locked="0"/>
    </xf>
    <xf numFmtId="1" fontId="8" fillId="61" borderId="13" xfId="40" applyNumberFormat="1" applyFont="1" applyFill="1" applyBorder="1" applyAlignment="1" applyProtection="1">
      <alignment horizontal="left" vertical="top"/>
    </xf>
    <xf numFmtId="1" fontId="8" fillId="61" borderId="2" xfId="40" applyNumberFormat="1" applyFont="1" applyFill="1" applyBorder="1" applyAlignment="1" applyProtection="1">
      <alignment horizontal="center" vertical="top"/>
    </xf>
    <xf numFmtId="0" fontId="99" fillId="0" borderId="0" xfId="40" applyFont="1" applyAlignment="1" applyProtection="1">
      <alignment vertical="top"/>
      <protection locked="0"/>
    </xf>
    <xf numFmtId="0" fontId="99" fillId="0" borderId="0" xfId="40" applyFont="1" applyAlignment="1" applyProtection="1">
      <alignment vertical="top"/>
    </xf>
    <xf numFmtId="0" fontId="99" fillId="0" borderId="0" xfId="33" applyFont="1" applyProtection="1">
      <protection locked="0"/>
    </xf>
    <xf numFmtId="0" fontId="99" fillId="0" borderId="0" xfId="33" applyFont="1" applyProtection="1"/>
    <xf numFmtId="168" fontId="90" fillId="0" borderId="0" xfId="48" applyNumberFormat="1" applyFont="1"/>
    <xf numFmtId="6" fontId="90" fillId="0" borderId="0" xfId="48" quotePrefix="1" applyNumberFormat="1" applyFont="1"/>
    <xf numFmtId="168" fontId="90" fillId="0" borderId="0" xfId="48" applyNumberFormat="1" applyFont="1" applyFill="1"/>
    <xf numFmtId="0" fontId="8" fillId="0" borderId="0" xfId="177" applyFont="1" applyBorder="1" applyAlignment="1">
      <alignment horizontal="center"/>
    </xf>
    <xf numFmtId="5" fontId="8" fillId="0" borderId="0" xfId="177" applyNumberFormat="1" applyFont="1" applyBorder="1" applyAlignment="1">
      <alignment horizontal="right"/>
    </xf>
    <xf numFmtId="10" fontId="8" fillId="0" borderId="1" xfId="177" applyNumberFormat="1" applyFont="1" applyFill="1" applyBorder="1"/>
    <xf numFmtId="3" fontId="8" fillId="0" borderId="1" xfId="177" quotePrefix="1" applyNumberFormat="1" applyFont="1" applyFill="1" applyBorder="1" applyAlignment="1">
      <alignment horizontal="right"/>
    </xf>
    <xf numFmtId="5" fontId="8" fillId="0" borderId="0" xfId="47" applyNumberFormat="1" applyFont="1" applyFill="1" applyBorder="1" applyAlignment="1" applyProtection="1">
      <alignment horizontal="right"/>
    </xf>
    <xf numFmtId="0" fontId="8" fillId="61" borderId="13" xfId="33" applyFont="1" applyFill="1" applyBorder="1" applyAlignment="1" applyProtection="1">
      <alignment vertical="top"/>
    </xf>
    <xf numFmtId="173" fontId="8" fillId="61" borderId="14" xfId="33" applyNumberFormat="1" applyFont="1" applyFill="1" applyBorder="1" applyAlignment="1" applyProtection="1">
      <alignment horizontal="center" vertical="top"/>
    </xf>
    <xf numFmtId="0" fontId="179" fillId="0" borderId="0" xfId="30" applyFont="1" applyProtection="1">
      <protection locked="0"/>
    </xf>
    <xf numFmtId="3" fontId="8" fillId="14" borderId="13" xfId="33" applyNumberFormat="1" applyFont="1" applyFill="1" applyBorder="1" applyAlignment="1" applyProtection="1">
      <protection locked="0"/>
    </xf>
    <xf numFmtId="3" fontId="8" fillId="14" borderId="6" xfId="33" applyNumberFormat="1" applyFont="1" applyFill="1" applyBorder="1" applyAlignment="1" applyProtection="1">
      <protection locked="0"/>
    </xf>
    <xf numFmtId="3" fontId="8" fillId="14" borderId="9" xfId="40" applyNumberFormat="1" applyFont="1" applyFill="1" applyBorder="1" applyAlignment="1" applyProtection="1">
      <alignment vertical="top"/>
      <protection locked="0"/>
    </xf>
    <xf numFmtId="3" fontId="8" fillId="14" borderId="13" xfId="40" applyNumberFormat="1" applyFont="1" applyFill="1" applyBorder="1" applyAlignment="1" applyProtection="1">
      <alignment vertical="top"/>
      <protection locked="0"/>
    </xf>
    <xf numFmtId="38" fontId="8" fillId="14" borderId="12" xfId="28" applyNumberFormat="1" applyFont="1" applyFill="1" applyBorder="1" applyAlignment="1" applyProtection="1">
      <alignment horizontal="right"/>
      <protection locked="0"/>
    </xf>
    <xf numFmtId="0" fontId="0" fillId="0" borderId="0" xfId="0" quotePrefix="1"/>
    <xf numFmtId="168" fontId="0" fillId="0" borderId="1" xfId="0" applyNumberFormat="1" applyBorder="1"/>
    <xf numFmtId="0" fontId="0" fillId="0" borderId="49" xfId="0" applyBorder="1"/>
    <xf numFmtId="168" fontId="0" fillId="14" borderId="1" xfId="0" applyNumberFormat="1" applyFill="1" applyBorder="1" applyProtection="1">
      <protection locked="0"/>
    </xf>
    <xf numFmtId="3" fontId="8" fillId="0" borderId="10" xfId="12" applyNumberFormat="1" applyFont="1" applyFill="1" applyBorder="1" applyAlignment="1" applyProtection="1"/>
    <xf numFmtId="0" fontId="20" fillId="0" borderId="0" xfId="12" applyFont="1" applyFill="1" applyProtection="1">
      <protection locked="0"/>
    </xf>
    <xf numFmtId="2" fontId="8" fillId="0" borderId="1" xfId="177" applyNumberFormat="1" applyFill="1" applyBorder="1" applyAlignment="1"/>
    <xf numFmtId="3" fontId="8" fillId="26" borderId="1" xfId="40" applyNumberFormat="1" applyFont="1" applyFill="1" applyBorder="1" applyAlignment="1" applyProtection="1">
      <alignment horizontal="right"/>
    </xf>
    <xf numFmtId="3" fontId="8" fillId="26" borderId="10" xfId="12" applyNumberFormat="1" applyFont="1" applyFill="1" applyBorder="1" applyAlignment="1" applyProtection="1">
      <alignment horizontal="right"/>
    </xf>
    <xf numFmtId="3" fontId="8" fillId="26" borderId="12" xfId="23" applyNumberFormat="1" applyFont="1" applyFill="1" applyBorder="1" applyAlignment="1" applyProtection="1"/>
    <xf numFmtId="0" fontId="130" fillId="0" borderId="28" xfId="0" applyFont="1" applyFill="1" applyBorder="1" applyAlignment="1">
      <alignment horizontal="center"/>
    </xf>
    <xf numFmtId="0" fontId="84" fillId="0" borderId="0" xfId="0" applyFont="1" applyBorder="1" applyAlignment="1">
      <alignment horizontal="center"/>
    </xf>
    <xf numFmtId="0" fontId="180" fillId="0" borderId="0" xfId="0" applyFont="1" applyBorder="1" applyAlignment="1">
      <alignment horizontal="center"/>
    </xf>
    <xf numFmtId="0" fontId="180" fillId="0" borderId="0" xfId="0" applyFont="1" applyAlignment="1">
      <alignment horizontal="center"/>
    </xf>
    <xf numFmtId="0" fontId="84" fillId="0" borderId="31" xfId="0" applyFont="1" applyBorder="1" applyAlignment="1">
      <alignment horizontal="center"/>
    </xf>
    <xf numFmtId="0" fontId="180" fillId="0" borderId="31" xfId="0" applyFont="1" applyBorder="1" applyAlignment="1">
      <alignment horizontal="center"/>
    </xf>
    <xf numFmtId="0" fontId="180" fillId="74" borderId="31" xfId="0" applyFont="1" applyFill="1" applyBorder="1" applyAlignment="1">
      <alignment horizontal="center"/>
    </xf>
    <xf numFmtId="0" fontId="84" fillId="0" borderId="0" xfId="126" applyFont="1" applyBorder="1" applyAlignment="1">
      <alignment horizontal="center"/>
    </xf>
    <xf numFmtId="180" fontId="182" fillId="0" borderId="0" xfId="170" applyNumberFormat="1" applyFont="1" applyBorder="1" applyAlignment="1" applyProtection="1">
      <alignment horizontal="right" vertical="top" wrapText="1" readingOrder="1"/>
      <protection locked="0"/>
    </xf>
    <xf numFmtId="180" fontId="182" fillId="0" borderId="0" xfId="177" applyNumberFormat="1" applyFont="1" applyFill="1" applyBorder="1" applyAlignment="1" applyProtection="1">
      <alignment horizontal="right" wrapText="1" readingOrder="1"/>
      <protection locked="0"/>
    </xf>
    <xf numFmtId="180" fontId="181" fillId="0" borderId="0" xfId="0" applyNumberFormat="1" applyFont="1"/>
    <xf numFmtId="0" fontId="181" fillId="0" borderId="0" xfId="0" applyFont="1"/>
    <xf numFmtId="169" fontId="181" fillId="0" borderId="0" xfId="0" applyNumberFormat="1" applyFont="1"/>
    <xf numFmtId="180" fontId="182" fillId="74" borderId="0" xfId="177" applyNumberFormat="1" applyFont="1" applyFill="1" applyBorder="1" applyAlignment="1" applyProtection="1">
      <alignment horizontal="right" wrapText="1" readingOrder="1"/>
      <protection locked="0"/>
    </xf>
    <xf numFmtId="0" fontId="8" fillId="0" borderId="7" xfId="9" applyFont="1" applyFill="1" applyBorder="1" applyProtection="1"/>
    <xf numFmtId="173" fontId="8" fillId="0" borderId="13" xfId="25" applyNumberFormat="1" applyFont="1" applyFill="1" applyBorder="1" applyAlignment="1" applyProtection="1">
      <alignment horizontal="left"/>
    </xf>
    <xf numFmtId="173" fontId="8" fillId="0" borderId="13" xfId="25" applyNumberFormat="1" applyFont="1" applyFill="1" applyBorder="1" applyAlignment="1" applyProtection="1">
      <alignment horizontal="center"/>
    </xf>
    <xf numFmtId="173" fontId="8" fillId="0" borderId="12" xfId="25" applyNumberFormat="1" applyFont="1" applyFill="1" applyBorder="1" applyAlignment="1" applyProtection="1">
      <alignment horizontal="left"/>
    </xf>
    <xf numFmtId="173" fontId="8" fillId="0" borderId="12" xfId="25" applyNumberFormat="1" applyFont="1" applyFill="1" applyBorder="1" applyAlignment="1" applyProtection="1">
      <alignment horizontal="center"/>
    </xf>
    <xf numFmtId="3" fontId="8" fillId="0" borderId="7" xfId="25" applyNumberFormat="1" applyFont="1" applyFill="1" applyBorder="1" applyAlignment="1" applyProtection="1"/>
    <xf numFmtId="173" fontId="8" fillId="0" borderId="10" xfId="23" applyNumberFormat="1" applyFont="1" applyFill="1" applyBorder="1" applyAlignment="1" applyProtection="1">
      <alignment horizontal="left"/>
    </xf>
    <xf numFmtId="173" fontId="8" fillId="0" borderId="12" xfId="36" applyNumberFormat="1" applyFont="1" applyFill="1" applyBorder="1" applyAlignment="1" applyProtection="1">
      <alignment horizontal="left"/>
    </xf>
    <xf numFmtId="173" fontId="8" fillId="0" borderId="12" xfId="36" applyNumberFormat="1" applyFont="1" applyFill="1" applyBorder="1" applyAlignment="1" applyProtection="1">
      <alignment horizontal="center"/>
    </xf>
    <xf numFmtId="173" fontId="8" fillId="0" borderId="12" xfId="37" applyNumberFormat="1" applyFont="1" applyFill="1" applyBorder="1" applyAlignment="1" applyProtection="1">
      <alignment horizontal="left"/>
    </xf>
    <xf numFmtId="173" fontId="8" fillId="0" borderId="12" xfId="37" applyNumberFormat="1" applyFont="1" applyFill="1" applyBorder="1" applyAlignment="1" applyProtection="1">
      <alignment horizontal="center"/>
    </xf>
    <xf numFmtId="0" fontId="8" fillId="0" borderId="13" xfId="38" applyFont="1" applyFill="1" applyBorder="1" applyAlignment="1" applyProtection="1">
      <alignment horizontal="left"/>
    </xf>
    <xf numFmtId="0" fontId="8" fillId="0" borderId="13" xfId="38" applyFont="1" applyFill="1" applyBorder="1" applyAlignment="1" applyProtection="1">
      <alignment horizontal="center"/>
    </xf>
    <xf numFmtId="3" fontId="8" fillId="0" borderId="12" xfId="38" applyNumberFormat="1" applyFont="1" applyFill="1" applyBorder="1"/>
    <xf numFmtId="0" fontId="8" fillId="0" borderId="0" xfId="38" applyFont="1" applyFill="1"/>
    <xf numFmtId="173" fontId="8" fillId="0" borderId="12" xfId="41" applyNumberFormat="1" applyFont="1" applyFill="1" applyBorder="1" applyAlignment="1" applyProtection="1">
      <alignment horizontal="left"/>
    </xf>
    <xf numFmtId="173" fontId="8" fillId="0" borderId="12" xfId="41" applyNumberFormat="1" applyFont="1" applyFill="1" applyBorder="1" applyAlignment="1" applyProtection="1">
      <alignment horizontal="center"/>
    </xf>
    <xf numFmtId="173" fontId="8" fillId="0" borderId="12" xfId="42" applyNumberFormat="1" applyFont="1" applyFill="1" applyBorder="1" applyAlignment="1" applyProtection="1">
      <alignment horizontal="left"/>
    </xf>
    <xf numFmtId="173" fontId="8" fillId="0" borderId="12" xfId="42" applyNumberFormat="1" applyFont="1" applyFill="1" applyBorder="1" applyAlignment="1" applyProtection="1">
      <alignment horizontal="center"/>
    </xf>
    <xf numFmtId="173" fontId="8" fillId="0" borderId="12" xfId="43" applyNumberFormat="1" applyFont="1" applyFill="1" applyBorder="1" applyAlignment="1" applyProtection="1">
      <alignment horizontal="left"/>
    </xf>
    <xf numFmtId="173" fontId="8" fillId="0" borderId="12" xfId="43" applyNumberFormat="1" applyFont="1" applyFill="1" applyBorder="1" applyAlignment="1" applyProtection="1">
      <alignment horizontal="center"/>
    </xf>
    <xf numFmtId="3" fontId="8" fillId="0" borderId="7" xfId="43" applyNumberFormat="1" applyFont="1" applyFill="1" applyBorder="1" applyAlignment="1" applyProtection="1"/>
    <xf numFmtId="173" fontId="8" fillId="0" borderId="12" xfId="44" applyNumberFormat="1" applyFont="1" applyFill="1" applyBorder="1" applyAlignment="1" applyProtection="1">
      <alignment horizontal="left"/>
    </xf>
    <xf numFmtId="173" fontId="8" fillId="0" borderId="12" xfId="44" applyNumberFormat="1" applyFont="1" applyFill="1" applyBorder="1" applyAlignment="1" applyProtection="1">
      <alignment horizontal="center"/>
    </xf>
    <xf numFmtId="3" fontId="8" fillId="0" borderId="7" xfId="44" applyNumberFormat="1" applyFont="1" applyFill="1" applyBorder="1" applyAlignment="1" applyProtection="1"/>
    <xf numFmtId="173" fontId="8" fillId="0" borderId="12" xfId="45" applyNumberFormat="1" applyFont="1" applyFill="1" applyBorder="1" applyAlignment="1" applyProtection="1">
      <alignment horizontal="left"/>
    </xf>
    <xf numFmtId="173" fontId="8" fillId="0" borderId="12" xfId="45" applyNumberFormat="1" applyFont="1" applyFill="1" applyBorder="1" applyAlignment="1" applyProtection="1">
      <alignment horizontal="center"/>
    </xf>
    <xf numFmtId="3" fontId="8" fillId="0" borderId="7" xfId="45" applyNumberFormat="1" applyFont="1" applyFill="1" applyBorder="1" applyAlignment="1" applyProtection="1"/>
    <xf numFmtId="3" fontId="0" fillId="0" borderId="1" xfId="0" applyNumberFormat="1" applyBorder="1"/>
    <xf numFmtId="3" fontId="8" fillId="0" borderId="2" xfId="33" applyNumberFormat="1" applyFont="1" applyFill="1" applyBorder="1" applyAlignment="1" applyProtection="1">
      <alignment vertical="top"/>
    </xf>
    <xf numFmtId="3" fontId="0" fillId="0" borderId="10" xfId="0" applyNumberFormat="1" applyFill="1" applyBorder="1" applyAlignment="1" applyProtection="1">
      <alignment horizontal="right" vertical="top"/>
    </xf>
    <xf numFmtId="0" fontId="89" fillId="0" borderId="0" xfId="190" applyFont="1" applyFill="1" applyProtection="1">
      <protection locked="0"/>
    </xf>
    <xf numFmtId="174" fontId="0" fillId="0" borderId="1" xfId="0" applyNumberFormat="1" applyFill="1" applyBorder="1"/>
    <xf numFmtId="38" fontId="8" fillId="7" borderId="0" xfId="40" applyNumberFormat="1" applyFont="1" applyFill="1" applyProtection="1"/>
    <xf numFmtId="3" fontId="8" fillId="0" borderId="0" xfId="30" applyNumberFormat="1" applyFont="1" applyBorder="1" applyAlignment="1" applyProtection="1">
      <alignment vertical="top"/>
    </xf>
    <xf numFmtId="1" fontId="8" fillId="0" borderId="0" xfId="30" applyNumberFormat="1" applyFont="1" applyFill="1" applyBorder="1" applyAlignment="1" applyProtection="1">
      <alignment horizontal="left" vertical="top"/>
    </xf>
    <xf numFmtId="173" fontId="8" fillId="0" borderId="0" xfId="30" applyNumberFormat="1" applyFont="1" applyFill="1" applyBorder="1" applyAlignment="1" applyProtection="1">
      <alignment horizontal="center" vertical="top"/>
    </xf>
    <xf numFmtId="3" fontId="8" fillId="0" borderId="0" xfId="30" applyNumberFormat="1" applyFont="1" applyFill="1" applyBorder="1" applyAlignment="1" applyProtection="1">
      <alignment vertical="top"/>
      <protection locked="0"/>
    </xf>
    <xf numFmtId="0" fontId="8" fillId="0" borderId="0" xfId="30" applyFont="1" applyFill="1" applyBorder="1" applyProtection="1"/>
    <xf numFmtId="3" fontId="8" fillId="2" borderId="10" xfId="21" applyNumberFormat="1" applyFont="1" applyFill="1" applyBorder="1" applyAlignment="1" applyProtection="1">
      <alignment vertical="top"/>
      <protection locked="0"/>
    </xf>
    <xf numFmtId="3" fontId="8" fillId="2" borderId="2" xfId="21" applyNumberFormat="1" applyFont="1" applyFill="1" applyBorder="1" applyAlignment="1" applyProtection="1">
      <alignment vertical="top"/>
      <protection locked="0"/>
    </xf>
    <xf numFmtId="3" fontId="8" fillId="0" borderId="4" xfId="21" applyNumberFormat="1" applyFont="1" applyFill="1" applyBorder="1" applyAlignment="1" applyProtection="1">
      <alignment vertical="top"/>
    </xf>
    <xf numFmtId="3" fontId="8" fillId="0" borderId="7" xfId="21" applyNumberFormat="1" applyFont="1" applyFill="1" applyBorder="1" applyAlignment="1" applyProtection="1">
      <alignment vertical="top"/>
    </xf>
    <xf numFmtId="0" fontId="8" fillId="0" borderId="10" xfId="21" applyFont="1" applyBorder="1" applyAlignment="1" applyProtection="1">
      <alignment horizontal="center" vertical="top"/>
    </xf>
    <xf numFmtId="173" fontId="8" fillId="0" borderId="2" xfId="21" applyNumberFormat="1" applyFont="1" applyBorder="1" applyAlignment="1" applyProtection="1">
      <alignment horizontal="center" vertical="top"/>
    </xf>
    <xf numFmtId="3" fontId="8" fillId="0" borderId="12" xfId="21" applyNumberFormat="1" applyFont="1" applyFill="1" applyBorder="1" applyAlignment="1" applyProtection="1">
      <alignment vertical="top"/>
    </xf>
    <xf numFmtId="174" fontId="8" fillId="0" borderId="1" xfId="190" applyNumberFormat="1" applyFont="1" applyFill="1" applyBorder="1" applyProtection="1"/>
    <xf numFmtId="174" fontId="8" fillId="0" borderId="1" xfId="189" applyNumberFormat="1" applyFont="1" applyFill="1" applyBorder="1" applyProtection="1"/>
    <xf numFmtId="0" fontId="89" fillId="0" borderId="0" xfId="189" applyFont="1" applyFill="1" applyProtection="1">
      <protection locked="0"/>
    </xf>
    <xf numFmtId="168" fontId="8" fillId="0" borderId="1" xfId="177" applyNumberFormat="1" applyFill="1" applyBorder="1"/>
    <xf numFmtId="167" fontId="8" fillId="0" borderId="14" xfId="177" applyNumberFormat="1" applyFont="1" applyFill="1" applyBorder="1"/>
    <xf numFmtId="14" fontId="8" fillId="14" borderId="1" xfId="48" applyNumberFormat="1" applyFont="1" applyFill="1" applyBorder="1" applyAlignment="1" applyProtection="1">
      <alignment horizontal="right"/>
      <protection locked="0"/>
    </xf>
    <xf numFmtId="2" fontId="8" fillId="14" borderId="14" xfId="48" applyNumberFormat="1" applyFont="1" applyFill="1" applyBorder="1" applyAlignment="1" applyProtection="1">
      <alignment horizontal="right"/>
      <protection locked="0"/>
    </xf>
    <xf numFmtId="1" fontId="8" fillId="14" borderId="14" xfId="48" applyNumberFormat="1" applyFont="1" applyFill="1" applyBorder="1" applyAlignment="1" applyProtection="1">
      <alignment horizontal="right"/>
      <protection locked="0"/>
    </xf>
    <xf numFmtId="14" fontId="8" fillId="0" borderId="1" xfId="8" applyNumberFormat="1" applyFont="1" applyFill="1" applyBorder="1" applyAlignment="1" applyProtection="1">
      <alignment vertical="top"/>
    </xf>
    <xf numFmtId="10" fontId="8" fillId="0" borderId="1" xfId="8" applyNumberFormat="1" applyFont="1" applyFill="1" applyBorder="1" applyAlignment="1" applyProtection="1">
      <alignment vertical="top"/>
    </xf>
    <xf numFmtId="0" fontId="9" fillId="0" borderId="0" xfId="8" applyFont="1" applyFill="1" applyAlignment="1" applyProtection="1">
      <alignment horizontal="center" vertical="top"/>
    </xf>
    <xf numFmtId="1" fontId="8" fillId="0" borderId="1" xfId="8" applyNumberFormat="1" applyFont="1" applyFill="1" applyBorder="1" applyAlignment="1" applyProtection="1">
      <alignment vertical="top"/>
    </xf>
    <xf numFmtId="14" fontId="8" fillId="0" borderId="0" xfId="8" applyNumberFormat="1" applyFont="1" applyFill="1" applyBorder="1" applyAlignment="1" applyProtection="1">
      <alignment vertical="top"/>
    </xf>
    <xf numFmtId="10" fontId="8" fillId="0" borderId="0" xfId="8" applyNumberFormat="1" applyFont="1" applyFill="1" applyBorder="1" applyAlignment="1" applyProtection="1">
      <alignment vertical="top"/>
    </xf>
    <xf numFmtId="1" fontId="8" fillId="0" borderId="0" xfId="8" applyNumberFormat="1" applyFont="1" applyFill="1" applyBorder="1" applyAlignment="1" applyProtection="1">
      <alignment vertical="top"/>
    </xf>
    <xf numFmtId="3" fontId="8" fillId="14" borderId="11" xfId="33" applyNumberFormat="1" applyFont="1" applyFill="1" applyBorder="1" applyAlignment="1" applyProtection="1">
      <protection locked="0"/>
    </xf>
    <xf numFmtId="0" fontId="90" fillId="0" borderId="0" xfId="33" applyFont="1" applyProtection="1">
      <protection locked="0"/>
    </xf>
    <xf numFmtId="3" fontId="8" fillId="0" borderId="12" xfId="177" applyNumberFormat="1" applyFont="1" applyBorder="1" applyProtection="1"/>
    <xf numFmtId="0" fontId="8" fillId="0" borderId="13" xfId="177" applyFont="1" applyBorder="1" applyAlignment="1" applyProtection="1">
      <alignment horizontal="left"/>
    </xf>
    <xf numFmtId="0" fontId="12" fillId="17" borderId="13" xfId="177" applyFont="1" applyFill="1" applyBorder="1" applyAlignment="1" applyProtection="1">
      <alignment horizontal="right"/>
    </xf>
    <xf numFmtId="0" fontId="133" fillId="0" borderId="0" xfId="12" applyFont="1" applyFill="1" applyProtection="1">
      <protection locked="0"/>
    </xf>
    <xf numFmtId="0" fontId="90" fillId="0" borderId="0" xfId="177" applyFont="1" applyProtection="1"/>
    <xf numFmtId="38" fontId="89" fillId="0" borderId="0" xfId="40" applyNumberFormat="1" applyFont="1" applyProtection="1"/>
    <xf numFmtId="0" fontId="135" fillId="0" borderId="0" xfId="29" applyFont="1" applyProtection="1"/>
    <xf numFmtId="167" fontId="63" fillId="75" borderId="0" xfId="127" applyNumberFormat="1" applyFont="1" applyFill="1" applyBorder="1" applyProtection="1"/>
    <xf numFmtId="0" fontId="90" fillId="0" borderId="0" xfId="188" applyFont="1" applyFill="1" applyProtection="1">
      <protection locked="0"/>
    </xf>
    <xf numFmtId="3" fontId="0" fillId="0" borderId="13" xfId="0" applyNumberFormat="1" applyFill="1" applyBorder="1" applyAlignment="1" applyProtection="1">
      <alignment horizontal="right" vertical="top"/>
    </xf>
    <xf numFmtId="0" fontId="177" fillId="70" borderId="0" xfId="177" applyFont="1" applyFill="1"/>
    <xf numFmtId="2" fontId="90" fillId="20" borderId="0" xfId="48" applyNumberFormat="1" applyFont="1" applyFill="1"/>
    <xf numFmtId="0" fontId="90" fillId="0" borderId="0" xfId="48" quotePrefix="1" applyFont="1"/>
    <xf numFmtId="3" fontId="0" fillId="0" borderId="13" xfId="0" applyNumberFormat="1" applyFill="1" applyBorder="1" applyAlignment="1" applyProtection="1">
      <alignment horizontal="right" vertical="top"/>
      <protection locked="0"/>
    </xf>
    <xf numFmtId="192" fontId="63" fillId="0" borderId="0" xfId="177" applyNumberFormat="1" applyFont="1" applyFill="1" applyBorder="1" applyAlignment="1"/>
    <xf numFmtId="0" fontId="130" fillId="76" borderId="0" xfId="0" applyFont="1" applyFill="1" applyBorder="1" applyAlignment="1">
      <alignment horizontal="center"/>
    </xf>
    <xf numFmtId="0" fontId="130" fillId="64" borderId="0" xfId="0" applyFont="1" applyFill="1" applyBorder="1" applyAlignment="1">
      <alignment horizontal="center"/>
    </xf>
    <xf numFmtId="0" fontId="63" fillId="64" borderId="27" xfId="0" applyFont="1" applyFill="1" applyBorder="1" applyAlignment="1">
      <alignment horizontal="center"/>
    </xf>
    <xf numFmtId="0" fontId="63" fillId="64" borderId="0" xfId="0" applyFont="1" applyFill="1" applyBorder="1" applyAlignment="1">
      <alignment horizontal="center"/>
    </xf>
    <xf numFmtId="0" fontId="130" fillId="76" borderId="31" xfId="0" applyFont="1" applyFill="1" applyBorder="1" applyAlignment="1">
      <alignment horizontal="center"/>
    </xf>
    <xf numFmtId="0" fontId="130" fillId="64" borderId="31" xfId="0" applyFont="1" applyFill="1" applyBorder="1" applyAlignment="1">
      <alignment horizontal="center"/>
    </xf>
    <xf numFmtId="0" fontId="63" fillId="64" borderId="29" xfId="0" applyFont="1" applyFill="1" applyBorder="1" applyAlignment="1">
      <alignment horizontal="center"/>
    </xf>
    <xf numFmtId="0" fontId="63" fillId="64" borderId="31" xfId="0" applyFont="1" applyFill="1" applyBorder="1" applyAlignment="1">
      <alignment horizontal="center"/>
    </xf>
    <xf numFmtId="3" fontId="63" fillId="0" borderId="0" xfId="192" applyNumberFormat="1" applyFont="1" applyFill="1" applyBorder="1" applyAlignment="1"/>
    <xf numFmtId="2" fontId="130" fillId="0" borderId="0" xfId="0" applyNumberFormat="1" applyFont="1" applyFill="1" applyBorder="1"/>
    <xf numFmtId="3" fontId="130" fillId="0" borderId="0" xfId="179" applyNumberFormat="1" applyFont="1" applyFill="1" applyBorder="1"/>
    <xf numFmtId="3" fontId="130" fillId="0" borderId="0" xfId="193" applyNumberFormat="1" applyFont="1" applyFill="1" applyBorder="1"/>
    <xf numFmtId="0" fontId="130" fillId="0" borderId="0" xfId="0" applyFont="1" applyFill="1" applyBorder="1"/>
    <xf numFmtId="3" fontId="130" fillId="77" borderId="0" xfId="0" applyNumberFormat="1" applyFont="1" applyFill="1" applyBorder="1"/>
    <xf numFmtId="2" fontId="130" fillId="64" borderId="0" xfId="0" applyNumberFormat="1" applyFont="1" applyFill="1" applyBorder="1"/>
    <xf numFmtId="3" fontId="130" fillId="64" borderId="0" xfId="193" applyNumberFormat="1" applyFont="1" applyFill="1" applyBorder="1"/>
    <xf numFmtId="3" fontId="130" fillId="78" borderId="0" xfId="175" applyNumberFormat="1" applyFont="1" applyFill="1" applyBorder="1"/>
    <xf numFmtId="3" fontId="130" fillId="75" borderId="0" xfId="4" applyNumberFormat="1" applyFont="1" applyFill="1" applyBorder="1"/>
    <xf numFmtId="3" fontId="130" fillId="78" borderId="0" xfId="193" applyNumberFormat="1" applyFont="1" applyFill="1" applyBorder="1"/>
    <xf numFmtId="0" fontId="89" fillId="0" borderId="0" xfId="48" quotePrefix="1" applyFont="1" applyProtection="1"/>
    <xf numFmtId="3" fontId="130" fillId="79" borderId="0" xfId="193" applyNumberFormat="1" applyFont="1" applyFill="1" applyBorder="1"/>
    <xf numFmtId="3" fontId="130" fillId="79" borderId="0" xfId="0" applyNumberFormat="1" applyFont="1" applyFill="1" applyBorder="1"/>
    <xf numFmtId="5" fontId="8" fillId="2" borderId="1" xfId="189" applyNumberFormat="1" applyFont="1" applyFill="1" applyBorder="1" applyAlignment="1" applyProtection="1">
      <alignment horizontal="right"/>
    </xf>
    <xf numFmtId="5" fontId="8" fillId="2" borderId="1" xfId="190" applyNumberFormat="1" applyFont="1" applyFill="1" applyBorder="1" applyAlignment="1" applyProtection="1">
      <alignment horizontal="right"/>
    </xf>
    <xf numFmtId="5" fontId="8" fillId="2" borderId="1" xfId="190" applyNumberFormat="1" applyFont="1" applyFill="1" applyBorder="1" applyProtection="1"/>
    <xf numFmtId="169" fontId="90" fillId="0" borderId="0" xfId="48" applyNumberFormat="1" applyFont="1" applyProtection="1"/>
    <xf numFmtId="9" fontId="90" fillId="0" borderId="0" xfId="48" quotePrefix="1" applyNumberFormat="1" applyFont="1" applyProtection="1"/>
    <xf numFmtId="2" fontId="101" fillId="0" borderId="0" xfId="48" applyNumberFormat="1" applyFont="1" applyFill="1"/>
    <xf numFmtId="9" fontId="101" fillId="0" borderId="0" xfId="48" quotePrefix="1" applyNumberFormat="1" applyFont="1" applyAlignment="1" applyProtection="1">
      <alignment horizontal="left"/>
    </xf>
    <xf numFmtId="3" fontId="8" fillId="14" borderId="7" xfId="34" applyNumberFormat="1" applyFont="1" applyFill="1" applyBorder="1" applyAlignment="1" applyProtection="1"/>
    <xf numFmtId="3" fontId="8" fillId="14" borderId="13" xfId="35" applyNumberFormat="1" applyFont="1" applyFill="1" applyBorder="1" applyAlignment="1" applyProtection="1"/>
    <xf numFmtId="173" fontId="8" fillId="0" borderId="0" xfId="39" applyNumberFormat="1" applyFont="1" applyBorder="1" applyAlignment="1" applyProtection="1">
      <alignment horizontal="left" vertical="top"/>
    </xf>
    <xf numFmtId="0" fontId="8" fillId="0" borderId="0" xfId="33" applyFont="1" applyAlignment="1" applyProtection="1">
      <alignment horizontal="right" vertical="top"/>
      <protection locked="0"/>
    </xf>
    <xf numFmtId="3" fontId="8" fillId="17" borderId="10" xfId="27" applyNumberFormat="1" applyFont="1" applyFill="1" applyBorder="1" applyAlignment="1" applyProtection="1">
      <protection locked="0"/>
    </xf>
    <xf numFmtId="3" fontId="63" fillId="80" borderId="0" xfId="173" applyNumberFormat="1" applyFont="1" applyFill="1" applyBorder="1" applyProtection="1"/>
    <xf numFmtId="3" fontId="8" fillId="26" borderId="13" xfId="33" applyNumberFormat="1" applyFont="1" applyFill="1" applyBorder="1" applyAlignment="1" applyProtection="1">
      <alignment vertical="top"/>
    </xf>
    <xf numFmtId="3" fontId="130" fillId="81" borderId="0" xfId="175" applyNumberFormat="1" applyFont="1" applyFill="1" applyBorder="1"/>
    <xf numFmtId="3" fontId="181" fillId="0" borderId="0" xfId="0" applyNumberFormat="1" applyFont="1"/>
    <xf numFmtId="49" fontId="90" fillId="0" borderId="0" xfId="48" quotePrefix="1" applyNumberFormat="1" applyFont="1"/>
    <xf numFmtId="3" fontId="8" fillId="14" borderId="7" xfId="22" applyNumberFormat="1" applyFont="1" applyFill="1" applyBorder="1" applyAlignment="1" applyProtection="1">
      <alignment horizontal="right" vertical="top"/>
      <protection locked="0"/>
    </xf>
    <xf numFmtId="0" fontId="185" fillId="9" borderId="0" xfId="0" applyFont="1" applyFill="1" applyAlignment="1">
      <alignment horizontal="center"/>
    </xf>
    <xf numFmtId="0" fontId="0" fillId="9" borderId="0" xfId="0" applyFill="1" applyAlignment="1">
      <alignment horizontal="center"/>
    </xf>
    <xf numFmtId="0" fontId="175" fillId="72" borderId="0" xfId="0" applyFont="1" applyFill="1" applyAlignment="1">
      <alignment horizontal="center"/>
    </xf>
    <xf numFmtId="14" fontId="65" fillId="0" borderId="0" xfId="48" applyNumberFormat="1" applyFont="1" applyFill="1" applyAlignment="1">
      <alignment horizontal="center"/>
    </xf>
    <xf numFmtId="0" fontId="65" fillId="0" borderId="0" xfId="48" applyFont="1" applyFill="1" applyAlignment="1">
      <alignment horizontal="center"/>
    </xf>
    <xf numFmtId="167" fontId="46" fillId="0" borderId="0" xfId="48" applyNumberFormat="1" applyFont="1" applyFill="1" applyBorder="1" applyAlignment="1" applyProtection="1">
      <alignment horizontal="center"/>
    </xf>
    <xf numFmtId="0" fontId="50" fillId="0" borderId="0" xfId="48" applyFont="1" applyAlignment="1" applyProtection="1">
      <alignment horizontal="center"/>
    </xf>
    <xf numFmtId="169" fontId="12" fillId="0" borderId="0" xfId="48" applyNumberFormat="1" applyFont="1" applyFill="1" applyBorder="1" applyAlignment="1" applyProtection="1">
      <alignment horizontal="center"/>
    </xf>
    <xf numFmtId="0" fontId="57" fillId="8" borderId="0" xfId="48" applyFont="1" applyFill="1" applyBorder="1" applyAlignment="1" applyProtection="1">
      <alignment horizontal="center"/>
    </xf>
    <xf numFmtId="0" fontId="137" fillId="0" borderId="0" xfId="48" applyFont="1" applyAlignment="1">
      <alignment horizontal="center"/>
    </xf>
    <xf numFmtId="0" fontId="8" fillId="0" borderId="0" xfId="48" applyFont="1" applyAlignment="1" applyProtection="1">
      <alignment horizontal="center"/>
    </xf>
    <xf numFmtId="0" fontId="8" fillId="17" borderId="4" xfId="177" applyFont="1" applyFill="1" applyBorder="1" applyAlignment="1" applyProtection="1">
      <alignment horizontal="center" vertical="center"/>
    </xf>
    <xf numFmtId="0" fontId="8" fillId="17" borderId="12" xfId="177" applyFont="1" applyFill="1" applyBorder="1" applyAlignment="1" applyProtection="1">
      <alignment horizontal="center" vertical="center"/>
    </xf>
    <xf numFmtId="0" fontId="12" fillId="0" borderId="31" xfId="177" applyFont="1" applyBorder="1" applyAlignment="1" applyProtection="1">
      <alignment horizontal="center"/>
    </xf>
    <xf numFmtId="0" fontId="8" fillId="17" borderId="4" xfId="177" applyFont="1" applyFill="1" applyBorder="1" applyAlignment="1" applyProtection="1">
      <alignment vertical="center"/>
    </xf>
    <xf numFmtId="0" fontId="8" fillId="17" borderId="12" xfId="177" applyFont="1" applyFill="1" applyBorder="1" applyAlignment="1" applyProtection="1">
      <alignment vertical="center"/>
    </xf>
    <xf numFmtId="0" fontId="12" fillId="0" borderId="0" xfId="177" applyFont="1" applyAlignment="1">
      <alignment horizontal="center"/>
    </xf>
    <xf numFmtId="0" fontId="12" fillId="0" borderId="0" xfId="184" applyFont="1" applyFill="1" applyBorder="1" applyAlignment="1" applyProtection="1">
      <alignment horizontal="center"/>
    </xf>
    <xf numFmtId="0" fontId="99" fillId="0" borderId="0" xfId="177" applyFont="1" applyAlignment="1">
      <alignment horizontal="center"/>
    </xf>
    <xf numFmtId="0" fontId="8" fillId="0" borderId="0" xfId="188" applyFont="1" applyFill="1" applyAlignment="1" applyProtection="1">
      <alignment horizontal="center"/>
    </xf>
    <xf numFmtId="0" fontId="11" fillId="0" borderId="0" xfId="177" applyFont="1" applyAlignment="1">
      <alignment horizontal="center"/>
    </xf>
    <xf numFmtId="0" fontId="8" fillId="0" borderId="0" xfId="177" applyFont="1" applyAlignment="1">
      <alignment horizontal="center"/>
    </xf>
    <xf numFmtId="0" fontId="12" fillId="0" borderId="0" xfId="189" applyFont="1" applyFill="1" applyAlignment="1" applyProtection="1">
      <alignment horizontal="center"/>
    </xf>
    <xf numFmtId="0" fontId="8" fillId="0" borderId="0" xfId="189" applyFont="1" applyFill="1" applyAlignment="1" applyProtection="1">
      <alignment horizontal="center"/>
    </xf>
    <xf numFmtId="0" fontId="8" fillId="0" borderId="0" xfId="189" applyFont="1" applyFill="1" applyAlignment="1" applyProtection="1">
      <alignment horizontal="center" vertical="top"/>
    </xf>
    <xf numFmtId="0" fontId="25" fillId="0" borderId="1" xfId="8" applyFont="1" applyFill="1" applyBorder="1" applyAlignment="1" applyProtection="1">
      <alignment horizontal="center"/>
    </xf>
    <xf numFmtId="0" fontId="12" fillId="0" borderId="0" xfId="8" applyFont="1" applyFill="1" applyAlignment="1" applyProtection="1">
      <alignment horizontal="center"/>
    </xf>
    <xf numFmtId="0" fontId="8" fillId="0" borderId="0" xfId="24" applyFont="1" applyFill="1" applyAlignment="1" applyProtection="1">
      <alignment horizontal="center"/>
    </xf>
    <xf numFmtId="0" fontId="100" fillId="24" borderId="2" xfId="29" applyFont="1" applyFill="1" applyBorder="1" applyAlignment="1" applyProtection="1">
      <alignment horizontal="left"/>
    </xf>
    <xf numFmtId="0" fontId="100" fillId="24" borderId="14" xfId="29" applyFont="1" applyFill="1" applyBorder="1" applyAlignment="1" applyProtection="1">
      <alignment horizontal="left"/>
    </xf>
    <xf numFmtId="0" fontId="100" fillId="24" borderId="3" xfId="29" applyFont="1" applyFill="1" applyBorder="1" applyAlignment="1" applyProtection="1">
      <alignment horizontal="left"/>
    </xf>
    <xf numFmtId="0" fontId="8" fillId="63" borderId="0" xfId="29" applyFont="1" applyFill="1" applyAlignment="1" applyProtection="1">
      <alignment horizontal="center"/>
      <protection locked="0"/>
    </xf>
    <xf numFmtId="0" fontId="14" fillId="0" borderId="0" xfId="29" applyFont="1" applyAlignment="1" applyProtection="1">
      <alignment horizontal="left"/>
    </xf>
    <xf numFmtId="0" fontId="8" fillId="0" borderId="0" xfId="21" applyFont="1" applyBorder="1" applyAlignment="1" applyProtection="1">
      <alignment horizontal="center" vertical="top"/>
    </xf>
    <xf numFmtId="49" fontId="17" fillId="0" borderId="15" xfId="0" applyNumberFormat="1" applyFont="1" applyBorder="1" applyAlignment="1" applyProtection="1">
      <alignment horizontal="left" wrapText="1"/>
    </xf>
    <xf numFmtId="49" fontId="17" fillId="0" borderId="0" xfId="0" applyNumberFormat="1" applyFont="1" applyBorder="1" applyAlignment="1" applyProtection="1">
      <alignment horizontal="left" wrapText="1"/>
    </xf>
    <xf numFmtId="0" fontId="8" fillId="0" borderId="0" xfId="40" applyFont="1" applyAlignment="1" applyProtection="1">
      <alignment horizontal="center"/>
    </xf>
    <xf numFmtId="3" fontId="0" fillId="0" borderId="2" xfId="27" applyNumberFormat="1" applyFont="1" applyFill="1" applyBorder="1" applyAlignment="1" applyProtection="1">
      <alignment horizontal="left"/>
    </xf>
    <xf numFmtId="3" fontId="0" fillId="0" borderId="3" xfId="27" applyNumberFormat="1" applyFont="1" applyFill="1" applyBorder="1" applyAlignment="1" applyProtection="1">
      <alignment horizontal="left"/>
    </xf>
    <xf numFmtId="0" fontId="0" fillId="0" borderId="0" xfId="0"/>
    <xf numFmtId="0" fontId="8" fillId="0" borderId="0" xfId="18" applyFont="1" applyAlignment="1" applyProtection="1">
      <alignment horizontal="center"/>
    </xf>
    <xf numFmtId="0" fontId="8" fillId="0" borderId="0" xfId="22" applyFont="1" applyAlignment="1" applyProtection="1">
      <alignment horizontal="left" vertical="top" wrapText="1"/>
    </xf>
    <xf numFmtId="0" fontId="25" fillId="0" borderId="0" xfId="0" applyFont="1" applyAlignment="1" applyProtection="1">
      <alignment horizontal="left"/>
    </xf>
    <xf numFmtId="0" fontId="12" fillId="0" borderId="0" xfId="0" applyFont="1" applyAlignment="1" applyProtection="1">
      <alignment horizontal="left" wrapText="1"/>
    </xf>
    <xf numFmtId="0" fontId="25" fillId="0" borderId="0" xfId="0" applyFont="1" applyAlignment="1" applyProtection="1">
      <alignment horizontal="left" wrapText="1"/>
    </xf>
    <xf numFmtId="0" fontId="0" fillId="0" borderId="0" xfId="0" applyAlignment="1">
      <alignment horizontal="center"/>
    </xf>
    <xf numFmtId="49" fontId="142" fillId="8" borderId="0" xfId="177" applyNumberFormat="1" applyFont="1" applyFill="1" applyBorder="1" applyAlignment="1">
      <alignment horizontal="center" wrapText="1"/>
    </xf>
    <xf numFmtId="177" fontId="22" fillId="8" borderId="0" xfId="177" applyNumberFormat="1" applyFont="1" applyFill="1" applyBorder="1" applyAlignment="1" applyProtection="1">
      <alignment horizontal="left"/>
    </xf>
    <xf numFmtId="0" fontId="0" fillId="0" borderId="0" xfId="0" applyBorder="1" applyAlignment="1">
      <alignment horizontal="center"/>
    </xf>
    <xf numFmtId="0" fontId="0" fillId="25" borderId="2" xfId="0" applyFill="1" applyBorder="1" applyAlignment="1" applyProtection="1">
      <alignment horizontal="center"/>
    </xf>
    <xf numFmtId="0" fontId="0" fillId="25" borderId="3" xfId="0" applyFill="1" applyBorder="1" applyAlignment="1" applyProtection="1">
      <alignment horizontal="center"/>
    </xf>
    <xf numFmtId="0" fontId="8" fillId="0" borderId="0" xfId="0" applyFont="1" applyAlignment="1">
      <alignment horizontal="center"/>
    </xf>
    <xf numFmtId="0" fontId="47" fillId="0" borderId="0" xfId="0" applyFont="1" applyAlignment="1" applyProtection="1">
      <alignment horizontal="center"/>
    </xf>
    <xf numFmtId="0" fontId="22" fillId="0" borderId="0" xfId="0" applyFont="1" applyAlignment="1" applyProtection="1">
      <alignment horizontal="center"/>
    </xf>
    <xf numFmtId="0" fontId="8" fillId="0" borderId="0" xfId="0" applyFont="1" applyAlignment="1" applyProtection="1">
      <alignment horizontal="center"/>
    </xf>
    <xf numFmtId="0" fontId="0" fillId="0" borderId="0" xfId="0" applyAlignment="1" applyProtection="1">
      <alignment horizontal="center"/>
    </xf>
    <xf numFmtId="0" fontId="47" fillId="0" borderId="0" xfId="0" applyFont="1" applyAlignment="1">
      <alignment horizontal="center"/>
    </xf>
    <xf numFmtId="0" fontId="12" fillId="0" borderId="0" xfId="181" applyFont="1" applyAlignment="1" applyProtection="1">
      <alignment horizontal="center"/>
    </xf>
    <xf numFmtId="0" fontId="12" fillId="0" borderId="0" xfId="181" applyFont="1" applyAlignment="1" applyProtection="1">
      <alignment horizontal="center"/>
      <protection locked="0"/>
    </xf>
    <xf numFmtId="0" fontId="8" fillId="0" borderId="0" xfId="181" applyFont="1" applyAlignment="1" applyProtection="1">
      <alignment horizontal="center"/>
    </xf>
    <xf numFmtId="0" fontId="8" fillId="0" borderId="0" xfId="181" applyFont="1" applyAlignment="1" applyProtection="1">
      <alignment horizontal="left" vertical="top"/>
    </xf>
    <xf numFmtId="0" fontId="8" fillId="0" borderId="0" xfId="177" applyAlignment="1">
      <alignment horizontal="center"/>
    </xf>
    <xf numFmtId="0" fontId="12" fillId="0" borderId="0" xfId="177" applyFont="1" applyFill="1" applyBorder="1" applyAlignment="1" applyProtection="1">
      <alignment horizontal="center"/>
    </xf>
    <xf numFmtId="0" fontId="93" fillId="18" borderId="0" xfId="0" applyFont="1" applyFill="1" applyAlignment="1">
      <alignment horizontal="center" vertical="center"/>
    </xf>
    <xf numFmtId="0" fontId="8" fillId="22" borderId="8" xfId="0" applyFont="1" applyFill="1" applyBorder="1" applyAlignment="1" applyProtection="1">
      <alignment horizontal="left" vertical="top" wrapText="1"/>
      <protection locked="0"/>
    </xf>
    <xf numFmtId="0" fontId="0" fillId="22" borderId="0" xfId="0" applyFill="1" applyBorder="1" applyAlignment="1" applyProtection="1">
      <alignment horizontal="left" vertical="top" wrapText="1"/>
      <protection locked="0"/>
    </xf>
    <xf numFmtId="0" fontId="0" fillId="22" borderId="9" xfId="0" applyFill="1" applyBorder="1" applyAlignment="1" applyProtection="1">
      <alignment horizontal="left" vertical="top" wrapText="1"/>
      <protection locked="0"/>
    </xf>
    <xf numFmtId="0" fontId="0" fillId="22" borderId="8" xfId="0" applyFill="1" applyBorder="1" applyAlignment="1" applyProtection="1">
      <alignment horizontal="left" vertical="top" wrapText="1"/>
      <protection locked="0"/>
    </xf>
    <xf numFmtId="0" fontId="0" fillId="22" borderId="10" xfId="0" applyFill="1" applyBorder="1" applyAlignment="1" applyProtection="1">
      <alignment horizontal="left" vertical="top" wrapText="1"/>
      <protection locked="0"/>
    </xf>
    <xf numFmtId="0" fontId="0" fillId="22" borderId="1"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cellXfs>
  <cellStyles count="194">
    <cellStyle name="20% - Accent1" xfId="66" builtinId="30" customBuiltin="1"/>
    <cellStyle name="20% - Accent1 2" xfId="90"/>
    <cellStyle name="20% - Accent1 2 2" xfId="140"/>
    <cellStyle name="20% - Accent1 3" xfId="139"/>
    <cellStyle name="20% - Accent2" xfId="70" builtinId="34" customBuiltin="1"/>
    <cellStyle name="20% - Accent2 2" xfId="91"/>
    <cellStyle name="20% - Accent2 2 2" xfId="142"/>
    <cellStyle name="20% - Accent2 3" xfId="141"/>
    <cellStyle name="20% - Accent3" xfId="74" builtinId="38" customBuiltin="1"/>
    <cellStyle name="20% - Accent3 2" xfId="92"/>
    <cellStyle name="20% - Accent3 2 2" xfId="144"/>
    <cellStyle name="20% - Accent3 3" xfId="143"/>
    <cellStyle name="20% - Accent4" xfId="78" builtinId="42" customBuiltin="1"/>
    <cellStyle name="20% - Accent4 2" xfId="93"/>
    <cellStyle name="20% - Accent4 2 2" xfId="146"/>
    <cellStyle name="20% - Accent4 3" xfId="145"/>
    <cellStyle name="20% - Accent5" xfId="82" builtinId="46" customBuiltin="1"/>
    <cellStyle name="20% - Accent5 2" xfId="94"/>
    <cellStyle name="20% - Accent5 2 2" xfId="148"/>
    <cellStyle name="20% - Accent5 3" xfId="147"/>
    <cellStyle name="20% - Accent6" xfId="86" builtinId="50" customBuiltin="1"/>
    <cellStyle name="20% - Accent6 2" xfId="95"/>
    <cellStyle name="20% - Accent6 2 2" xfId="150"/>
    <cellStyle name="20% - Accent6 3" xfId="149"/>
    <cellStyle name="40% - Accent1" xfId="67" builtinId="31" customBuiltin="1"/>
    <cellStyle name="40% - Accent1 2" xfId="96"/>
    <cellStyle name="40% - Accent1 2 2" xfId="152"/>
    <cellStyle name="40% - Accent1 3" xfId="151"/>
    <cellStyle name="40% - Accent2" xfId="71" builtinId="35" customBuiltin="1"/>
    <cellStyle name="40% - Accent2 2" xfId="97"/>
    <cellStyle name="40% - Accent2 2 2" xfId="154"/>
    <cellStyle name="40% - Accent2 3" xfId="153"/>
    <cellStyle name="40% - Accent3" xfId="75" builtinId="39" customBuiltin="1"/>
    <cellStyle name="40% - Accent3 2" xfId="98"/>
    <cellStyle name="40% - Accent3 2 2" xfId="156"/>
    <cellStyle name="40% - Accent3 3" xfId="155"/>
    <cellStyle name="40% - Accent4" xfId="79" builtinId="43" customBuiltin="1"/>
    <cellStyle name="40% - Accent4 2" xfId="99"/>
    <cellStyle name="40% - Accent4 2 2" xfId="158"/>
    <cellStyle name="40% - Accent4 3" xfId="157"/>
    <cellStyle name="40% - Accent5" xfId="83" builtinId="47" customBuiltin="1"/>
    <cellStyle name="40% - Accent5 2" xfId="100"/>
    <cellStyle name="40% - Accent5 2 2" xfId="160"/>
    <cellStyle name="40% - Accent5 3" xfId="159"/>
    <cellStyle name="40% - Accent6" xfId="87" builtinId="51" customBuiltin="1"/>
    <cellStyle name="40% - Accent6 2" xfId="101"/>
    <cellStyle name="40% - Accent6 2 2" xfId="162"/>
    <cellStyle name="40% - Accent6 3" xfId="161"/>
    <cellStyle name="60% - Accent1" xfId="68" builtinId="32" customBuiltin="1"/>
    <cellStyle name="60% - Accent2" xfId="72" builtinId="36" customBuiltin="1"/>
    <cellStyle name="60% - Accent3" xfId="76" builtinId="40" customBuiltin="1"/>
    <cellStyle name="60% - Accent4" xfId="80" builtinId="44" customBuiltin="1"/>
    <cellStyle name="60% - Accent5" xfId="84" builtinId="48" customBuiltin="1"/>
    <cellStyle name="60% - Accent6" xfId="88" builtinId="52" customBuiltin="1"/>
    <cellStyle name="Accent1" xfId="65" builtinId="29" customBuiltin="1"/>
    <cellStyle name="Accent2" xfId="69" builtinId="33" customBuiltin="1"/>
    <cellStyle name="Accent3" xfId="73" builtinId="37" customBuiltin="1"/>
    <cellStyle name="Accent4" xfId="77" builtinId="41" customBuiltin="1"/>
    <cellStyle name="Accent5" xfId="81" builtinId="45" customBuiltin="1"/>
    <cellStyle name="Accent6" xfId="85" builtinId="49" customBuiltin="1"/>
    <cellStyle name="Bad" xfId="55" builtinId="27" customBuiltin="1"/>
    <cellStyle name="Calculation" xfId="59" builtinId="22" customBuiltin="1"/>
    <cellStyle name="Check Cell" xfId="61" builtinId="23" customBuiltin="1"/>
    <cellStyle name="Comma [0]_f118" xfId="180"/>
    <cellStyle name="Comma 2" xfId="102"/>
    <cellStyle name="Comma 2 2" xfId="120"/>
    <cellStyle name="Comma 3" xfId="103"/>
    <cellStyle name="Comma 3 2" xfId="133"/>
    <cellStyle name="Comma 4" xfId="104"/>
    <cellStyle name="Comma 5" xfId="105"/>
    <cellStyle name="Comma 6" xfId="123"/>
    <cellStyle name="Currency 2" xfId="106"/>
    <cellStyle name="Explanatory Text" xfId="63" builtinId="53" customBuiltin="1"/>
    <cellStyle name="Good" xfId="54" builtinId="26" customBuiltin="1"/>
    <cellStyle name="Heading 1" xfId="50" builtinId="16" customBuiltin="1"/>
    <cellStyle name="Heading 2" xfId="51" builtinId="17" customBuiltin="1"/>
    <cellStyle name="Heading 3" xfId="52" builtinId="18" customBuiltin="1"/>
    <cellStyle name="Heading 4" xfId="53" builtinId="19" customBuiltin="1"/>
    <cellStyle name="Hyperlink" xfId="1" builtinId="8"/>
    <cellStyle name="Hyperlink 2" xfId="107"/>
    <cellStyle name="Hyperlink 3" xfId="108"/>
    <cellStyle name="Hyperlink 4" xfId="121"/>
    <cellStyle name="Input" xfId="57" builtinId="20" customBuiltin="1"/>
    <cellStyle name="Linked Cell" xfId="60" builtinId="24" customBuiltin="1"/>
    <cellStyle name="Neutral" xfId="56" builtinId="28" customBuiltin="1"/>
    <cellStyle name="Normal" xfId="0" builtinId="0"/>
    <cellStyle name="Normal 10" xfId="138"/>
    <cellStyle name="Normal 10 2 2 2 2" xfId="193"/>
    <cellStyle name="Normal 11" xfId="171"/>
    <cellStyle name="Normal 13" xfId="172"/>
    <cellStyle name="Normal 13 2" xfId="173"/>
    <cellStyle name="Normal 14 2 2" xfId="177"/>
    <cellStyle name="Normal 15" xfId="175"/>
    <cellStyle name="Normal 15 2" xfId="179"/>
    <cellStyle name="Normal 16" xfId="176"/>
    <cellStyle name="Normal 16 2 2" xfId="174"/>
    <cellStyle name="Normal 16 3" xfId="178"/>
    <cellStyle name="Normal 18" xfId="192"/>
    <cellStyle name="Normal 2" xfId="2"/>
    <cellStyle name="Normal 2 2" xfId="109"/>
    <cellStyle name="Normal 2 2 2" xfId="110"/>
    <cellStyle name="Normal 2 2 2 2" xfId="125"/>
    <cellStyle name="Normal 2 2 2 2 2" xfId="167"/>
    <cellStyle name="Normal 2 2 3" xfId="163"/>
    <cellStyle name="Normal 2 2 3 2" xfId="170"/>
    <cellStyle name="Normal 2 3" xfId="111"/>
    <cellStyle name="Normal 2 4" xfId="3"/>
    <cellStyle name="Normal 2 4 2" xfId="112"/>
    <cellStyle name="Normal 2 5" xfId="191"/>
    <cellStyle name="Normal 3" xfId="4"/>
    <cellStyle name="Normal 3 2" xfId="5"/>
    <cellStyle name="Normal 3 2 2" xfId="113"/>
    <cellStyle name="Normal 3 3" xfId="126"/>
    <cellStyle name="Normal 4" xfId="6"/>
    <cellStyle name="Normal 4 2" xfId="128"/>
    <cellStyle name="Normal 4 3" xfId="129"/>
    <cellStyle name="Normal 4 3 2" xfId="168"/>
    <cellStyle name="Normal 4 4" xfId="127"/>
    <cellStyle name="Normal 4 5" xfId="114"/>
    <cellStyle name="Normal 5" xfId="7"/>
    <cellStyle name="Normal 6" xfId="115"/>
    <cellStyle name="Normal 6 2" xfId="130"/>
    <cellStyle name="Normal 6 3" xfId="164"/>
    <cellStyle name="Normal 7" xfId="131"/>
    <cellStyle name="Normal 7 2" xfId="135"/>
    <cellStyle name="Normal 7 3" xfId="134"/>
    <cellStyle name="Normal 8" xfId="136"/>
    <cellStyle name="Normal 9" xfId="89"/>
    <cellStyle name="Normal_amend" xfId="181"/>
    <cellStyle name="Normal_C01" xfId="8"/>
    <cellStyle name="Normal_C010" xfId="9"/>
    <cellStyle name="Normal_C012" xfId="10"/>
    <cellStyle name="Normal_C014" xfId="11"/>
    <cellStyle name="Normal_C016" xfId="12"/>
    <cellStyle name="Normal_C018" xfId="13"/>
    <cellStyle name="Normal_C02" xfId="14"/>
    <cellStyle name="Normal_C022" xfId="15"/>
    <cellStyle name="Normal_C024" xfId="16"/>
    <cellStyle name="Normal_C026" xfId="17"/>
    <cellStyle name="Normal_C028" xfId="18"/>
    <cellStyle name="Normal_C029" xfId="19"/>
    <cellStyle name="Normal_C030" xfId="20"/>
    <cellStyle name="Normal_C032" xfId="21"/>
    <cellStyle name="Normal_C034" xfId="22"/>
    <cellStyle name="Normal_C036" xfId="23"/>
    <cellStyle name="Normal_C04" xfId="24"/>
    <cellStyle name="Normal_C042" xfId="25"/>
    <cellStyle name="Normal_C044" xfId="26"/>
    <cellStyle name="Normal_C045" xfId="27"/>
    <cellStyle name="Normal_C046" xfId="28"/>
    <cellStyle name="Normal_C05" xfId="29"/>
    <cellStyle name="Normal_c053" xfId="30"/>
    <cellStyle name="Normal_C054a56" xfId="31"/>
    <cellStyle name="Normal_C05a" xfId="32"/>
    <cellStyle name="Normal_C06" xfId="33"/>
    <cellStyle name="Normal_c062" xfId="34"/>
    <cellStyle name="Normal_c063" xfId="35"/>
    <cellStyle name="Normal_c066" xfId="36"/>
    <cellStyle name="Normal_c067" xfId="37"/>
    <cellStyle name="Normal_c068" xfId="38"/>
    <cellStyle name="Normal_c078" xfId="39"/>
    <cellStyle name="Normal_C08" xfId="40"/>
    <cellStyle name="Normal_c080" xfId="41"/>
    <cellStyle name="Normal_c082" xfId="42"/>
    <cellStyle name="Normal_c083" xfId="43"/>
    <cellStyle name="Normal_c084" xfId="44"/>
    <cellStyle name="Normal_c086" xfId="45"/>
    <cellStyle name="Normal_co99" xfId="46"/>
    <cellStyle name="Normal_f110" xfId="182"/>
    <cellStyle name="Normal_f118" xfId="183"/>
    <cellStyle name="Normal_f148" xfId="47"/>
    <cellStyle name="Normal_f150" xfId="184"/>
    <cellStyle name="Normal_f155" xfId="185"/>
    <cellStyle name="Normal_f162" xfId="186"/>
    <cellStyle name="Normal_f194" xfId="187"/>
    <cellStyle name="Normal_f195" xfId="188"/>
    <cellStyle name="Normal_f239" xfId="189"/>
    <cellStyle name="Normal_f241a" xfId="190"/>
    <cellStyle name="Normal_open" xfId="48"/>
    <cellStyle name="Note 2" xfId="117"/>
    <cellStyle name="Note 2 2" xfId="124"/>
    <cellStyle name="Note 2 2 2" xfId="166"/>
    <cellStyle name="Note 2 3" xfId="122"/>
    <cellStyle name="Note 2 3 2" xfId="165"/>
    <cellStyle name="Note 3" xfId="118"/>
    <cellStyle name="Note 3 2" xfId="132"/>
    <cellStyle name="Note 3 2 2" xfId="169"/>
    <cellStyle name="Note 4" xfId="137"/>
    <cellStyle name="Note 5" xfId="116"/>
    <cellStyle name="Output" xfId="58" builtinId="21" customBuiltin="1"/>
    <cellStyle name="Percent 2" xfId="119"/>
    <cellStyle name="Title" xfId="49" builtinId="15" customBuiltin="1"/>
    <cellStyle name="Total" xfId="64" builtinId="25" customBuiltin="1"/>
    <cellStyle name="Warning Text" xfId="62" builtinId="11" customBuiltin="1"/>
  </cellStyles>
  <dxfs count="0"/>
  <tableStyles count="0" defaultTableStyle="TableStyleMedium9" defaultPivotStyle="PivotStyleLight16"/>
  <colors>
    <mruColors>
      <color rgb="FFFFFF99"/>
      <color rgb="FFFF0000"/>
      <color rgb="FFFFFFCC"/>
      <color rgb="FFFF5050"/>
      <color rgb="FF3F632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n-US" sz="1400"/>
              <a:t>Average</a:t>
            </a:r>
            <a:r>
              <a:rPr lang="en-US" sz="1400" baseline="0"/>
              <a:t> Salary</a:t>
            </a:r>
            <a:endParaRPr lang="en-US" sz="1400"/>
          </a:p>
        </c:rich>
      </c:tx>
      <c:layout>
        <c:manualLayout>
          <c:xMode val="edge"/>
          <c:yMode val="edge"/>
          <c:x val="0.4163202099737533"/>
          <c:y val="3.1620553359683792E-2"/>
        </c:manualLayout>
      </c:layout>
      <c:overlay val="0"/>
    </c:title>
    <c:autoTitleDeleted val="0"/>
    <c:view3D>
      <c:rotX val="15"/>
      <c:rotY val="20"/>
      <c:depthPercent val="100"/>
      <c:rAngAx val="1"/>
    </c:view3D>
    <c:floor>
      <c:thickness val="0"/>
    </c:floor>
    <c:sideWall>
      <c:thickness val="0"/>
      <c:spPr>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2700000" scaled="1"/>
          <a:tileRect/>
        </a:gradFill>
      </c:spPr>
    </c:sideWall>
    <c:backWall>
      <c:thickness val="0"/>
      <c:spPr>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2700000" scaled="1"/>
          <a:tileRect/>
        </a:gradFill>
      </c:spPr>
    </c:backWall>
    <c:plotArea>
      <c:layout>
        <c:manualLayout>
          <c:layoutTarget val="inner"/>
          <c:xMode val="edge"/>
          <c:yMode val="edge"/>
          <c:x val="3.7892883064969185E-2"/>
          <c:y val="0.1402829805110471"/>
          <c:w val="0.8051450634619528"/>
          <c:h val="0.63389214475301647"/>
        </c:manualLayout>
      </c:layout>
      <c:bar3DChart>
        <c:barDir val="col"/>
        <c:grouping val="clustered"/>
        <c:varyColors val="0"/>
        <c:ser>
          <c:idx val="0"/>
          <c:order val="0"/>
          <c:tx>
            <c:strRef>
              <c:f>Salaries!$U$5</c:f>
              <c:strCache>
                <c:ptCount val="1"/>
                <c:pt idx="0">
                  <c:v>2014-2015</c:v>
                </c:pt>
              </c:strCache>
            </c:strRef>
          </c:tx>
          <c:invertIfNegative val="0"/>
          <c:cat>
            <c:strRef>
              <c:f>Salaries!$T$6:$T$9</c:f>
              <c:strCache>
                <c:ptCount val="4"/>
                <c:pt idx="0">
                  <c:v>Administrators (Certified/Non-Certified)</c:v>
                </c:pt>
                <c:pt idx="1">
                  <c:v>Teachers (Full Time)</c:v>
                </c:pt>
                <c:pt idx="2">
                  <c:v>Other Certified (Licensed) Personnel</c:v>
                </c:pt>
                <c:pt idx="3">
                  <c:v>Classified Personnel</c:v>
                </c:pt>
              </c:strCache>
            </c:strRef>
          </c:cat>
          <c:val>
            <c:numRef>
              <c:f>Salaries!$U$6:$U$9</c:f>
              <c:numCache>
                <c:formatCode>#,##0</c:formatCode>
                <c:ptCount val="4"/>
                <c:pt idx="0">
                  <c:v>89</c:v>
                </c:pt>
                <c:pt idx="1">
                  <c:v>44873</c:v>
                </c:pt>
                <c:pt idx="2">
                  <c:v>52513</c:v>
                </c:pt>
                <c:pt idx="3">
                  <c:v>27265</c:v>
                </c:pt>
              </c:numCache>
            </c:numRef>
          </c:val>
          <c:extLst xmlns:c16r2="http://schemas.microsoft.com/office/drawing/2015/06/chart">
            <c:ext xmlns:c16="http://schemas.microsoft.com/office/drawing/2014/chart" uri="{C3380CC4-5D6E-409C-BE32-E72D297353CC}">
              <c16:uniqueId val="{00000000-8B31-40DF-9A23-5037985A1AD6}"/>
            </c:ext>
          </c:extLst>
        </c:ser>
        <c:ser>
          <c:idx val="1"/>
          <c:order val="1"/>
          <c:tx>
            <c:strRef>
              <c:f>Salaries!$V$5</c:f>
              <c:strCache>
                <c:ptCount val="1"/>
                <c:pt idx="0">
                  <c:v>2015-2016</c:v>
                </c:pt>
              </c:strCache>
            </c:strRef>
          </c:tx>
          <c:invertIfNegative val="0"/>
          <c:cat>
            <c:strRef>
              <c:f>Salaries!$T$6:$T$9</c:f>
              <c:strCache>
                <c:ptCount val="4"/>
                <c:pt idx="0">
                  <c:v>Administrators (Certified/Non-Certified)</c:v>
                </c:pt>
                <c:pt idx="1">
                  <c:v>Teachers (Full Time)</c:v>
                </c:pt>
                <c:pt idx="2">
                  <c:v>Other Certified (Licensed) Personnel</c:v>
                </c:pt>
                <c:pt idx="3">
                  <c:v>Classified Personnel</c:v>
                </c:pt>
              </c:strCache>
            </c:strRef>
          </c:cat>
          <c:val>
            <c:numRef>
              <c:f>Salaries!$V$6:$V$9</c:f>
              <c:numCache>
                <c:formatCode>#,##0</c:formatCode>
                <c:ptCount val="4"/>
                <c:pt idx="0">
                  <c:v>100020</c:v>
                </c:pt>
                <c:pt idx="1">
                  <c:v>41466</c:v>
                </c:pt>
                <c:pt idx="2">
                  <c:v>42245</c:v>
                </c:pt>
                <c:pt idx="3">
                  <c:v>31873</c:v>
                </c:pt>
              </c:numCache>
            </c:numRef>
          </c:val>
          <c:extLst xmlns:c16r2="http://schemas.microsoft.com/office/drawing/2015/06/chart">
            <c:ext xmlns:c16="http://schemas.microsoft.com/office/drawing/2014/chart" uri="{C3380CC4-5D6E-409C-BE32-E72D297353CC}">
              <c16:uniqueId val="{00000001-8B31-40DF-9A23-5037985A1AD6}"/>
            </c:ext>
          </c:extLst>
        </c:ser>
        <c:ser>
          <c:idx val="2"/>
          <c:order val="2"/>
          <c:tx>
            <c:strRef>
              <c:f>Salaries!$W$5</c:f>
              <c:strCache>
                <c:ptCount val="1"/>
                <c:pt idx="0">
                  <c:v>2016-2017</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Salaries!$T$6:$T$9</c:f>
              <c:strCache>
                <c:ptCount val="4"/>
                <c:pt idx="0">
                  <c:v>Administrators (Certified/Non-Certified)</c:v>
                </c:pt>
                <c:pt idx="1">
                  <c:v>Teachers (Full Time)</c:v>
                </c:pt>
                <c:pt idx="2">
                  <c:v>Other Certified (Licensed) Personnel</c:v>
                </c:pt>
                <c:pt idx="3">
                  <c:v>Classified Personnel</c:v>
                </c:pt>
              </c:strCache>
            </c:strRef>
          </c:cat>
          <c:val>
            <c:numRef>
              <c:f>Salaries!$W$6:$W$9</c:f>
              <c:numCache>
                <c:formatCode>#,##0</c:formatCode>
                <c:ptCount val="4"/>
                <c:pt idx="0">
                  <c:v>102020</c:v>
                </c:pt>
                <c:pt idx="1">
                  <c:v>49085</c:v>
                </c:pt>
                <c:pt idx="2">
                  <c:v>42945</c:v>
                </c:pt>
                <c:pt idx="3">
                  <c:v>29310</c:v>
                </c:pt>
              </c:numCache>
            </c:numRef>
          </c:val>
          <c:extLst xmlns:c16r2="http://schemas.microsoft.com/office/drawing/2015/06/chart">
            <c:ext xmlns:c16="http://schemas.microsoft.com/office/drawing/2014/chart" uri="{C3380CC4-5D6E-409C-BE32-E72D297353CC}">
              <c16:uniqueId val="{00000002-8B31-40DF-9A23-5037985A1AD6}"/>
            </c:ext>
          </c:extLst>
        </c:ser>
        <c:dLbls>
          <c:showLegendKey val="0"/>
          <c:showVal val="0"/>
          <c:showCatName val="0"/>
          <c:showSerName val="0"/>
          <c:showPercent val="0"/>
          <c:showBubbleSize val="0"/>
        </c:dLbls>
        <c:gapWidth val="150"/>
        <c:shape val="box"/>
        <c:axId val="334545344"/>
        <c:axId val="334545904"/>
        <c:axId val="0"/>
      </c:bar3DChart>
      <c:catAx>
        <c:axId val="334545344"/>
        <c:scaling>
          <c:orientation val="minMax"/>
        </c:scaling>
        <c:delete val="0"/>
        <c:axPos val="b"/>
        <c:numFmt formatCode="General" sourceLinked="1"/>
        <c:majorTickMark val="none"/>
        <c:minorTickMark val="none"/>
        <c:tickLblPos val="nextTo"/>
        <c:txPr>
          <a:bodyPr/>
          <a:lstStyle/>
          <a:p>
            <a:pPr>
              <a:defRPr sz="800" baseline="0"/>
            </a:pPr>
            <a:endParaRPr lang="en-US"/>
          </a:p>
        </c:txPr>
        <c:crossAx val="334545904"/>
        <c:crosses val="autoZero"/>
        <c:auto val="1"/>
        <c:lblAlgn val="ctr"/>
        <c:lblOffset val="100"/>
        <c:noMultiLvlLbl val="0"/>
      </c:catAx>
      <c:valAx>
        <c:axId val="334545904"/>
        <c:scaling>
          <c:orientation val="minMax"/>
        </c:scaling>
        <c:delete val="0"/>
        <c:axPos val="l"/>
        <c:majorGridlines/>
        <c:numFmt formatCode="#,##0" sourceLinked="1"/>
        <c:majorTickMark val="none"/>
        <c:minorTickMark val="none"/>
        <c:tickLblPos val="nextTo"/>
        <c:txPr>
          <a:bodyPr/>
          <a:lstStyle/>
          <a:p>
            <a:pPr>
              <a:defRPr sz="900" baseline="0"/>
            </a:pPr>
            <a:endParaRPr lang="en-US"/>
          </a:p>
        </c:txPr>
        <c:crossAx val="334545344"/>
        <c:crosses val="autoZero"/>
        <c:crossBetween val="between"/>
      </c:valAx>
    </c:plotArea>
    <c:legend>
      <c:legendPos val="r"/>
      <c:layout>
        <c:manualLayout>
          <c:xMode val="edge"/>
          <c:yMode val="edge"/>
          <c:x val="0.88047646803234392"/>
          <c:y val="0.44689519457026206"/>
          <c:w val="0.10875637180614872"/>
          <c:h val="0.22817556322809807"/>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xdr:col>
      <xdr:colOff>142875</xdr:colOff>
      <xdr:row>0</xdr:row>
      <xdr:rowOff>57150</xdr:rowOff>
    </xdr:from>
    <xdr:to>
      <xdr:col>6</xdr:col>
      <xdr:colOff>466725</xdr:colOff>
      <xdr:row>7</xdr:row>
      <xdr:rowOff>28575</xdr:rowOff>
    </xdr:to>
    <xdr:sp macro="" textlink="">
      <xdr:nvSpPr>
        <xdr:cNvPr id="53252" name="Text Box 4"/>
        <xdr:cNvSpPr txBox="1">
          <a:spLocks noChangeArrowheads="1"/>
        </xdr:cNvSpPr>
      </xdr:nvSpPr>
      <xdr:spPr bwMode="auto">
        <a:xfrm>
          <a:off x="7096125" y="57150"/>
          <a:ext cx="2085975" cy="1304925"/>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To return to this page after clicking on a link:</a:t>
          </a:r>
        </a:p>
        <a:p>
          <a:pPr algn="l" rtl="0">
            <a:defRPr sz="1000"/>
          </a:pPr>
          <a:endParaRPr lang="en-US" sz="1000" b="0" i="0" strike="noStrike">
            <a:solidFill>
              <a:srgbClr val="000000"/>
            </a:solidFill>
            <a:latin typeface="Arial"/>
            <a:cs typeface="Arial"/>
          </a:endParaRPr>
        </a:p>
        <a:p>
          <a:pPr algn="l" rtl="0">
            <a:defRPr sz="1000"/>
          </a:pPr>
          <a:r>
            <a:rPr lang="en-US" sz="1000" b="0" i="0" strike="noStrike">
              <a:solidFill>
                <a:srgbClr val="000000"/>
              </a:solidFill>
              <a:latin typeface="Arial"/>
              <a:cs typeface="Arial"/>
            </a:rPr>
            <a:t>Locate the </a:t>
          </a:r>
          <a:r>
            <a:rPr lang="en-US" sz="1000" b="0" i="0" u="sng" strike="noStrike">
              <a:solidFill>
                <a:srgbClr val="0000FF"/>
              </a:solidFill>
              <a:latin typeface="Arial"/>
              <a:cs typeface="Arial"/>
            </a:rPr>
            <a:t>Return to Contents Page</a:t>
          </a:r>
          <a:r>
            <a:rPr lang="en-US" sz="1000" b="0" i="0" strike="noStrike">
              <a:solidFill>
                <a:srgbClr val="000000"/>
              </a:solidFill>
              <a:latin typeface="Arial"/>
              <a:cs typeface="Arial"/>
            </a:rPr>
            <a:t> link in the upper right-hand corner of each Fund / Form and click on it.</a:t>
          </a:r>
        </a:p>
      </xdr:txBody>
    </xdr:sp>
    <xdr:clientData fPrintsWithSheet="0"/>
  </xdr:twoCellAnchor>
  <xdr:twoCellAnchor editAs="oneCell">
    <xdr:from>
      <xdr:col>9</xdr:col>
      <xdr:colOff>590550</xdr:colOff>
      <xdr:row>0</xdr:row>
      <xdr:rowOff>85725</xdr:rowOff>
    </xdr:from>
    <xdr:to>
      <xdr:col>11</xdr:col>
      <xdr:colOff>66675</xdr:colOff>
      <xdr:row>3</xdr:row>
      <xdr:rowOff>156493</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87250" y="85725"/>
          <a:ext cx="695325" cy="6898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247650</xdr:colOff>
      <xdr:row>0</xdr:row>
      <xdr:rowOff>76200</xdr:rowOff>
    </xdr:from>
    <xdr:to>
      <xdr:col>0</xdr:col>
      <xdr:colOff>781050</xdr:colOff>
      <xdr:row>3</xdr:row>
      <xdr:rowOff>123825</xdr:rowOff>
    </xdr:to>
    <xdr:pic macro="[1]!Code01_help">
      <xdr:nvPicPr>
        <xdr:cNvPr id="87538" name="Picture 2" descr="helpbutto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76200"/>
          <a:ext cx="5334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171450</xdr:colOff>
      <xdr:row>3</xdr:row>
      <xdr:rowOff>114300</xdr:rowOff>
    </xdr:from>
    <xdr:to>
      <xdr:col>0</xdr:col>
      <xdr:colOff>647700</xdr:colOff>
      <xdr:row>6</xdr:row>
      <xdr:rowOff>114300</xdr:rowOff>
    </xdr:to>
    <xdr:pic macro="[1]!Co5_help">
      <xdr:nvPicPr>
        <xdr:cNvPr id="88562" name="Picture 2" descr="helpbutto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571500"/>
          <a:ext cx="4762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11</xdr:col>
      <xdr:colOff>238125</xdr:colOff>
      <xdr:row>2</xdr:row>
      <xdr:rowOff>114299</xdr:rowOff>
    </xdr:from>
    <xdr:to>
      <xdr:col>13</xdr:col>
      <xdr:colOff>323850</xdr:colOff>
      <xdr:row>19</xdr:row>
      <xdr:rowOff>19050</xdr:rowOff>
    </xdr:to>
    <xdr:sp macro="" textlink="">
      <xdr:nvSpPr>
        <xdr:cNvPr id="2" name="TextBox 1"/>
        <xdr:cNvSpPr txBox="1"/>
      </xdr:nvSpPr>
      <xdr:spPr>
        <a:xfrm>
          <a:off x="9582150" y="419099"/>
          <a:ext cx="2190750" cy="2876551"/>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sum of </a:t>
          </a:r>
          <a:r>
            <a:rPr lang="en-US" sz="1100" b="1"/>
            <a:t>all</a:t>
          </a:r>
          <a:r>
            <a:rPr lang="en-US" sz="1100"/>
            <a:t> Bond Elections sections column (4) should equal</a:t>
          </a:r>
          <a:r>
            <a:rPr lang="en-US" sz="1100" baseline="0"/>
            <a:t> what you entered on the Open page for </a:t>
          </a:r>
          <a:r>
            <a:rPr lang="en-US" sz="1100" b="1" baseline="0"/>
            <a:t>Bonded Indebtedness - General Obligation Bonds </a:t>
          </a:r>
          <a:r>
            <a:rPr lang="en-US" sz="1100" baseline="0"/>
            <a:t>(cell  F124).  If not then correct either the amount entered on the Open page or data entered on this form.  An Error message will appear on the bottom of this page if they do not equal.</a:t>
          </a:r>
        </a:p>
        <a:p>
          <a:endParaRPr lang="en-US" sz="1100"/>
        </a:p>
        <a:p>
          <a:r>
            <a:rPr lang="en-US" sz="1100"/>
            <a:t>If</a:t>
          </a:r>
          <a:r>
            <a:rPr lang="en-US" sz="1100" baseline="0"/>
            <a:t> you need more lines to enter all bonds, then unprotect sheet with the password 2017 and insert extra lines needed.</a:t>
          </a:r>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209550</xdr:colOff>
      <xdr:row>3</xdr:row>
      <xdr:rowOff>123825</xdr:rowOff>
    </xdr:from>
    <xdr:to>
      <xdr:col>0</xdr:col>
      <xdr:colOff>695325</xdr:colOff>
      <xdr:row>6</xdr:row>
      <xdr:rowOff>123825</xdr:rowOff>
    </xdr:to>
    <xdr:pic macro="[1]!Co5a_help">
      <xdr:nvPicPr>
        <xdr:cNvPr id="89586" name="Picture 2" descr="helpbutto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81025"/>
          <a:ext cx="4857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257175</xdr:colOff>
      <xdr:row>0</xdr:row>
      <xdr:rowOff>104775</xdr:rowOff>
    </xdr:from>
    <xdr:to>
      <xdr:col>0</xdr:col>
      <xdr:colOff>733425</xdr:colOff>
      <xdr:row>4</xdr:row>
      <xdr:rowOff>66675</xdr:rowOff>
    </xdr:to>
    <xdr:pic macro="[1]!Code06_help">
      <xdr:nvPicPr>
        <xdr:cNvPr id="83449" name="Picture 8" descr="helpbutto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104775"/>
          <a:ext cx="4762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257175</xdr:colOff>
      <xdr:row>0</xdr:row>
      <xdr:rowOff>104775</xdr:rowOff>
    </xdr:from>
    <xdr:to>
      <xdr:col>0</xdr:col>
      <xdr:colOff>781050</xdr:colOff>
      <xdr:row>3</xdr:row>
      <xdr:rowOff>114300</xdr:rowOff>
    </xdr:to>
    <xdr:pic macro="[1]!Code45_help">
      <xdr:nvPicPr>
        <xdr:cNvPr id="90610" name="Picture 2" descr="helpbutto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104775"/>
          <a:ext cx="5238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7</xdr:col>
      <xdr:colOff>495299</xdr:colOff>
      <xdr:row>15</xdr:row>
      <xdr:rowOff>133350</xdr:rowOff>
    </xdr:from>
    <xdr:to>
      <xdr:col>10</xdr:col>
      <xdr:colOff>200024</xdr:colOff>
      <xdr:row>19</xdr:row>
      <xdr:rowOff>47625</xdr:rowOff>
    </xdr:to>
    <xdr:sp macro="" textlink="">
      <xdr:nvSpPr>
        <xdr:cNvPr id="52240" name="Text Box 16"/>
        <xdr:cNvSpPr txBox="1">
          <a:spLocks noChangeArrowheads="1"/>
        </xdr:cNvSpPr>
      </xdr:nvSpPr>
      <xdr:spPr bwMode="auto">
        <a:xfrm>
          <a:off x="7810499" y="2238375"/>
          <a:ext cx="2238375" cy="561975"/>
        </a:xfrm>
        <a:prstGeom prst="rect">
          <a:avLst/>
        </a:prstGeom>
        <a:solidFill>
          <a:srgbClr val="FFCC99"/>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sng" strike="noStrike">
              <a:solidFill>
                <a:srgbClr val="000000"/>
              </a:solidFill>
              <a:latin typeface="Arial"/>
              <a:cs typeface="Arial"/>
            </a:rPr>
            <a:t>To see what has been budgeted</a:t>
          </a:r>
          <a:r>
            <a:rPr lang="en-US" sz="1000" b="0" i="0" strike="noStrike">
              <a:solidFill>
                <a:srgbClr val="000000"/>
              </a:solidFill>
              <a:latin typeface="Arial"/>
              <a:cs typeface="Arial"/>
            </a:rPr>
            <a:t>:</a:t>
          </a:r>
        </a:p>
        <a:p>
          <a:pPr algn="l" rtl="0">
            <a:defRPr sz="1000"/>
          </a:pPr>
          <a:r>
            <a:rPr lang="en-US" sz="1000" b="0" i="0" strike="noStrike">
              <a:solidFill>
                <a:srgbClr val="000000"/>
              </a:solidFill>
              <a:latin typeface="Arial"/>
              <a:cs typeface="Arial"/>
            </a:rPr>
            <a:t>Salary information for the budget year is totaled by fund to the right------&gt;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19050</xdr:colOff>
      <xdr:row>20</xdr:row>
      <xdr:rowOff>57150</xdr:rowOff>
    </xdr:from>
    <xdr:to>
      <xdr:col>4</xdr:col>
      <xdr:colOff>885825</xdr:colOff>
      <xdr:row>25</xdr:row>
      <xdr:rowOff>142875</xdr:rowOff>
    </xdr:to>
    <xdr:sp macro="" textlink="">
      <xdr:nvSpPr>
        <xdr:cNvPr id="2" name="TextBox 1"/>
        <xdr:cNvSpPr txBox="1"/>
      </xdr:nvSpPr>
      <xdr:spPr>
        <a:xfrm>
          <a:off x="19050" y="3248025"/>
          <a:ext cx="6105525" cy="1762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In accordance with</a:t>
          </a:r>
          <a:r>
            <a:rPr lang="en-US" sz="1000" baseline="0"/>
            <a:t> 72-8208a, a</a:t>
          </a:r>
          <a:r>
            <a:rPr lang="en-US" sz="1000"/>
            <a:t>ll monies received from the sale of admissions to activities which the school district sponsors shall be credited to school activity funds in accordance with policies and procedures adopted by the board of education.  Such monies shall not be considered to be monies of the school district for the purposes of K.S.A. 72-8202d, and amendments thereto.</a:t>
          </a:r>
        </a:p>
        <a:p>
          <a:endParaRPr lang="en-US" sz="1000"/>
        </a:p>
        <a:p>
          <a:pPr marL="0" marR="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effectLst/>
              <a:latin typeface="+mn-lt"/>
              <a:ea typeface="+mn-ea"/>
              <a:cs typeface="+mn-cs"/>
            </a:rPr>
            <a:t>The term "activities" means activities, events, and competitions in such fields as athletics, music, forensics, and dramatics, and other interschool or intraschool extracurricular activities in which pupils may participate directly or indirectly.</a:t>
          </a:r>
        </a:p>
        <a:p>
          <a:pPr marL="0" marR="0" indent="0" defTabSz="914400" eaLnBrk="1" fontAlgn="auto" latinLnBrk="0" hangingPunct="1">
            <a:lnSpc>
              <a:spcPct val="100000"/>
            </a:lnSpc>
            <a:spcBef>
              <a:spcPts val="0"/>
            </a:spcBef>
            <a:spcAft>
              <a:spcPts val="0"/>
            </a:spcAft>
            <a:buClrTx/>
            <a:buSzTx/>
            <a:buFontTx/>
            <a:buNone/>
            <a:tabLst/>
            <a:defRPr/>
          </a:pPr>
          <a:endParaRPr lang="en-US" sz="1000" b="0" i="0" u="none" strike="noStrike">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000" b="1" i="0" u="none" strike="noStrike">
              <a:solidFill>
                <a:schemeClr val="dk1"/>
              </a:solidFill>
              <a:effectLst/>
              <a:latin typeface="+mn-lt"/>
              <a:ea typeface="+mn-ea"/>
              <a:cs typeface="+mn-cs"/>
            </a:rPr>
            <a:t>This does not include student organizations or clubs.</a:t>
          </a:r>
          <a:r>
            <a:rPr lang="en-US" sz="1000" b="1"/>
            <a:t> </a:t>
          </a:r>
          <a:endParaRPr lang="en-US" sz="1000" b="1">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000">
            <a:effectLst/>
          </a:endParaRPr>
        </a:p>
        <a:p>
          <a:endParaRPr lang="en-US" sz="1000"/>
        </a:p>
      </xdr:txBody>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285750</xdr:colOff>
      <xdr:row>0</xdr:row>
      <xdr:rowOff>76200</xdr:rowOff>
    </xdr:from>
    <xdr:to>
      <xdr:col>0</xdr:col>
      <xdr:colOff>809625</xdr:colOff>
      <xdr:row>3</xdr:row>
      <xdr:rowOff>114300</xdr:rowOff>
    </xdr:to>
    <xdr:pic macro="[1]!Code62_help">
      <xdr:nvPicPr>
        <xdr:cNvPr id="96729" name="Picture 8" descr="helpbutto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76200"/>
          <a:ext cx="5238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7</xdr:col>
      <xdr:colOff>238125</xdr:colOff>
      <xdr:row>46</xdr:row>
      <xdr:rowOff>133350</xdr:rowOff>
    </xdr:from>
    <xdr:to>
      <xdr:col>9</xdr:col>
      <xdr:colOff>247650</xdr:colOff>
      <xdr:row>52</xdr:row>
      <xdr:rowOff>28575</xdr:rowOff>
    </xdr:to>
    <xdr:sp macro="" textlink="">
      <xdr:nvSpPr>
        <xdr:cNvPr id="35849" name="Text Box 9"/>
        <xdr:cNvSpPr txBox="1">
          <a:spLocks noChangeArrowheads="1"/>
        </xdr:cNvSpPr>
      </xdr:nvSpPr>
      <xdr:spPr bwMode="auto">
        <a:xfrm>
          <a:off x="7181850" y="6286500"/>
          <a:ext cx="2124075" cy="80962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If you do not have a bond this year but have leftover money from last year, enter the negative amount found below as a positive number on Line 120 (Cash Basis Reserve).</a:t>
          </a:r>
        </a:p>
      </xdr:txBody>
    </xdr:sp>
    <xdr:clientData/>
  </xdr:twoCellAnchor>
  <xdr:twoCellAnchor>
    <xdr:from>
      <xdr:col>7</xdr:col>
      <xdr:colOff>76200</xdr:colOff>
      <xdr:row>50</xdr:row>
      <xdr:rowOff>66675</xdr:rowOff>
    </xdr:from>
    <xdr:to>
      <xdr:col>7</xdr:col>
      <xdr:colOff>238125</xdr:colOff>
      <xdr:row>50</xdr:row>
      <xdr:rowOff>66675</xdr:rowOff>
    </xdr:to>
    <xdr:sp macro="" textlink="">
      <xdr:nvSpPr>
        <xdr:cNvPr id="96731" name="Line 10"/>
        <xdr:cNvSpPr>
          <a:spLocks noChangeShapeType="1"/>
        </xdr:cNvSpPr>
      </xdr:nvSpPr>
      <xdr:spPr bwMode="auto">
        <a:xfrm flipH="1">
          <a:off x="7153275" y="6981825"/>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333375</xdr:colOff>
      <xdr:row>0</xdr:row>
      <xdr:rowOff>66675</xdr:rowOff>
    </xdr:from>
    <xdr:to>
      <xdr:col>0</xdr:col>
      <xdr:colOff>819150</xdr:colOff>
      <xdr:row>3</xdr:row>
      <xdr:rowOff>66675</xdr:rowOff>
    </xdr:to>
    <xdr:pic macro="[1]!Code63_help">
      <xdr:nvPicPr>
        <xdr:cNvPr id="84469" name="Picture 4" descr="helpbutto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66675"/>
          <a:ext cx="4857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276225</xdr:colOff>
      <xdr:row>0</xdr:row>
      <xdr:rowOff>57150</xdr:rowOff>
    </xdr:from>
    <xdr:to>
      <xdr:col>0</xdr:col>
      <xdr:colOff>733425</xdr:colOff>
      <xdr:row>4</xdr:row>
      <xdr:rowOff>38100</xdr:rowOff>
    </xdr:to>
    <xdr:pic macro="[1]!Co78_help">
      <xdr:nvPicPr>
        <xdr:cNvPr id="91634" name="Picture 2" descr="helpbutto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57150"/>
          <a:ext cx="4572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0</xdr:col>
      <xdr:colOff>76200</xdr:colOff>
      <xdr:row>0</xdr:row>
      <xdr:rowOff>0</xdr:rowOff>
    </xdr:from>
    <xdr:to>
      <xdr:col>0</xdr:col>
      <xdr:colOff>523875</xdr:colOff>
      <xdr:row>2</xdr:row>
      <xdr:rowOff>47625</xdr:rowOff>
    </xdr:to>
    <xdr:pic macro="[1]!Open_help">
      <xdr:nvPicPr>
        <xdr:cNvPr id="76450" name="Picture 7" descr="helpbutto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4476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7</xdr:col>
      <xdr:colOff>38100</xdr:colOff>
      <xdr:row>1</xdr:row>
      <xdr:rowOff>85725</xdr:rowOff>
    </xdr:from>
    <xdr:to>
      <xdr:col>8</xdr:col>
      <xdr:colOff>361950</xdr:colOff>
      <xdr:row>5</xdr:row>
      <xdr:rowOff>0</xdr:rowOff>
    </xdr:to>
    <xdr:sp macro="" textlink="">
      <xdr:nvSpPr>
        <xdr:cNvPr id="2" name="TextBox 1"/>
        <xdr:cNvSpPr txBox="1"/>
      </xdr:nvSpPr>
      <xdr:spPr>
        <a:xfrm>
          <a:off x="7715250" y="295275"/>
          <a:ext cx="1895475" cy="657225"/>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Some</a:t>
          </a:r>
          <a:r>
            <a:rPr lang="en-US" sz="1100" baseline="0"/>
            <a:t> enrollment data for 2016-17 are collected for informational purposes only.  </a:t>
          </a:r>
          <a:endParaRPr lang="en-US" sz="1100"/>
        </a:p>
      </xdr:txBody>
    </xdr:sp>
    <xdr:clientData/>
  </xdr:twoCellAnchor>
  <xdr:twoCellAnchor>
    <xdr:from>
      <xdr:col>7</xdr:col>
      <xdr:colOff>47625</xdr:colOff>
      <xdr:row>5</xdr:row>
      <xdr:rowOff>85725</xdr:rowOff>
    </xdr:from>
    <xdr:to>
      <xdr:col>8</xdr:col>
      <xdr:colOff>371475</xdr:colOff>
      <xdr:row>10</xdr:row>
      <xdr:rowOff>76200</xdr:rowOff>
    </xdr:to>
    <xdr:sp macro="" textlink="">
      <xdr:nvSpPr>
        <xdr:cNvPr id="4" name="TextBox 3"/>
        <xdr:cNvSpPr txBox="1"/>
      </xdr:nvSpPr>
      <xdr:spPr>
        <a:xfrm>
          <a:off x="7724775" y="1038225"/>
          <a:ext cx="1895475" cy="8001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ysClr val="windowText" lastClr="000000"/>
              </a:solidFill>
            </a:rPr>
            <a:t>HINT</a:t>
          </a:r>
          <a:r>
            <a:rPr lang="en-US" sz="1100"/>
            <a:t>:</a:t>
          </a:r>
          <a:r>
            <a:rPr lang="en-US" sz="1100" baseline="0"/>
            <a:t>  If cell comments do not appear when you mouse over then close the Budget_Glance.xlsx file.</a:t>
          </a:r>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238125</xdr:colOff>
      <xdr:row>0</xdr:row>
      <xdr:rowOff>47625</xdr:rowOff>
    </xdr:from>
    <xdr:to>
      <xdr:col>0</xdr:col>
      <xdr:colOff>733425</xdr:colOff>
      <xdr:row>3</xdr:row>
      <xdr:rowOff>57150</xdr:rowOff>
    </xdr:to>
    <xdr:pic macro="[1]!Code83_help">
      <xdr:nvPicPr>
        <xdr:cNvPr id="92658" name="Picture 2" descr="helpbutto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47625"/>
          <a:ext cx="4953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333375</xdr:colOff>
      <xdr:row>12</xdr:row>
      <xdr:rowOff>0</xdr:rowOff>
    </xdr:from>
    <xdr:to>
      <xdr:col>0</xdr:col>
      <xdr:colOff>809625</xdr:colOff>
      <xdr:row>15</xdr:row>
      <xdr:rowOff>104775</xdr:rowOff>
    </xdr:to>
    <xdr:pic macro="[1]!Co99_help">
      <xdr:nvPicPr>
        <xdr:cNvPr id="94180" name="Picture 2" descr="helpbutto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1714500"/>
          <a:ext cx="4762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9</xdr:col>
      <xdr:colOff>257175</xdr:colOff>
      <xdr:row>5</xdr:row>
      <xdr:rowOff>104775</xdr:rowOff>
    </xdr:from>
    <xdr:to>
      <xdr:col>10</xdr:col>
      <xdr:colOff>581025</xdr:colOff>
      <xdr:row>21</xdr:row>
      <xdr:rowOff>47625</xdr:rowOff>
    </xdr:to>
    <xdr:sp macro="" textlink="">
      <xdr:nvSpPr>
        <xdr:cNvPr id="47107" name="Text Box 3"/>
        <xdr:cNvSpPr txBox="1">
          <a:spLocks noChangeArrowheads="1"/>
        </xdr:cNvSpPr>
      </xdr:nvSpPr>
      <xdr:spPr bwMode="auto">
        <a:xfrm>
          <a:off x="8515350" y="742950"/>
          <a:ext cx="1724025" cy="2190750"/>
        </a:xfrm>
        <a:prstGeom prst="rect">
          <a:avLst/>
        </a:prstGeom>
        <a:solidFill>
          <a:srgbClr val="FFCC99"/>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You can easily make an electronic copy of this page to send to the newspaper by switching to the Tools.xlsm file, Main worksheet and clicking on the Notice of Hearing button.  A separate file will be created in the the same folder as this file.  Do NOT do a SAVE AS on the code 99 to make a copy as that will change the links of this budget file.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114300</xdr:colOff>
      <xdr:row>14</xdr:row>
      <xdr:rowOff>38100</xdr:rowOff>
    </xdr:from>
    <xdr:to>
      <xdr:col>8</xdr:col>
      <xdr:colOff>361950</xdr:colOff>
      <xdr:row>19</xdr:row>
      <xdr:rowOff>104775</xdr:rowOff>
    </xdr:to>
    <xdr:sp macro="" textlink="">
      <xdr:nvSpPr>
        <xdr:cNvPr id="2" name="WordArt 1"/>
        <xdr:cNvSpPr>
          <a:spLocks noChangeArrowheads="1" noChangeShapeType="1" noTextEdit="1"/>
        </xdr:cNvSpPr>
      </xdr:nvSpPr>
      <xdr:spPr bwMode="auto">
        <a:xfrm>
          <a:off x="1095375" y="2305050"/>
          <a:ext cx="4000500" cy="876300"/>
        </a:xfrm>
        <a:prstGeom prst="rect">
          <a:avLst/>
        </a:prstGeom>
      </xdr:spPr>
      <xdr:txBody>
        <a:bodyPr wrap="none" fromWordArt="1">
          <a:prstTxWarp prst="textPlain">
            <a:avLst>
              <a:gd name="adj" fmla="val 50000"/>
            </a:avLst>
          </a:prstTxWarp>
        </a:bodyPr>
        <a:lstStyle/>
        <a:p>
          <a:pPr algn="ctr" rtl="0"/>
          <a:r>
            <a:rPr lang="en-US" sz="3600" b="1" kern="10" spc="720">
              <a:ln w="9525">
                <a:noFill/>
                <a:round/>
                <a:headEnd/>
                <a:tailEnd/>
              </a:ln>
              <a:solidFill>
                <a:srgbClr val="333399"/>
              </a:solidFill>
              <a:effectLst/>
              <a:latin typeface="Arial Narrow"/>
            </a:rPr>
            <a:t>Budget Certificate</a:t>
          </a:r>
        </a:p>
        <a:p>
          <a:pPr algn="ctr" rtl="0"/>
          <a:r>
            <a:rPr lang="en-US" sz="3600" b="1" kern="10" spc="720">
              <a:ln w="9525">
                <a:noFill/>
                <a:round/>
                <a:headEnd/>
                <a:tailEnd/>
              </a:ln>
              <a:solidFill>
                <a:srgbClr val="333399"/>
              </a:solidFill>
              <a:effectLst/>
              <a:latin typeface="Arial Narrow"/>
            </a:rPr>
            <a:t>2016-17 School Year</a:t>
          </a:r>
        </a:p>
      </xdr:txBody>
    </xdr:sp>
    <xdr:clientData/>
  </xdr:twoCellAnchor>
  <xdr:twoCellAnchor>
    <xdr:from>
      <xdr:col>0</xdr:col>
      <xdr:colOff>0</xdr:colOff>
      <xdr:row>0</xdr:row>
      <xdr:rowOff>0</xdr:rowOff>
    </xdr:from>
    <xdr:to>
      <xdr:col>10</xdr:col>
      <xdr:colOff>9525</xdr:colOff>
      <xdr:row>5</xdr:row>
      <xdr:rowOff>114300</xdr:rowOff>
    </xdr:to>
    <xdr:pic>
      <xdr:nvPicPr>
        <xdr:cNvPr id="3" name="Picture 2" descr="bigflagphot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8868" r="19733" b="83395"/>
        <a:stretch>
          <a:fillRect/>
        </a:stretch>
      </xdr:blipFill>
      <xdr:spPr bwMode="auto">
        <a:xfrm>
          <a:off x="0" y="0"/>
          <a:ext cx="59626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42</xdr:row>
      <xdr:rowOff>47625</xdr:rowOff>
    </xdr:from>
    <xdr:to>
      <xdr:col>10</xdr:col>
      <xdr:colOff>0</xdr:colOff>
      <xdr:row>49</xdr:row>
      <xdr:rowOff>9525</xdr:rowOff>
    </xdr:to>
    <xdr:pic>
      <xdr:nvPicPr>
        <xdr:cNvPr id="4" name="Picture 3" descr="bigflagphot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0420" t="82014" r="18291" b="7770"/>
        <a:stretch>
          <a:fillRect/>
        </a:stretch>
      </xdr:blipFill>
      <xdr:spPr bwMode="auto">
        <a:xfrm>
          <a:off x="0" y="7505700"/>
          <a:ext cx="59531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47625</xdr:colOff>
      <xdr:row>1</xdr:row>
      <xdr:rowOff>104774</xdr:rowOff>
    </xdr:from>
    <xdr:to>
      <xdr:col>10</xdr:col>
      <xdr:colOff>342900</xdr:colOff>
      <xdr:row>9</xdr:row>
      <xdr:rowOff>19050</xdr:rowOff>
    </xdr:to>
    <xdr:sp macro="" textlink="">
      <xdr:nvSpPr>
        <xdr:cNvPr id="2" name="TextBox 1"/>
        <xdr:cNvSpPr txBox="1"/>
      </xdr:nvSpPr>
      <xdr:spPr>
        <a:xfrm>
          <a:off x="6534150" y="266699"/>
          <a:ext cx="2124075" cy="1333501"/>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Note:</a:t>
          </a:r>
          <a:r>
            <a:rPr lang="en-US" sz="1200" baseline="0"/>
            <a:t>  Percent has changed to 0.125% for 2016-17.</a:t>
          </a:r>
        </a:p>
        <a:p>
          <a:endParaRPr lang="en-US" sz="1200" baseline="0"/>
        </a:p>
        <a:p>
          <a:r>
            <a:rPr lang="en-US" sz="1200" baseline="0"/>
            <a:t>Remember to type in the # approved/# disapproved for the board vote.</a:t>
          </a:r>
          <a:endParaRPr lang="en-US" sz="1200"/>
        </a:p>
      </xdr:txBody>
    </xdr:sp>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276225</xdr:colOff>
      <xdr:row>0</xdr:row>
      <xdr:rowOff>152400</xdr:rowOff>
    </xdr:from>
    <xdr:to>
      <xdr:col>0</xdr:col>
      <xdr:colOff>742950</xdr:colOff>
      <xdr:row>3</xdr:row>
      <xdr:rowOff>57150</xdr:rowOff>
    </xdr:to>
    <xdr:pic macro="[1]!Amend_help">
      <xdr:nvPicPr>
        <xdr:cNvPr id="2" name="Picture 2" descr="helpbutto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152400"/>
          <a:ext cx="4667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8</xdr:col>
      <xdr:colOff>104775</xdr:colOff>
      <xdr:row>28</xdr:row>
      <xdr:rowOff>180974</xdr:rowOff>
    </xdr:from>
    <xdr:to>
      <xdr:col>9</xdr:col>
      <xdr:colOff>581025</xdr:colOff>
      <xdr:row>32</xdr:row>
      <xdr:rowOff>47625</xdr:rowOff>
    </xdr:to>
    <xdr:sp macro="" textlink="">
      <xdr:nvSpPr>
        <xdr:cNvPr id="3" name="TextBox 2"/>
        <xdr:cNvSpPr txBox="1"/>
      </xdr:nvSpPr>
      <xdr:spPr>
        <a:xfrm>
          <a:off x="7067550" y="5000624"/>
          <a:ext cx="1866900" cy="5905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000">
              <a:latin typeface="Arial" pitchFamily="34" charset="0"/>
              <a:cs typeface="Arial" pitchFamily="34" charset="0"/>
            </a:rPr>
            <a:t>Fill in the headings by filling</a:t>
          </a:r>
          <a:r>
            <a:rPr lang="en-US" sz="1000" baseline="0">
              <a:latin typeface="Arial" pitchFamily="34" charset="0"/>
              <a:cs typeface="Arial" pitchFamily="34" charset="0"/>
            </a:rPr>
            <a:t> in the blanks on the </a:t>
          </a:r>
          <a:r>
            <a:rPr lang="en-US" sz="1000">
              <a:latin typeface="Arial" pitchFamily="34" charset="0"/>
              <a:cs typeface="Arial" pitchFamily="34" charset="0"/>
            </a:rPr>
            <a:t>Headings sheet.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1066800</xdr:colOff>
      <xdr:row>11</xdr:row>
      <xdr:rowOff>0</xdr:rowOff>
    </xdr:from>
    <xdr:to>
      <xdr:col>10</xdr:col>
      <xdr:colOff>771525</xdr:colOff>
      <xdr:row>25</xdr:row>
      <xdr:rowOff>142875</xdr:rowOff>
    </xdr:to>
    <xdr:graphicFrame macro="">
      <xdr:nvGraphicFramePr>
        <xdr:cNvPr id="2" name="Chart 1" title="Bar chart of average salaries by category and yea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42</xdr:col>
      <xdr:colOff>381000</xdr:colOff>
      <xdr:row>1</xdr:row>
      <xdr:rowOff>0</xdr:rowOff>
    </xdr:from>
    <xdr:to>
      <xdr:col>47</xdr:col>
      <xdr:colOff>114300</xdr:colOff>
      <xdr:row>13</xdr:row>
      <xdr:rowOff>152400</xdr:rowOff>
    </xdr:to>
    <xdr:sp macro="" textlink="">
      <xdr:nvSpPr>
        <xdr:cNvPr id="5" name="TextBox 4"/>
        <xdr:cNvSpPr txBox="1"/>
      </xdr:nvSpPr>
      <xdr:spPr>
        <a:xfrm>
          <a:off x="25984200" y="161925"/>
          <a:ext cx="2781300" cy="21050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Be sure to take caution</a:t>
          </a:r>
          <a:r>
            <a:rPr lang="en-US" sz="1000" baseline="0"/>
            <a:t> when loading Rec Commission mill rate for USD 114 (D0406/D0486) and USD 422 (D0422/D0424) due to consolidation.  Also USD 113 (D0441/D0488) will have separate B&amp;I mill rates due to consolidation.</a:t>
          </a:r>
        </a:p>
        <a:p>
          <a:endParaRPr lang="en-US" sz="1000" baseline="0"/>
        </a:p>
        <a:p>
          <a:r>
            <a:rPr lang="en-US" sz="1000" baseline="0"/>
            <a:t>7-28-15:  Several districts with minor corrections to the 2014-15 mill rates.  I made corrections on January 16 in web form, and apparently forgot to repull final report.  Therefore, several USDs had incorrect mill rates as submitted by USD.  (D0220, D0247,  D0387, D0392, D0452, D0471)</a:t>
          </a:r>
          <a:endParaRPr lang="en-US" sz="1000"/>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66675</xdr:colOff>
      <xdr:row>7</xdr:row>
      <xdr:rowOff>76200</xdr:rowOff>
    </xdr:from>
    <xdr:to>
      <xdr:col>1</xdr:col>
      <xdr:colOff>571500</xdr:colOff>
      <xdr:row>10</xdr:row>
      <xdr:rowOff>114300</xdr:rowOff>
    </xdr:to>
    <xdr:pic macro="[1]!F110_help">
      <xdr:nvPicPr>
        <xdr:cNvPr id="2" name="Picture 6" descr="helpbutto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1200150"/>
          <a:ext cx="5048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14</xdr:col>
      <xdr:colOff>95250</xdr:colOff>
      <xdr:row>1</xdr:row>
      <xdr:rowOff>152400</xdr:rowOff>
    </xdr:from>
    <xdr:to>
      <xdr:col>15</xdr:col>
      <xdr:colOff>647700</xdr:colOff>
      <xdr:row>6</xdr:row>
      <xdr:rowOff>47625</xdr:rowOff>
    </xdr:to>
    <xdr:sp macro="" textlink="">
      <xdr:nvSpPr>
        <xdr:cNvPr id="3" name="TextBox 2"/>
        <xdr:cNvSpPr txBox="1"/>
      </xdr:nvSpPr>
      <xdr:spPr>
        <a:xfrm>
          <a:off x="9563100" y="342900"/>
          <a:ext cx="1933575" cy="666750"/>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20 mills</a:t>
          </a:r>
          <a:r>
            <a:rPr lang="en-US" sz="1100" baseline="0"/>
            <a:t> is now computed on the co99 so no need to enter the general fund taxes.</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76201</xdr:colOff>
      <xdr:row>1</xdr:row>
      <xdr:rowOff>114300</xdr:rowOff>
    </xdr:from>
    <xdr:to>
      <xdr:col>6</xdr:col>
      <xdr:colOff>485776</xdr:colOff>
      <xdr:row>5</xdr:row>
      <xdr:rowOff>133350</xdr:rowOff>
    </xdr:to>
    <xdr:sp macro="" textlink="">
      <xdr:nvSpPr>
        <xdr:cNvPr id="3" name="TextBox 2"/>
        <xdr:cNvSpPr txBox="1"/>
      </xdr:nvSpPr>
      <xdr:spPr>
        <a:xfrm>
          <a:off x="5953126" y="276225"/>
          <a:ext cx="1828800" cy="676275"/>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For USD quick reference</a:t>
          </a:r>
          <a:r>
            <a:rPr lang="en-US" sz="1000" baseline="0"/>
            <a:t> on transfers to General Fund.  No data entry is required.</a:t>
          </a:r>
          <a:endParaRPr lang="en-US" sz="10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104775</xdr:colOff>
      <xdr:row>17</xdr:row>
      <xdr:rowOff>152399</xdr:rowOff>
    </xdr:from>
    <xdr:to>
      <xdr:col>10</xdr:col>
      <xdr:colOff>1123950</xdr:colOff>
      <xdr:row>22</xdr:row>
      <xdr:rowOff>38099</xdr:rowOff>
    </xdr:to>
    <xdr:sp macro="" textlink="">
      <xdr:nvSpPr>
        <xdr:cNvPr id="2" name="Right Arrow 1"/>
        <xdr:cNvSpPr/>
      </xdr:nvSpPr>
      <xdr:spPr bwMode="auto">
        <a:xfrm>
          <a:off x="7410450" y="2905124"/>
          <a:ext cx="1019175" cy="714375"/>
        </a:xfrm>
        <a:prstGeom prst="rightArrow">
          <a:avLst/>
        </a:prstGeom>
        <a:solidFill>
          <a:schemeClr val="accent5">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900"/>
            <a:t>Remember to fill in 4B</a:t>
          </a:r>
          <a:r>
            <a:rPr lang="en-US" sz="900" baseline="0"/>
            <a:t> &amp; 4C</a:t>
          </a:r>
          <a:endParaRPr lang="en-US" sz="900"/>
        </a:p>
      </xdr:txBody>
    </xdr:sp>
    <xdr:clientData/>
  </xdr:twoCellAnchor>
  <xdr:twoCellAnchor>
    <xdr:from>
      <xdr:col>14</xdr:col>
      <xdr:colOff>9525</xdr:colOff>
      <xdr:row>2</xdr:row>
      <xdr:rowOff>38099</xdr:rowOff>
    </xdr:from>
    <xdr:to>
      <xdr:col>18</xdr:col>
      <xdr:colOff>466725</xdr:colOff>
      <xdr:row>14</xdr:row>
      <xdr:rowOff>85724</xdr:rowOff>
    </xdr:to>
    <xdr:sp macro="" textlink="">
      <xdr:nvSpPr>
        <xdr:cNvPr id="3" name="TextBox 2"/>
        <xdr:cNvSpPr txBox="1"/>
      </xdr:nvSpPr>
      <xdr:spPr>
        <a:xfrm>
          <a:off x="11096625" y="361949"/>
          <a:ext cx="2981325" cy="1990725"/>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F151 will compute the General Fund after you complete the remaining forms and the C06 columns 1, 2 and revenue portion of column 3.  Also fill in any transfers of cash balance from Authorized Fund to the General Fund in the appropriate funds.</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This form does not require any entry unless you are a district with a special mill levy (ancillary, cost of living or declining enrollment).</a:t>
          </a: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66675</xdr:colOff>
      <xdr:row>3</xdr:row>
      <xdr:rowOff>0</xdr:rowOff>
    </xdr:from>
    <xdr:to>
      <xdr:col>1</xdr:col>
      <xdr:colOff>552450</xdr:colOff>
      <xdr:row>5</xdr:row>
      <xdr:rowOff>133350</xdr:rowOff>
    </xdr:to>
    <xdr:pic macro="[1]!F194_help">
      <xdr:nvPicPr>
        <xdr:cNvPr id="2" name="Picture 2" descr="helpbutto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542925"/>
          <a:ext cx="4857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0</xdr:col>
      <xdr:colOff>276225</xdr:colOff>
      <xdr:row>2</xdr:row>
      <xdr:rowOff>142875</xdr:rowOff>
    </xdr:from>
    <xdr:to>
      <xdr:col>1</xdr:col>
      <xdr:colOff>152400</xdr:colOff>
      <xdr:row>5</xdr:row>
      <xdr:rowOff>114300</xdr:rowOff>
    </xdr:to>
    <xdr:pic macro="[1]!F239_help">
      <xdr:nvPicPr>
        <xdr:cNvPr id="2" name="Picture 2" descr="helpbutto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523875"/>
          <a:ext cx="4667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0</xdr:col>
      <xdr:colOff>276225</xdr:colOff>
      <xdr:row>2</xdr:row>
      <xdr:rowOff>161925</xdr:rowOff>
    </xdr:from>
    <xdr:to>
      <xdr:col>1</xdr:col>
      <xdr:colOff>209550</xdr:colOff>
      <xdr:row>5</xdr:row>
      <xdr:rowOff>38100</xdr:rowOff>
    </xdr:to>
    <xdr:pic macro="[1]!F241a_help">
      <xdr:nvPicPr>
        <xdr:cNvPr id="2" name="Picture 2" descr="helpbutto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542925"/>
          <a:ext cx="4667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0</xdr:col>
      <xdr:colOff>219075</xdr:colOff>
      <xdr:row>3</xdr:row>
      <xdr:rowOff>28575</xdr:rowOff>
    </xdr:from>
    <xdr:to>
      <xdr:col>1</xdr:col>
      <xdr:colOff>76200</xdr:colOff>
      <xdr:row>5</xdr:row>
      <xdr:rowOff>133350</xdr:rowOff>
    </xdr:to>
    <xdr:pic macro="[1]!F250_help">
      <xdr:nvPicPr>
        <xdr:cNvPr id="2" name="Picture 2" descr="helpbutto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523875"/>
          <a:ext cx="4476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dunbar/Desktop/Bdgt2017PC%20(4)/Bdgt2017/tool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Print_Funds"/>
      <sheetName val="Print_Forms"/>
      <sheetName val="Budget Help"/>
      <sheetName val="KSDE Contacts"/>
      <sheetName val="tools"/>
    </sheetNames>
    <definedNames>
      <definedName name="Amend_help"/>
      <definedName name="Co5_help"/>
      <definedName name="Co5a_help"/>
      <definedName name="Co78_help"/>
      <definedName name="Co99_help"/>
      <definedName name="Code01_help"/>
      <definedName name="Code06_help"/>
      <definedName name="Code45_help"/>
      <definedName name="Code62_help"/>
      <definedName name="Code63_help"/>
      <definedName name="Code83_help"/>
      <definedName name="F110_help"/>
      <definedName name="F194_help"/>
      <definedName name="F239_help"/>
      <definedName name="F241a_help"/>
      <definedName name="F250_help"/>
      <definedName name="Open_help"/>
    </definedNames>
    <sheetDataSet>
      <sheetData sheetId="0"/>
      <sheetData sheetId="1"/>
      <sheetData sheetId="2"/>
      <sheetData sheetId="3"/>
      <sheetData sheetId="4"/>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44.bin"/><Relationship Id="rId4" Type="http://schemas.openxmlformats.org/officeDocument/2006/relationships/comments" Target="../comments1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46.bin"/><Relationship Id="rId4" Type="http://schemas.openxmlformats.org/officeDocument/2006/relationships/comments" Target="../comments1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51.bin"/><Relationship Id="rId4" Type="http://schemas.openxmlformats.org/officeDocument/2006/relationships/comments" Target="../comments13.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52.bin"/><Relationship Id="rId4" Type="http://schemas.openxmlformats.org/officeDocument/2006/relationships/comments" Target="../comments14.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6.xml"/><Relationship Id="rId1" Type="http://schemas.openxmlformats.org/officeDocument/2006/relationships/printerSettings" Target="../printerSettings/printerSettings72.bin"/><Relationship Id="rId4" Type="http://schemas.openxmlformats.org/officeDocument/2006/relationships/comments" Target="../comments16.xm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39997558519241921"/>
  </sheetPr>
  <dimension ref="A1:F92"/>
  <sheetViews>
    <sheetView topLeftCell="A31" zoomScaleNormal="100" workbookViewId="0">
      <selection activeCell="B51" sqref="B51"/>
    </sheetView>
  </sheetViews>
  <sheetFormatPr defaultRowHeight="12.75"/>
  <cols>
    <col min="1" max="1" width="3.42578125" customWidth="1"/>
    <col min="2" max="2" width="46.5703125" customWidth="1"/>
    <col min="3" max="3" width="71.5703125" customWidth="1"/>
    <col min="4" max="4" width="8.140625" customWidth="1"/>
  </cols>
  <sheetData>
    <row r="1" spans="1:6" ht="18">
      <c r="A1" s="5246" t="s">
        <v>2434</v>
      </c>
      <c r="B1" s="5246"/>
      <c r="C1" s="5246"/>
      <c r="D1" s="3008"/>
      <c r="E1" s="3008"/>
      <c r="F1" s="3008"/>
    </row>
    <row r="2" spans="1:6">
      <c r="A2" s="5247"/>
      <c r="B2" s="5247"/>
      <c r="C2" s="5247"/>
    </row>
    <row r="3" spans="1:6" s="4283" customFormat="1" ht="18">
      <c r="A3" s="5248" t="s">
        <v>2457</v>
      </c>
      <c r="B3" s="5248"/>
      <c r="C3" s="5248"/>
    </row>
    <row r="4" spans="1:6" s="5004" customFormat="1" ht="18">
      <c r="A4" s="5005"/>
      <c r="B4" s="5006" t="s">
        <v>2453</v>
      </c>
      <c r="C4" s="5006" t="s">
        <v>2454</v>
      </c>
    </row>
    <row r="5" spans="1:6">
      <c r="A5" s="3009"/>
      <c r="B5" s="3009"/>
      <c r="C5" s="3009"/>
    </row>
    <row r="6" spans="1:6">
      <c r="A6" s="3009"/>
      <c r="B6" s="3010" t="s">
        <v>1436</v>
      </c>
      <c r="C6" s="3684" t="s">
        <v>2350</v>
      </c>
    </row>
    <row r="7" spans="1:6">
      <c r="A7" s="3009"/>
      <c r="B7" s="3010" t="s">
        <v>1457</v>
      </c>
      <c r="C7" s="3684" t="s">
        <v>2351</v>
      </c>
    </row>
    <row r="8" spans="1:6">
      <c r="A8" s="3009"/>
      <c r="B8" s="3010" t="s">
        <v>823</v>
      </c>
      <c r="C8" s="3684" t="s">
        <v>2352</v>
      </c>
    </row>
    <row r="9" spans="1:6">
      <c r="A9" s="3009"/>
      <c r="B9" s="3010" t="s">
        <v>824</v>
      </c>
      <c r="C9" s="3684" t="s">
        <v>2353</v>
      </c>
    </row>
    <row r="10" spans="1:6">
      <c r="A10" s="3009"/>
      <c r="B10" s="3010" t="s">
        <v>825</v>
      </c>
      <c r="C10" s="3684" t="s">
        <v>2354</v>
      </c>
    </row>
    <row r="11" spans="1:6">
      <c r="A11" s="3009"/>
      <c r="B11" s="3010" t="s">
        <v>826</v>
      </c>
      <c r="C11" s="3684" t="s">
        <v>2355</v>
      </c>
    </row>
    <row r="12" spans="1:6">
      <c r="A12" s="3009"/>
      <c r="B12" s="3010" t="s">
        <v>827</v>
      </c>
      <c r="C12" s="3684" t="s">
        <v>2356</v>
      </c>
    </row>
    <row r="13" spans="1:6">
      <c r="A13" s="3009"/>
      <c r="B13" s="3010" t="s">
        <v>828</v>
      </c>
      <c r="C13" s="3684" t="s">
        <v>2463</v>
      </c>
    </row>
    <row r="14" spans="1:6">
      <c r="A14" s="3009"/>
      <c r="B14" s="3010" t="s">
        <v>829</v>
      </c>
      <c r="C14" s="3684" t="s">
        <v>2357</v>
      </c>
    </row>
    <row r="15" spans="1:6">
      <c r="A15" s="3009"/>
      <c r="B15" s="3010" t="s">
        <v>830</v>
      </c>
      <c r="C15" s="3684" t="s">
        <v>2539</v>
      </c>
    </row>
    <row r="16" spans="1:6">
      <c r="A16" s="3009"/>
      <c r="B16" s="3010" t="s">
        <v>831</v>
      </c>
      <c r="C16" s="3684" t="s">
        <v>2358</v>
      </c>
    </row>
    <row r="17" spans="1:3">
      <c r="A17" s="3009"/>
      <c r="B17" s="3010" t="s">
        <v>832</v>
      </c>
      <c r="C17" s="3684" t="s">
        <v>2359</v>
      </c>
    </row>
    <row r="18" spans="1:3">
      <c r="A18" s="3009"/>
      <c r="B18" s="3010" t="s">
        <v>833</v>
      </c>
      <c r="C18" s="3684" t="s">
        <v>2360</v>
      </c>
    </row>
    <row r="19" spans="1:3">
      <c r="A19" s="3009"/>
      <c r="B19" s="3010" t="s">
        <v>834</v>
      </c>
      <c r="C19" s="3684"/>
    </row>
    <row r="20" spans="1:3">
      <c r="A20" s="3009"/>
      <c r="B20" s="3010" t="s">
        <v>970</v>
      </c>
      <c r="C20" s="3010"/>
    </row>
    <row r="21" spans="1:3">
      <c r="A21" s="3009"/>
      <c r="B21" s="3010" t="s">
        <v>835</v>
      </c>
      <c r="C21" s="3010" t="s">
        <v>2349</v>
      </c>
    </row>
    <row r="22" spans="1:3">
      <c r="A22" s="3009"/>
      <c r="B22" s="3010" t="s">
        <v>836</v>
      </c>
      <c r="C22" s="3010" t="s">
        <v>2462</v>
      </c>
    </row>
    <row r="23" spans="1:3">
      <c r="A23" s="3009"/>
      <c r="B23" s="3010" t="s">
        <v>837</v>
      </c>
      <c r="C23" s="3010" t="s">
        <v>2347</v>
      </c>
    </row>
    <row r="24" spans="1:3">
      <c r="A24" s="3009"/>
      <c r="B24" s="3010" t="s">
        <v>838</v>
      </c>
      <c r="C24" s="3010" t="s">
        <v>2459</v>
      </c>
    </row>
    <row r="25" spans="1:3">
      <c r="A25" s="3009"/>
      <c r="B25" s="3010" t="s">
        <v>839</v>
      </c>
      <c r="C25" s="3010" t="s">
        <v>2460</v>
      </c>
    </row>
    <row r="26" spans="1:3">
      <c r="A26" s="3009"/>
      <c r="B26" s="3010" t="s">
        <v>840</v>
      </c>
      <c r="C26" s="3010" t="s">
        <v>2348</v>
      </c>
    </row>
    <row r="27" spans="1:3">
      <c r="A27" s="3009"/>
      <c r="B27" s="3010" t="s">
        <v>841</v>
      </c>
      <c r="C27" s="3010" t="s">
        <v>2361</v>
      </c>
    </row>
    <row r="28" spans="1:3">
      <c r="A28" s="3009"/>
      <c r="B28" s="3010" t="s">
        <v>842</v>
      </c>
      <c r="C28" s="3010"/>
    </row>
    <row r="29" spans="1:3">
      <c r="A29" s="3009"/>
      <c r="B29" s="3010" t="s">
        <v>843</v>
      </c>
      <c r="C29" s="3010" t="s">
        <v>2461</v>
      </c>
    </row>
    <row r="30" spans="1:3">
      <c r="A30" s="3009"/>
      <c r="B30" s="3684" t="s">
        <v>865</v>
      </c>
      <c r="C30" s="3010"/>
    </row>
    <row r="31" spans="1:3" s="3927" customFormat="1">
      <c r="A31" s="3009"/>
      <c r="B31" s="3684" t="s">
        <v>844</v>
      </c>
      <c r="C31" s="3009"/>
    </row>
    <row r="32" spans="1:3">
      <c r="A32" s="3009"/>
      <c r="B32" s="3684" t="s">
        <v>845</v>
      </c>
      <c r="C32" s="3010"/>
    </row>
    <row r="33" spans="1:3">
      <c r="A33" s="3009"/>
      <c r="B33" s="3684" t="s">
        <v>846</v>
      </c>
      <c r="C33" s="3010"/>
    </row>
    <row r="34" spans="1:3">
      <c r="A34" s="3683"/>
      <c r="B34" s="3684" t="s">
        <v>847</v>
      </c>
      <c r="C34" s="3010"/>
    </row>
    <row r="35" spans="1:3" s="5003" customFormat="1">
      <c r="A35" s="3683"/>
      <c r="B35" s="3684" t="s">
        <v>848</v>
      </c>
      <c r="C35" s="3010"/>
    </row>
    <row r="36" spans="1:3" s="5003" customFormat="1">
      <c r="A36" s="3683"/>
      <c r="B36" s="3684" t="s">
        <v>2455</v>
      </c>
      <c r="C36" s="3684"/>
    </row>
    <row r="37" spans="1:3" s="5003" customFormat="1">
      <c r="A37" s="3683"/>
      <c r="B37" s="3684" t="s">
        <v>849</v>
      </c>
      <c r="C37" s="3684"/>
    </row>
    <row r="38" spans="1:3" s="5003" customFormat="1">
      <c r="A38" s="3683"/>
      <c r="B38" s="3684" t="s">
        <v>850</v>
      </c>
      <c r="C38" s="3684"/>
    </row>
    <row r="39" spans="1:3" s="5003" customFormat="1">
      <c r="A39" s="3683"/>
      <c r="B39" s="3684" t="s">
        <v>851</v>
      </c>
      <c r="C39" s="3684"/>
    </row>
    <row r="40" spans="1:3" s="5003" customFormat="1">
      <c r="A40" s="3683"/>
      <c r="B40" s="3684" t="s">
        <v>1534</v>
      </c>
      <c r="C40" s="3684"/>
    </row>
    <row r="41" spans="1:3" s="5003" customFormat="1">
      <c r="A41" s="3683"/>
      <c r="B41" s="3684" t="s">
        <v>852</v>
      </c>
      <c r="C41" s="3684"/>
    </row>
    <row r="42" spans="1:3" s="5003" customFormat="1">
      <c r="A42" s="3683"/>
      <c r="B42" s="3684" t="s">
        <v>853</v>
      </c>
      <c r="C42" s="3684"/>
    </row>
    <row r="43" spans="1:3" s="5003" customFormat="1">
      <c r="A43" s="3683"/>
      <c r="B43" s="3684" t="s">
        <v>854</v>
      </c>
      <c r="C43" s="3684"/>
    </row>
    <row r="44" spans="1:3" s="5003" customFormat="1">
      <c r="A44" s="3683"/>
      <c r="B44" s="3684" t="s">
        <v>2456</v>
      </c>
      <c r="C44" s="3684"/>
    </row>
    <row r="45" spans="1:3" s="5003" customFormat="1">
      <c r="A45" s="3683"/>
      <c r="B45" s="3684" t="s">
        <v>855</v>
      </c>
      <c r="C45" s="3684"/>
    </row>
    <row r="46" spans="1:3" s="5003" customFormat="1">
      <c r="A46" s="3683"/>
      <c r="B46" s="3684" t="s">
        <v>856</v>
      </c>
      <c r="C46" s="3684"/>
    </row>
    <row r="47" spans="1:3" s="5003" customFormat="1">
      <c r="A47" s="3683"/>
      <c r="B47" s="3684" t="s">
        <v>857</v>
      </c>
      <c r="C47" s="3684"/>
    </row>
    <row r="48" spans="1:3" s="5003" customFormat="1">
      <c r="A48" s="3683"/>
      <c r="B48" s="3684" t="s">
        <v>859</v>
      </c>
      <c r="C48" s="3684"/>
    </row>
    <row r="49" spans="1:3" s="5003" customFormat="1">
      <c r="A49" s="3683"/>
      <c r="B49" s="3684" t="s">
        <v>860</v>
      </c>
      <c r="C49" s="3684"/>
    </row>
    <row r="50" spans="1:3" s="5004" customFormat="1">
      <c r="A50" s="3683"/>
      <c r="B50" s="3684" t="s">
        <v>861</v>
      </c>
      <c r="C50" s="3684"/>
    </row>
    <row r="51" spans="1:3" s="5003" customFormat="1">
      <c r="A51" s="3683"/>
      <c r="B51" s="3684" t="s">
        <v>862</v>
      </c>
      <c r="C51" s="3684"/>
    </row>
    <row r="52" spans="1:3" s="5003" customFormat="1">
      <c r="A52" s="3683"/>
      <c r="B52" s="3684" t="s">
        <v>863</v>
      </c>
      <c r="C52" s="3684"/>
    </row>
    <row r="53" spans="1:3" s="5003" customFormat="1">
      <c r="A53" s="3683"/>
      <c r="B53" s="3684" t="s">
        <v>864</v>
      </c>
      <c r="C53" s="3684"/>
    </row>
    <row r="54" spans="1:3" s="5003" customFormat="1">
      <c r="A54" s="3683"/>
      <c r="B54" s="3684" t="s">
        <v>1777</v>
      </c>
      <c r="C54" s="3684"/>
    </row>
    <row r="55" spans="1:3" s="5003" customFormat="1">
      <c r="A55" s="3683"/>
      <c r="B55" s="3684"/>
      <c r="C55" s="3684"/>
    </row>
    <row r="56" spans="1:3" s="5003" customFormat="1">
      <c r="A56" s="3015"/>
      <c r="B56" s="3012"/>
      <c r="C56" s="3012"/>
    </row>
    <row r="57" spans="1:3" s="5003" customFormat="1">
      <c r="A57" s="3015"/>
      <c r="B57" s="3012"/>
      <c r="C57" s="3012"/>
    </row>
    <row r="58" spans="1:3" s="5003" customFormat="1">
      <c r="A58" s="3015"/>
      <c r="B58" s="3012"/>
      <c r="C58" s="3012"/>
    </row>
    <row r="59" spans="1:3" s="5003" customFormat="1">
      <c r="A59" s="3015"/>
      <c r="B59" s="3012"/>
      <c r="C59" s="3012"/>
    </row>
    <row r="60" spans="1:3" s="5003" customFormat="1">
      <c r="A60" s="3015"/>
      <c r="B60" s="3012"/>
      <c r="C60" s="3012"/>
    </row>
    <row r="61" spans="1:3" s="5003" customFormat="1">
      <c r="A61" s="3015"/>
      <c r="B61" s="3012"/>
      <c r="C61" s="3012"/>
    </row>
    <row r="62" spans="1:3" s="5003" customFormat="1">
      <c r="A62" s="3015"/>
      <c r="B62" s="3012"/>
      <c r="C62" s="3012"/>
    </row>
    <row r="63" spans="1:3" s="5003" customFormat="1">
      <c r="A63" s="3015"/>
      <c r="B63" s="3012"/>
      <c r="C63" s="3012"/>
    </row>
    <row r="64" spans="1:3" s="4283" customFormat="1">
      <c r="A64" s="3015"/>
      <c r="B64" s="3012"/>
      <c r="C64" s="3012"/>
    </row>
    <row r="65" spans="1:3" s="4283" customFormat="1" ht="18">
      <c r="A65" s="5009"/>
      <c r="B65" s="5009"/>
      <c r="C65" s="3012"/>
    </row>
    <row r="66" spans="1:3" s="4283" customFormat="1">
      <c r="A66" s="3015"/>
      <c r="B66" s="3012"/>
      <c r="C66" s="3012"/>
    </row>
    <row r="67" spans="1:3" s="4283" customFormat="1" ht="18">
      <c r="A67" s="4305"/>
      <c r="B67" s="5010"/>
      <c r="C67" s="5009"/>
    </row>
    <row r="68" spans="1:3" s="4283" customFormat="1">
      <c r="A68" s="4305"/>
      <c r="B68" s="5010"/>
      <c r="C68" s="3012"/>
    </row>
    <row r="69" spans="1:3" s="4283" customFormat="1">
      <c r="A69" s="4305"/>
      <c r="B69" s="5010"/>
      <c r="C69" s="4305"/>
    </row>
    <row r="70" spans="1:3" s="4283" customFormat="1">
      <c r="A70" s="4305"/>
      <c r="B70" s="5010"/>
      <c r="C70" s="4305"/>
    </row>
    <row r="71" spans="1:3" s="4283" customFormat="1">
      <c r="A71" s="4305"/>
      <c r="B71" s="5010"/>
      <c r="C71" s="4305"/>
    </row>
    <row r="72" spans="1:3" s="4283" customFormat="1">
      <c r="A72" s="4305"/>
      <c r="B72" s="5010"/>
      <c r="C72" s="4305"/>
    </row>
    <row r="73" spans="1:3" s="4283" customFormat="1">
      <c r="A73" s="4305"/>
      <c r="B73" s="5010"/>
      <c r="C73" s="4305"/>
    </row>
    <row r="74" spans="1:3" s="4283" customFormat="1">
      <c r="A74" s="4305"/>
      <c r="B74" s="5010"/>
      <c r="C74" s="4305"/>
    </row>
    <row r="75" spans="1:3" s="4283" customFormat="1">
      <c r="A75" s="4305"/>
      <c r="B75" s="3012"/>
      <c r="C75" s="4305"/>
    </row>
    <row r="76" spans="1:3" s="4283" customFormat="1">
      <c r="A76" s="4305"/>
      <c r="B76" s="5010"/>
      <c r="C76" s="4305"/>
    </row>
    <row r="77" spans="1:3" s="4283" customFormat="1">
      <c r="A77" s="4305"/>
      <c r="B77" s="5010"/>
      <c r="C77" s="4305"/>
    </row>
    <row r="78" spans="1:3" s="4283" customFormat="1">
      <c r="A78" s="4305"/>
      <c r="B78" s="5010"/>
      <c r="C78" s="4305"/>
    </row>
    <row r="79" spans="1:3">
      <c r="A79" s="4305"/>
      <c r="B79" s="5010"/>
      <c r="C79" s="4305"/>
    </row>
    <row r="80" spans="1:3">
      <c r="A80" s="4305"/>
      <c r="B80" s="5010"/>
      <c r="C80" s="4305"/>
    </row>
    <row r="81" spans="1:3">
      <c r="A81" s="4305"/>
      <c r="B81" s="5010"/>
      <c r="C81" s="4305"/>
    </row>
    <row r="82" spans="1:3">
      <c r="A82" s="4305"/>
      <c r="B82" s="5010"/>
      <c r="C82" s="4305"/>
    </row>
    <row r="83" spans="1:3">
      <c r="A83" s="4305"/>
      <c r="B83" s="4305"/>
      <c r="C83" s="4305"/>
    </row>
    <row r="84" spans="1:3">
      <c r="A84" s="4305"/>
      <c r="B84" s="5010"/>
      <c r="C84" s="4305"/>
    </row>
    <row r="85" spans="1:3">
      <c r="A85" s="4305"/>
      <c r="B85" s="5010"/>
      <c r="C85" s="4305"/>
    </row>
    <row r="86" spans="1:3">
      <c r="A86" s="4305"/>
      <c r="B86" s="4305"/>
      <c r="C86" s="4305"/>
    </row>
    <row r="87" spans="1:3">
      <c r="A87" s="4305"/>
      <c r="B87" s="4305"/>
      <c r="C87" s="4305"/>
    </row>
    <row r="88" spans="1:3">
      <c r="A88" s="4305"/>
      <c r="B88" s="4305"/>
      <c r="C88" s="4305"/>
    </row>
    <row r="89" spans="1:3">
      <c r="A89" s="3015"/>
      <c r="B89" s="3015"/>
      <c r="C89" s="4305"/>
    </row>
    <row r="90" spans="1:3">
      <c r="A90" s="3015"/>
      <c r="B90" s="3015"/>
      <c r="C90" s="4305"/>
    </row>
    <row r="91" spans="1:3">
      <c r="A91" s="3015"/>
      <c r="B91" s="3015"/>
      <c r="C91" s="3015"/>
    </row>
    <row r="92" spans="1:3">
      <c r="C92" s="3015"/>
    </row>
  </sheetData>
  <sheetProtection algorithmName="SHA-512" hashValue="vyrj0UX63RJZ4NApgps5ZJYKdV6WphCq/D2PTIb+NxuAPEH2APqpp7J3QjP8+i/ud6gWFlKvrMV5z6EG6QHZnw==" saltValue="ek/oET2x6lZWMHnRNRUBng==" spinCount="100000" sheet="1" objects="1" scenarios="1"/>
  <mergeCells count="3">
    <mergeCell ref="A1:C1"/>
    <mergeCell ref="A2:C2"/>
    <mergeCell ref="A3:C3"/>
  </mergeCells>
  <phoneticPr fontId="9" type="noConversion"/>
  <hyperlinks>
    <hyperlink ref="B6" location="OPEN!B1" display="Open page - USD Information - DO FIRST"/>
    <hyperlink ref="B9" location="'C04'!A1" display="C04-Worksheet 1"/>
    <hyperlink ref="B10" location="'C05'!A1" display="C05-Statement of Indebtedness"/>
    <hyperlink ref="B11" location="'C05a'!A1" display="C05a-Statement of Conditional Lease"/>
    <hyperlink ref="B12" location="'C06'!A1" display="C06-General Fund"/>
    <hyperlink ref="B13" location="'C07'!A1" display="C07-Federal Funds"/>
    <hyperlink ref="B14" location="'C08'!A1" display="C08-Supplemental General"/>
    <hyperlink ref="B15" location="'C010'!A1" display="C010-Adult Education"/>
    <hyperlink ref="B16" location="'C011'!A1" display="C011-At Risk (4yr Old)"/>
    <hyperlink ref="B17" location="'C012'!A1" display="C012-Adult Supplemental Education"/>
    <hyperlink ref="B18" location="'C013'!A1" display="C013-At Risk (K-12)"/>
    <hyperlink ref="B19" location="'C014'!A1" display="C014-Bilingual Education"/>
    <hyperlink ref="B21" location="'C016'!A1" display="C016-Capital Outlay"/>
    <hyperlink ref="B22" location="'C018'!A1" display="C018-Driver Training"/>
    <hyperlink ref="B23" location="'C019'!A1" display="C019-Declining Enrollment"/>
    <hyperlink ref="B24" location="'C022'!A1" display="C022-Extraordinary School Program"/>
    <hyperlink ref="B25" location="'C024'!A1" display="C024-Food Service"/>
    <hyperlink ref="B26" location="'C026'!A1" display="C026-Professional Development"/>
    <hyperlink ref="B27" location="'C028'!A1" display="C028-Parent Education Program"/>
    <hyperlink ref="B28" location="'C029'!A1" display="C029-Summer School"/>
    <hyperlink ref="B29" location="'C030'!A1" display="C030-Special Education"/>
    <hyperlink ref="B20" location="'C015'!A1" display="C015-Virtual Education"/>
    <hyperlink ref="B7" location="'C01'!A1" display="C01-Certificate"/>
    <hyperlink ref="B8" location="'C02'!A1" display="C02-Levy Limits for Tax Funds"/>
    <hyperlink ref="B30" location="'C033'!A1" display="C033-Cost of Living"/>
    <hyperlink ref="B31" location="'C034'!A1" display="C034-Vocational Education"/>
    <hyperlink ref="B32" location="'C035'!A1" display="C035-Gifts/Grants"/>
    <hyperlink ref="B33" location="'C042'!A1" display="C042-Special Liability Expense (includes Judgments)"/>
    <hyperlink ref="B34" location="'C044'!A1" display="C044-School Retirement"/>
    <hyperlink ref="B35" location="'C045'!A1" display="C045-Extraordinary Growth Facilities"/>
    <hyperlink ref="B36" location="'C047'!A1" display="C047-Special Reserve"/>
    <hyperlink ref="B37" location="'C051'!A1" display="C051-KPERS Special Retirement Contribution"/>
    <hyperlink ref="B38" location="'C053'!A1" display="C053-Contingency Reserve"/>
    <hyperlink ref="B39" location="'C055'!A1" display="C055-Textbook &amp; Student Materials Revolving"/>
    <hyperlink ref="B40" location="'C056'!A1" display="C056-Activity Funds"/>
    <hyperlink ref="B41" location="'C057'!A1" display="C057-Tuition Reimbursement"/>
    <hyperlink ref="B42" location="'C062'!A1" display="C062-Bond and Interest #1"/>
    <hyperlink ref="B43" location="'C063'!A1" display="C063-Bond and Interest #2"/>
    <hyperlink ref="B44" location="'C066'!A1" display="C066-No Fund Warrant"/>
    <hyperlink ref="B45" location="'C067'!A1" display="C067-Special Assessment"/>
    <hyperlink ref="B46" location="'C068'!A1" display="C068-Temporary Note"/>
    <hyperlink ref="B47" location="'C078'!A1" display="C078-COOP Special Education"/>
    <hyperlink ref="B48" location="'C080'!A1" display="C080-Historical Museum"/>
    <hyperlink ref="B49" location="'C082'!A1" display="C082-Public Library Board (USD 446 &amp; 500 only)"/>
    <hyperlink ref="B50" location="'C083'!A1" display="C083-Public Library Board Employee Benefits (USD 446 &amp; 500 only)"/>
    <hyperlink ref="B51" location="'C084'!A1" display="C084-Recreation Commission"/>
    <hyperlink ref="B52" location="'C086'!A1" display="C086-Recreation Commission Employee Benefits &amp; Special Liability"/>
    <hyperlink ref="B53" location="'CO99'!A1" display="C099-Publication"/>
    <hyperlink ref="B54" location="'2nd Publication'!A1" display="2nd Publication"/>
    <hyperlink ref="C6" location="'F110'!A1" display="Form 110-Tax in Process"/>
    <hyperlink ref="C7" location="'F118'!A1" display="Form 118-Estimated Special Education Aid"/>
    <hyperlink ref="C8" location="'F149'!A1" display="Form 149-Transfer Cash Balances (OPTIONAL)"/>
    <hyperlink ref="C9" location="'F151'!A1" display="Form 151-General Fund Budget Authority"/>
    <hyperlink ref="C10" location="'F155'!A1" display="Form 155-Local Option Budget (Supplemental General Fund)"/>
    <hyperlink ref="C11" location="'F162'!A1" display="Form 162-Estimated Food Service Revenue"/>
    <hyperlink ref="C12" location="'F194'!A1" display="Form 194-Estimated Motor Vehicle Tax and IRB Payments"/>
    <hyperlink ref="C13" location="'F195'!A1" display="Form 195-Estimated State Aids for Drivers Education, Motorcycle Safety and KPERS"/>
    <hyperlink ref="C14" location="'F196'!A1" display="Form 196-Estimated State Aid for Transportation to Comm Colleges/Technical Colleges"/>
    <hyperlink ref="C16" location="'F242'!A1" display="Form 242-Estimated Bond &amp; Interest #1 State Aid"/>
    <hyperlink ref="C17" location="F242A!A1" display="Form 242A-Estimated Bond &amp; Interest #2 State Aid"/>
    <hyperlink ref="C18" location="'F250'!A1" display="Form 250-Building Expenditures Report (OPTIONAL)"/>
    <hyperlink ref="C21" location="Certify!A1" display="Certify-Superintendent must sign!"/>
    <hyperlink ref="C23" location="Headings!A1" display="Headings (Certify, C01, C099 &amp; Amend)"/>
    <hyperlink ref="C24" location="AMEND!A1" display="Amend-Budget Amendment Instructions"/>
    <hyperlink ref="C25" location="AveSalary!A1" display="Average Salary-(OPTIONAL)"/>
    <hyperlink ref="C26" location="Salaries!A1" display="Salaries page"/>
    <hyperlink ref="C27" location="CashBalances!A1" display="Cash Balances on all funds"/>
    <hyperlink ref="C29" location="'Bdgt Checks'!A1" display="Budget Checks-Quick checks if funds are in balance"/>
    <hyperlink ref="C22" location="'2nd Publication'!A1" display="2nd Publication (same link as listed under Codes)"/>
    <hyperlink ref="C15" location="'F239'!A1" display="Form 239-Estimated Supplemental (LOB) State Aid and Capital Outlay State Aid"/>
  </hyperlinks>
  <pageMargins left="0.5" right="0.5" top="0.5" bottom="0.5" header="0.5" footer="0.5"/>
  <pageSetup scale="80" orientation="portrait" r:id="rId1"/>
  <headerFooter alignWithMargins="0">
    <oddHeader>&amp;CBUDGET CONTENTS - FUNDS</oddHeader>
    <oddFooter>&amp;L&amp;F(&amp;A)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6" tint="-0.249977111117893"/>
    <pageSetUpPr fitToPage="1"/>
  </sheetPr>
  <dimension ref="A1:K35"/>
  <sheetViews>
    <sheetView topLeftCell="A13" zoomScaleNormal="100" workbookViewId="0">
      <selection activeCell="D31" sqref="D31"/>
    </sheetView>
  </sheetViews>
  <sheetFormatPr defaultColWidth="10.7109375" defaultRowHeight="15"/>
  <cols>
    <col min="1" max="1" width="4" style="4737" customWidth="1"/>
    <col min="2" max="2" width="10.7109375" style="4737" customWidth="1"/>
    <col min="3" max="3" width="38.5703125" style="4737" customWidth="1"/>
    <col min="4" max="4" width="10.42578125" style="4737" customWidth="1"/>
    <col min="5" max="5" width="4.28515625" style="4737" customWidth="1"/>
    <col min="6" max="6" width="9" style="4737" customWidth="1"/>
    <col min="7" max="7" width="2.42578125" style="4737" customWidth="1"/>
    <col min="8" max="8" width="18.5703125" style="4737" customWidth="1"/>
    <col min="9" max="9" width="2.85546875" style="4726" customWidth="1"/>
    <col min="10" max="16384" width="10.7109375" style="4726"/>
  </cols>
  <sheetData>
    <row r="1" spans="1:10">
      <c r="A1" s="4723" t="s">
        <v>2236</v>
      </c>
      <c r="B1" s="4723"/>
      <c r="C1" s="4723"/>
      <c r="D1" s="4723"/>
      <c r="E1" s="4723"/>
      <c r="F1" s="4724" t="s">
        <v>1019</v>
      </c>
      <c r="G1" s="4723"/>
      <c r="H1" s="4725">
        <f>OPEN!$B$4</f>
        <v>270</v>
      </c>
      <c r="J1" s="4288" t="s">
        <v>866</v>
      </c>
    </row>
    <row r="2" spans="1:10">
      <c r="A2" s="4723" t="s">
        <v>2196</v>
      </c>
      <c r="B2" s="4727">
        <f>OPEN!$N$3</f>
        <v>42522</v>
      </c>
      <c r="C2" s="4723"/>
      <c r="D2" s="4723"/>
      <c r="E2" s="4723"/>
      <c r="F2" s="4723"/>
      <c r="G2" s="4723"/>
      <c r="H2" s="4723"/>
    </row>
    <row r="3" spans="1:10">
      <c r="A3" s="4723"/>
      <c r="B3" s="4723"/>
      <c r="C3" s="4723"/>
      <c r="D3" s="4723"/>
      <c r="E3" s="4728"/>
      <c r="F3" s="4723"/>
      <c r="G3" s="4723"/>
      <c r="H3" s="4728"/>
    </row>
    <row r="4" spans="1:10">
      <c r="A4" s="4729" t="s">
        <v>2197</v>
      </c>
      <c r="B4" s="4730"/>
      <c r="C4" s="4730"/>
      <c r="D4" s="4730"/>
      <c r="E4" s="4730"/>
      <c r="F4" s="4730"/>
      <c r="G4" s="4730"/>
      <c r="H4" s="4730"/>
    </row>
    <row r="5" spans="1:10">
      <c r="A5" s="4730"/>
      <c r="B5" s="4730"/>
      <c r="C5" s="4730"/>
      <c r="D5" s="4730"/>
      <c r="E5" s="4730"/>
      <c r="F5" s="4730"/>
      <c r="G5" s="4730"/>
      <c r="H5" s="4730"/>
    </row>
    <row r="6" spans="1:10">
      <c r="A6" s="4729" t="s">
        <v>2237</v>
      </c>
      <c r="B6" s="4730"/>
      <c r="C6" s="4730"/>
      <c r="D6" s="4730"/>
      <c r="E6" s="4730"/>
      <c r="F6" s="4730"/>
      <c r="G6" s="4730"/>
      <c r="H6" s="4730"/>
    </row>
    <row r="7" spans="1:10">
      <c r="A7" s="5265" t="s">
        <v>2238</v>
      </c>
      <c r="B7" s="5265"/>
      <c r="C7" s="5265"/>
      <c r="D7" s="5265"/>
      <c r="E7" s="5265"/>
      <c r="F7" s="5265"/>
      <c r="G7" s="5265"/>
      <c r="H7" s="5265"/>
      <c r="I7" s="5265"/>
    </row>
    <row r="8" spans="1:10">
      <c r="A8" s="4729" t="s">
        <v>2239</v>
      </c>
      <c r="B8" s="4730"/>
      <c r="C8" s="4730"/>
      <c r="D8" s="4730"/>
      <c r="E8" s="4730"/>
      <c r="F8" s="4730"/>
      <c r="G8" s="4730"/>
      <c r="H8" s="4730"/>
    </row>
    <row r="9" spans="1:10" ht="12.75" customHeight="1">
      <c r="A9" s="4731" t="str">
        <f>OPEN!$N$2</f>
        <v>2016-2017</v>
      </c>
      <c r="B9" s="4730"/>
      <c r="C9" s="4730"/>
      <c r="D9" s="4730"/>
      <c r="E9" s="4730"/>
      <c r="F9" s="4730"/>
      <c r="G9" s="4730"/>
      <c r="H9" s="4730"/>
    </row>
    <row r="10" spans="1:10" ht="12.75" customHeight="1">
      <c r="A10" s="4731"/>
      <c r="B10" s="4730"/>
      <c r="C10" s="4730"/>
      <c r="D10" s="4730"/>
      <c r="E10" s="4730"/>
      <c r="F10" s="4730"/>
      <c r="G10" s="4730"/>
      <c r="H10" s="4730"/>
    </row>
    <row r="11" spans="1:10">
      <c r="A11" s="4732" t="s">
        <v>2240</v>
      </c>
      <c r="B11" s="4723"/>
      <c r="C11" s="4723"/>
      <c r="D11" s="4723"/>
      <c r="E11" s="4723"/>
      <c r="F11" s="4723"/>
      <c r="G11" s="4723"/>
      <c r="H11" s="4733"/>
    </row>
    <row r="12" spans="1:10">
      <c r="A12" s="4723"/>
      <c r="B12" s="4723"/>
      <c r="C12" s="4723"/>
      <c r="D12" s="4723"/>
      <c r="E12" s="4723"/>
      <c r="F12" s="4723"/>
      <c r="G12" s="4723"/>
      <c r="H12" s="4733"/>
    </row>
    <row r="13" spans="1:10">
      <c r="A13" s="4723"/>
      <c r="B13" s="4723" t="str">
        <f>"1.   Estimated aid 7/1/"&amp;OPEN!$Q$5&amp;" to 6/30/"&amp;OPEN!$S$5&amp;" (12 mo.) (No. of driver ed."</f>
        <v>1.   Estimated aid 7/1/2016 to 6/30/2017 (12 mo.) (No. of driver ed.</v>
      </c>
      <c r="C13" s="4723"/>
      <c r="D13" s="4723"/>
      <c r="E13" s="4723"/>
      <c r="F13" s="4723"/>
      <c r="G13" s="4723"/>
      <c r="H13" s="4733"/>
    </row>
    <row r="14" spans="1:10">
      <c r="A14" s="4723"/>
      <c r="B14" s="4723" t="s">
        <v>2241</v>
      </c>
      <c r="C14" s="4723"/>
      <c r="D14" s="4734">
        <v>32</v>
      </c>
      <c r="E14" s="4723" t="str">
        <f>"x $"&amp;OPEN!$N$27&amp;")"</f>
        <v>x $90)</v>
      </c>
      <c r="F14" s="4723"/>
      <c r="G14" s="4723" t="s">
        <v>1166</v>
      </c>
      <c r="H14" s="4735">
        <f>D14*OPEN!$N$27</f>
        <v>2880</v>
      </c>
    </row>
    <row r="15" spans="1:10">
      <c r="A15" s="4723"/>
      <c r="B15" s="4723"/>
      <c r="C15" s="4723"/>
      <c r="D15" s="4723"/>
      <c r="E15" s="4723"/>
      <c r="F15" s="4723"/>
      <c r="G15" s="4723"/>
      <c r="H15" s="4733"/>
    </row>
    <row r="16" spans="1:10">
      <c r="A16" s="4723"/>
      <c r="B16" s="4723"/>
      <c r="C16" s="4723"/>
      <c r="D16" s="4723"/>
      <c r="E16" s="4723"/>
      <c r="F16" s="4723"/>
      <c r="G16" s="4723"/>
      <c r="H16" s="4733"/>
    </row>
    <row r="17" spans="1:11">
      <c r="A17" s="4732" t="s">
        <v>2242</v>
      </c>
      <c r="B17" s="4723"/>
      <c r="C17" s="4723"/>
      <c r="D17" s="4723"/>
      <c r="E17" s="4723"/>
      <c r="F17" s="4723"/>
      <c r="G17" s="4723"/>
      <c r="H17" s="4733"/>
    </row>
    <row r="18" spans="1:11">
      <c r="A18" s="4723"/>
      <c r="B18" s="4723"/>
      <c r="C18" s="4723"/>
      <c r="D18" s="4723"/>
      <c r="E18" s="4723"/>
      <c r="F18" s="4723"/>
      <c r="G18" s="4723"/>
      <c r="H18" s="4733"/>
    </row>
    <row r="19" spans="1:11">
      <c r="A19" s="4723"/>
      <c r="B19" s="4723" t="str">
        <f>"1.  Estimated aid 7/1/"&amp;OPEN!$Q$5&amp;" to 6/30/"&amp;OPEN!$S$5&amp;" (12 mo.) (No. of motorcycle"</f>
        <v>1.  Estimated aid 7/1/2016 to 6/30/2017 (12 mo.) (No. of motorcycle</v>
      </c>
      <c r="C19" s="4723"/>
      <c r="D19" s="4723"/>
      <c r="E19" s="4723"/>
      <c r="F19" s="4723"/>
      <c r="G19" s="4723"/>
      <c r="H19" s="4733"/>
    </row>
    <row r="20" spans="1:11">
      <c r="A20" s="4723"/>
      <c r="B20" s="4723" t="s">
        <v>2243</v>
      </c>
      <c r="C20" s="4723"/>
      <c r="D20" s="4734">
        <v>0</v>
      </c>
      <c r="E20" s="4723" t="str">
        <f>"x $"&amp;OPEN!$N$28&amp;")"</f>
        <v>x $50)</v>
      </c>
      <c r="F20" s="4723"/>
      <c r="G20" s="4723" t="s">
        <v>1166</v>
      </c>
      <c r="H20" s="4735">
        <f>D20*OPEN!$N$28</f>
        <v>0</v>
      </c>
    </row>
    <row r="21" spans="1:11">
      <c r="A21" s="4723"/>
      <c r="B21" s="4723"/>
      <c r="C21" s="4723"/>
      <c r="D21" s="4723"/>
      <c r="E21" s="4723"/>
      <c r="F21" s="4723"/>
      <c r="G21" s="4723"/>
      <c r="H21" s="4723"/>
    </row>
    <row r="22" spans="1:11">
      <c r="A22" s="4723"/>
      <c r="B22" s="4723"/>
      <c r="C22" s="4723"/>
      <c r="D22" s="4723"/>
      <c r="E22" s="4723"/>
      <c r="F22" s="4723"/>
      <c r="G22" s="4723"/>
      <c r="H22" s="4723"/>
    </row>
    <row r="23" spans="1:11">
      <c r="A23" s="4732" t="s">
        <v>2244</v>
      </c>
      <c r="B23" s="4723"/>
      <c r="C23" s="4723"/>
      <c r="D23" s="4723"/>
      <c r="E23" s="4723"/>
      <c r="F23" s="4723"/>
      <c r="G23" s="4723"/>
      <c r="H23" s="4723"/>
    </row>
    <row r="24" spans="1:11">
      <c r="A24" s="4723"/>
      <c r="B24" s="4723"/>
      <c r="C24" s="4723"/>
      <c r="D24" s="4723"/>
      <c r="E24" s="4723"/>
      <c r="F24" s="4723"/>
      <c r="G24" s="4723"/>
      <c r="H24" s="4723"/>
    </row>
    <row r="25" spans="1:11">
      <c r="A25" s="4723"/>
      <c r="B25" s="4723" t="str">
        <f>"1.  KPERS Entitlement for "&amp;OPEN!$O$14 &amp; " (includes 4th quarter)"</f>
        <v>1.  KPERS Entitlement for 2015-16 (includes 4th quarter)</v>
      </c>
      <c r="C25" s="4723"/>
      <c r="D25" s="4723"/>
      <c r="E25" s="4723"/>
      <c r="F25" s="4723"/>
      <c r="G25" s="4723" t="s">
        <v>1166</v>
      </c>
      <c r="H25" s="4736">
        <f>VLOOKUP($H$1,DATA!A3:AT288,31,FALSE)</f>
        <v>251318</v>
      </c>
      <c r="K25" s="5199" t="s">
        <v>2644</v>
      </c>
    </row>
    <row r="27" spans="1:11">
      <c r="B27" s="4723" t="str">
        <f>"2.  Est. increase due to KPERS rate (Line 1 x " &amp; OPEN!$O$29 &amp;"%)"</f>
        <v>2.  Est. increase due to KPERS rate (Line 1 x 3.00%)</v>
      </c>
      <c r="C27" s="4723"/>
      <c r="D27" s="4723"/>
      <c r="E27" s="4723"/>
      <c r="F27" s="4723"/>
      <c r="G27" s="4723" t="s">
        <v>1166</v>
      </c>
      <c r="H27" s="4736">
        <f>H25*OPEN!$N$29</f>
        <v>7540</v>
      </c>
    </row>
    <row r="29" spans="1:11">
      <c r="B29" s="4723" t="s">
        <v>2245</v>
      </c>
    </row>
    <row r="30" spans="1:11">
      <c r="A30" s="4723"/>
      <c r="B30" s="4723" t="s">
        <v>2246</v>
      </c>
      <c r="C30" s="4723"/>
      <c r="D30" s="4738">
        <v>3</v>
      </c>
      <c r="E30" s="4723" t="s">
        <v>2247</v>
      </c>
      <c r="F30" s="4723"/>
      <c r="G30" s="4723" t="s">
        <v>1166</v>
      </c>
      <c r="H30" s="4736">
        <f>(H25+H27)*D30/100</f>
        <v>7766</v>
      </c>
    </row>
    <row r="31" spans="1:11">
      <c r="A31" s="4723"/>
      <c r="B31" s="4723"/>
      <c r="C31" s="4723"/>
      <c r="D31" s="4723"/>
      <c r="E31" s="4723"/>
      <c r="F31" s="4723"/>
      <c r="G31" s="4723"/>
      <c r="H31" s="4723"/>
    </row>
    <row r="32" spans="1:11">
      <c r="A32" s="4723"/>
      <c r="B32" s="4723" t="str">
        <f>"4.  Est. KPERS State Aid for "&amp;OPEN!$P$14&amp;" (Line 1 + Line 2 + Line 3)"</f>
        <v>4.  Est. KPERS State Aid for 2016-17 (Line 1 + Line 2 + Line 3)</v>
      </c>
      <c r="C32" s="4723"/>
      <c r="D32" s="4723"/>
      <c r="E32" s="4723"/>
      <c r="F32" s="4723"/>
      <c r="G32" s="4723" t="s">
        <v>1166</v>
      </c>
      <c r="H32" s="4736">
        <f>SUM(H25:H30)</f>
        <v>266624</v>
      </c>
    </row>
    <row r="33" spans="1:8">
      <c r="A33" s="4723"/>
      <c r="B33" s="4723"/>
      <c r="C33" s="4723"/>
      <c r="D33" s="4723"/>
      <c r="E33" s="4723"/>
      <c r="F33" s="4723"/>
      <c r="G33" s="4723"/>
      <c r="H33" s="4723"/>
    </row>
    <row r="34" spans="1:8">
      <c r="A34" s="4723"/>
      <c r="B34" s="4723"/>
      <c r="C34" s="4723"/>
      <c r="D34" s="4723"/>
      <c r="E34" s="4723"/>
      <c r="F34" s="4723"/>
      <c r="G34" s="4723"/>
      <c r="H34" s="4723"/>
    </row>
    <row r="35" spans="1:8">
      <c r="A35" s="4723"/>
      <c r="B35" s="4723"/>
      <c r="C35" s="4723"/>
      <c r="D35" s="4723"/>
      <c r="E35" s="4723"/>
      <c r="F35" s="4723"/>
      <c r="G35" s="4723"/>
      <c r="H35" s="4723"/>
    </row>
  </sheetData>
  <sheetProtection algorithmName="SHA-512" hashValue="ad6/Gg3E5j+AD0tm08A1/uJY7Kf6jrSi3aZTLhZ86wOmyvwlWWsXRTJdCMPpdZ4YvrZb7zjJw5MFYmDi4KcK4g==" saltValue="sjT8EAJ+mWxvxf0NBfzMWA==" spinCount="100000" sheet="1" objects="1" scenarios="1"/>
  <mergeCells count="1">
    <mergeCell ref="A7:I7"/>
  </mergeCells>
  <dataValidations count="1">
    <dataValidation type="whole" operator="greaterThanOrEqual" showInputMessage="1" showErrorMessage="1" errorTitle="Invalid Data Entry" error="Please enter a positive whole number or press the delete key or enter zero." sqref="D14 D20">
      <formula1>0</formula1>
    </dataValidation>
  </dataValidations>
  <hyperlinks>
    <hyperlink ref="J1" location="Contents!A1" display="Return to Contents page"/>
  </hyperlinks>
  <printOptions horizontalCentered="1"/>
  <pageMargins left="0.5" right="0.5" top="0.25" bottom="0.25" header="0.5" footer="0.5"/>
  <pageSetup scale="96" orientation="portrait" blackAndWhite="1" r:id="rId1"/>
  <headerFooter alignWithMargins="0">
    <oddFooter>&amp;L&amp;D     &amp;T &amp;CForm 195</oddFooter>
  </headerFooter>
  <rowBreaks count="1" manualBreakCount="1">
    <brk id="46" max="6553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6" tint="-0.249977111117893"/>
  </sheetPr>
  <dimension ref="A1:J34"/>
  <sheetViews>
    <sheetView topLeftCell="A8" workbookViewId="0">
      <selection activeCell="B14" sqref="B14"/>
    </sheetView>
  </sheetViews>
  <sheetFormatPr defaultRowHeight="12.75"/>
  <cols>
    <col min="1" max="1" width="4.7109375" style="4287" customWidth="1"/>
    <col min="2" max="2" width="14.140625" style="4287" customWidth="1"/>
    <col min="3" max="3" width="35.85546875" style="4287" customWidth="1"/>
    <col min="4" max="4" width="15.5703125" style="4287" customWidth="1"/>
    <col min="5" max="5" width="2.5703125" style="4287" customWidth="1"/>
    <col min="6" max="6" width="15.28515625" style="4287" customWidth="1"/>
    <col min="7" max="16384" width="9.140625" style="4287"/>
  </cols>
  <sheetData>
    <row r="1" spans="1:7">
      <c r="A1" s="4727" t="s">
        <v>2248</v>
      </c>
      <c r="B1" s="4727">
        <f>OPEN!$N$3</f>
        <v>42522</v>
      </c>
      <c r="D1" s="4724" t="s">
        <v>1019</v>
      </c>
      <c r="E1" s="4723"/>
      <c r="F1" s="4725">
        <f>OPEN!$B$4</f>
        <v>270</v>
      </c>
      <c r="G1" s="4288" t="s">
        <v>866</v>
      </c>
    </row>
    <row r="2" spans="1:7">
      <c r="A2" s="4727"/>
      <c r="B2" s="4727"/>
      <c r="D2" s="4724"/>
      <c r="E2" s="4723"/>
      <c r="F2" s="4725"/>
      <c r="G2" s="4288"/>
    </row>
    <row r="3" spans="1:7" ht="15.75">
      <c r="B3" s="5266" t="s">
        <v>2249</v>
      </c>
      <c r="C3" s="5266"/>
      <c r="D3" s="5266"/>
    </row>
    <row r="4" spans="1:7" ht="15.75">
      <c r="B4" s="5266" t="s">
        <v>2250</v>
      </c>
      <c r="C4" s="5266"/>
      <c r="D4" s="5266"/>
    </row>
    <row r="6" spans="1:7">
      <c r="B6" s="5262" t="s">
        <v>2251</v>
      </c>
      <c r="C6" s="5262"/>
      <c r="D6" s="5262"/>
      <c r="E6" s="5262"/>
    </row>
    <row r="7" spans="1:7">
      <c r="B7" s="5262" t="s">
        <v>2252</v>
      </c>
      <c r="C7" s="5262"/>
      <c r="D7" s="5262"/>
      <c r="E7" s="5262"/>
    </row>
    <row r="8" spans="1:7">
      <c r="B8" s="4739"/>
      <c r="C8" s="4739"/>
      <c r="D8" s="4739"/>
      <c r="E8" s="4739"/>
    </row>
    <row r="9" spans="1:7">
      <c r="B9" s="4740" t="s">
        <v>2253</v>
      </c>
      <c r="C9" s="4740"/>
      <c r="D9" s="4740"/>
      <c r="E9" s="4740"/>
    </row>
    <row r="10" spans="1:7">
      <c r="B10" s="5267" t="s">
        <v>2254</v>
      </c>
      <c r="C10" s="5267"/>
      <c r="D10" s="5267"/>
      <c r="E10" s="5267"/>
    </row>
    <row r="12" spans="1:7">
      <c r="B12" s="4741" t="s">
        <v>2255</v>
      </c>
    </row>
    <row r="13" spans="1:7">
      <c r="B13" s="4464" t="s">
        <v>2256</v>
      </c>
    </row>
    <row r="14" spans="1:7">
      <c r="B14" s="4742"/>
      <c r="C14" s="4464" t="str">
        <f>"times amount per mile ("&amp;  OPEN!$R$36&amp; " per mile)"</f>
        <v>times amount per mile ($1.45 per mile)</v>
      </c>
      <c r="E14" s="4535" t="s">
        <v>1166</v>
      </c>
      <c r="F14" s="4527">
        <f>ROUND(B14*OPEN!$Q$36,0)</f>
        <v>0</v>
      </c>
    </row>
    <row r="17" spans="2:10">
      <c r="B17" s="4741" t="s">
        <v>2257</v>
      </c>
    </row>
    <row r="18" spans="2:10">
      <c r="B18" s="4464" t="s">
        <v>2256</v>
      </c>
    </row>
    <row r="19" spans="2:10">
      <c r="B19" s="4743"/>
      <c r="C19" s="4464" t="str">
        <f>"times amount per mile ("&amp; OPEN!$R$37&amp; " per mile)"</f>
        <v>times amount per mile ($1.15 per mile)</v>
      </c>
      <c r="E19" s="4535" t="s">
        <v>1166</v>
      </c>
      <c r="F19" s="4527">
        <f>ROUND(B19*OPEN!$Q$37,0)</f>
        <v>0</v>
      </c>
    </row>
    <row r="22" spans="2:10">
      <c r="B22" s="4741" t="s">
        <v>2258</v>
      </c>
    </row>
    <row r="23" spans="2:10">
      <c r="B23" s="4464" t="s">
        <v>2256</v>
      </c>
    </row>
    <row r="24" spans="2:10">
      <c r="B24" s="4742"/>
      <c r="C24" s="4464" t="str">
        <f>"times amount per mile (" &amp; OPEN!$R$38&amp; " per mile)"</f>
        <v>times amount per mile ($.90 per mile)</v>
      </c>
      <c r="E24" s="4535" t="s">
        <v>1166</v>
      </c>
      <c r="F24" s="4527">
        <f>ROUND(B24*OPEN!$Q$38,0)</f>
        <v>0</v>
      </c>
    </row>
    <row r="25" spans="2:10">
      <c r="J25" s="4290"/>
    </row>
    <row r="27" spans="2:10">
      <c r="B27" s="4464"/>
      <c r="D27" s="4464" t="s">
        <v>1121</v>
      </c>
      <c r="E27" s="4535" t="s">
        <v>1166</v>
      </c>
      <c r="F27" s="4527">
        <f>SUM(F14:F24)</f>
        <v>0</v>
      </c>
    </row>
    <row r="29" spans="2:10">
      <c r="B29" s="4464"/>
      <c r="D29" s="4464" t="str">
        <f>"Pro-ration " &amp; OPEN!O35</f>
        <v>Pro-ration 46%</v>
      </c>
      <c r="E29" s="4535" t="s">
        <v>1166</v>
      </c>
      <c r="F29" s="4527">
        <f>ROUND(F27*OPEN!N35,0)</f>
        <v>0</v>
      </c>
    </row>
    <row r="30" spans="2:10">
      <c r="B30" s="4464"/>
    </row>
    <row r="32" spans="2:10">
      <c r="B32" s="4464" t="s">
        <v>2259</v>
      </c>
    </row>
    <row r="33" spans="2:2">
      <c r="B33" s="4464" t="s">
        <v>2260</v>
      </c>
    </row>
    <row r="34" spans="2:2">
      <c r="B34" s="4464"/>
    </row>
  </sheetData>
  <sheetProtection algorithmName="SHA-512" hashValue="QCB4a1AwNE1SP+m3txKXJARvWhszgtgLyJ3h7s/h66EBs0hmn19wZnIOrpGGl5F209KVVFfRVSfywK9nx+sLOA==" saltValue="z5MMDW7h3sWTCkntq7zQ+w==" spinCount="100000" sheet="1" objects="1" scenarios="1"/>
  <mergeCells count="5">
    <mergeCell ref="B3:D3"/>
    <mergeCell ref="B4:D4"/>
    <mergeCell ref="B6:E6"/>
    <mergeCell ref="B7:E7"/>
    <mergeCell ref="B10:E10"/>
  </mergeCells>
  <dataValidations count="1">
    <dataValidation type="decimal" operator="greaterThanOrEqual" showErrorMessage="1" errorTitle="Invalid Data Entry" error="Please enter a positive amount up to 1/10th decimal or press the delete key or enter zero." sqref="B14 B19 B24">
      <formula1>0</formula1>
    </dataValidation>
  </dataValidations>
  <hyperlinks>
    <hyperlink ref="G1" location="Contents!A1" display="Return to Contents page"/>
  </hyperlinks>
  <pageMargins left="0.7" right="0.7" top="0.75" bottom="0.75" header="0.3" footer="0.3"/>
  <pageSetup orientation="portrait" blackAndWhite="1" r:id="rId1"/>
  <headerFooter>
    <oddFooter>&amp;L&amp;D   &amp;T&amp;CForm 196</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6" tint="-0.249977111117893"/>
  </sheetPr>
  <dimension ref="A1:M30"/>
  <sheetViews>
    <sheetView zoomScaleNormal="100" workbookViewId="0">
      <selection activeCell="I16" sqref="I16"/>
    </sheetView>
  </sheetViews>
  <sheetFormatPr defaultRowHeight="12.75"/>
  <cols>
    <col min="1" max="1" width="8.85546875" customWidth="1"/>
    <col min="2" max="2" width="9.42578125" customWidth="1"/>
    <col min="3" max="3" width="16.28515625" customWidth="1"/>
    <col min="4" max="4" width="14.28515625" customWidth="1"/>
    <col min="5" max="5" width="12.28515625" customWidth="1"/>
    <col min="6" max="6" width="8.42578125" customWidth="1"/>
    <col min="7" max="7" width="6.85546875" customWidth="1"/>
    <col min="8" max="8" width="2" customWidth="1"/>
    <col min="9" max="9" width="14.42578125" customWidth="1"/>
    <col min="10" max="10" width="3" customWidth="1"/>
    <col min="11" max="11" width="21" customWidth="1"/>
    <col min="13" max="13" width="17.5703125" customWidth="1"/>
  </cols>
  <sheetData>
    <row r="1" spans="1:13" ht="15">
      <c r="A1" s="4744" t="s">
        <v>2525</v>
      </c>
      <c r="B1" s="4744"/>
      <c r="C1" s="4744"/>
      <c r="D1" s="4744"/>
      <c r="E1" s="4744"/>
      <c r="F1" s="4744"/>
      <c r="G1" s="4745" t="s">
        <v>987</v>
      </c>
      <c r="H1" s="4744"/>
      <c r="I1" s="4746">
        <f>OPEN!$B$4</f>
        <v>270</v>
      </c>
      <c r="J1" s="4747"/>
      <c r="K1" s="4288" t="s">
        <v>866</v>
      </c>
    </row>
    <row r="2" spans="1:13" ht="15">
      <c r="A2" s="4749">
        <f>OPEN!$N$3</f>
        <v>42522</v>
      </c>
      <c r="B2" s="4744"/>
      <c r="C2" s="4744"/>
      <c r="D2" s="4744"/>
      <c r="E2" s="4744"/>
      <c r="F2" s="4744"/>
      <c r="G2" s="4744"/>
      <c r="H2" s="4744"/>
      <c r="I2" s="4744"/>
      <c r="J2" s="4747"/>
      <c r="K2" s="4748"/>
    </row>
    <row r="3" spans="1:13" ht="15">
      <c r="A3" s="4750" t="s">
        <v>2197</v>
      </c>
      <c r="B3" s="4751"/>
      <c r="C3" s="4751"/>
      <c r="D3" s="4751"/>
      <c r="E3" s="4751"/>
      <c r="F3" s="4751"/>
      <c r="G3" s="4751"/>
      <c r="H3" s="4751"/>
      <c r="I3" s="4751"/>
      <c r="J3" s="4747"/>
      <c r="K3" s="4748"/>
    </row>
    <row r="4" spans="1:13" ht="15">
      <c r="A4" s="4751"/>
      <c r="B4" s="4751"/>
      <c r="C4" s="4751"/>
      <c r="D4" s="4751"/>
      <c r="E4" s="4751"/>
      <c r="F4" s="4751"/>
      <c r="G4" s="4751"/>
      <c r="H4" s="4751"/>
      <c r="I4" s="4744"/>
      <c r="J4" s="4747"/>
      <c r="K4" s="4748"/>
    </row>
    <row r="5" spans="1:13" ht="15">
      <c r="A5" s="4750" t="s">
        <v>2528</v>
      </c>
      <c r="B5" s="4751"/>
      <c r="C5" s="4751"/>
      <c r="D5" s="4751"/>
      <c r="E5" s="4751"/>
      <c r="F5" s="4751"/>
      <c r="G5" s="4751"/>
      <c r="H5" s="4751"/>
      <c r="I5" s="4751"/>
      <c r="J5" s="4747"/>
      <c r="K5" s="4748"/>
    </row>
    <row r="6" spans="1:13" ht="15">
      <c r="A6" s="4750" t="str">
        <f>OPEN!$N$2</f>
        <v>2016-2017</v>
      </c>
      <c r="B6" s="4751"/>
      <c r="C6" s="4751"/>
      <c r="D6" s="4751"/>
      <c r="E6" s="4751"/>
      <c r="F6" s="4751"/>
      <c r="G6" s="4751"/>
      <c r="H6" s="4751"/>
      <c r="I6" s="4751"/>
      <c r="J6" s="4747"/>
      <c r="K6" s="4748"/>
    </row>
    <row r="7" spans="1:13" ht="15">
      <c r="A7" s="5268" t="s">
        <v>2529</v>
      </c>
      <c r="B7" s="5268"/>
      <c r="C7" s="5268"/>
      <c r="D7" s="5268"/>
      <c r="E7" s="5268"/>
      <c r="F7" s="5268"/>
      <c r="G7" s="5268"/>
      <c r="H7" s="5268"/>
      <c r="I7" s="5268"/>
      <c r="J7" s="4747"/>
      <c r="K7" s="4748"/>
    </row>
    <row r="9" spans="1:13">
      <c r="A9" s="3645" t="s">
        <v>2530</v>
      </c>
    </row>
    <row r="11" spans="1:13">
      <c r="A11" s="3645" t="s">
        <v>2531</v>
      </c>
      <c r="H11" s="3798" t="s">
        <v>1166</v>
      </c>
      <c r="I11" s="5105">
        <f>IF(AND('F155'!J23&gt;0,'F155'!J23&lt;='F155'!J21),'F155'!J23,M11)</f>
        <v>962024</v>
      </c>
      <c r="M11" s="3334">
        <f>IF('F155'!J23="", 'F155'!J21,0)</f>
        <v>962024</v>
      </c>
    </row>
    <row r="13" spans="1:13">
      <c r="A13" s="3645" t="s">
        <v>2532</v>
      </c>
    </row>
    <row r="14" spans="1:13">
      <c r="B14" s="3645" t="s">
        <v>2533</v>
      </c>
      <c r="C14" s="5156">
        <f>I11</f>
        <v>962024</v>
      </c>
      <c r="D14" s="3645" t="s">
        <v>2538</v>
      </c>
      <c r="E14" s="5160">
        <f>VLOOKUP($I$1,DATA!A3:AT288,28,FALSE)</f>
        <v>0.15620000000000001</v>
      </c>
      <c r="F14" t="str">
        <f>" Pro-rated " &amp; OPEN!O46</f>
        <v xml:space="preserve"> Pro-rated 100%</v>
      </c>
      <c r="H14" s="3798" t="s">
        <v>1166</v>
      </c>
      <c r="I14" s="5105">
        <f>ROUND(C14*E14*OPEN!N46,0)</f>
        <v>150268</v>
      </c>
    </row>
    <row r="16" spans="1:13">
      <c r="A16" t="s">
        <v>2534</v>
      </c>
      <c r="H16" s="5104" t="s">
        <v>2270</v>
      </c>
      <c r="I16" s="5107"/>
    </row>
    <row r="18" spans="1:9">
      <c r="A18" s="3645" t="s">
        <v>2535</v>
      </c>
      <c r="H18" s="3798" t="s">
        <v>1166</v>
      </c>
      <c r="I18" s="5105">
        <f>I14-I16</f>
        <v>150268</v>
      </c>
    </row>
    <row r="20" spans="1:9">
      <c r="A20" s="5106"/>
      <c r="B20" s="5106"/>
      <c r="C20" s="5106"/>
      <c r="D20" s="5106"/>
      <c r="E20" s="5106"/>
      <c r="F20" s="5106"/>
      <c r="G20" s="5106"/>
      <c r="H20" s="5106"/>
      <c r="I20" s="5106"/>
    </row>
    <row r="22" spans="1:9">
      <c r="A22" s="4750" t="s">
        <v>2197</v>
      </c>
      <c r="B22" s="4751"/>
      <c r="C22" s="4751"/>
      <c r="D22" s="4751"/>
      <c r="E22" s="4751"/>
      <c r="F22" s="4751"/>
      <c r="G22" s="4751"/>
      <c r="H22" s="4751"/>
      <c r="I22" s="4751"/>
    </row>
    <row r="23" spans="1:9">
      <c r="A23" s="4751"/>
      <c r="B23" s="4751"/>
      <c r="C23" s="4751"/>
      <c r="D23" s="4751"/>
      <c r="E23" s="4751"/>
      <c r="F23" s="4751"/>
      <c r="G23" s="4751"/>
      <c r="H23" s="4751"/>
      <c r="I23" s="4744"/>
    </row>
    <row r="24" spans="1:9">
      <c r="A24" s="4750" t="s">
        <v>2536</v>
      </c>
      <c r="B24" s="4751"/>
      <c r="C24" s="4751"/>
      <c r="D24" s="4751"/>
      <c r="E24" s="4751"/>
      <c r="F24" s="4751"/>
      <c r="G24" s="4751"/>
      <c r="H24" s="4751"/>
      <c r="I24" s="4751"/>
    </row>
    <row r="25" spans="1:9">
      <c r="A25" s="4750" t="str">
        <f>OPEN!$N$2</f>
        <v>2016-2017</v>
      </c>
      <c r="B25" s="4751"/>
      <c r="C25" s="4751"/>
      <c r="D25" s="4751"/>
      <c r="E25" s="4751"/>
      <c r="F25" s="4751"/>
      <c r="G25" s="4751"/>
      <c r="H25" s="4751"/>
      <c r="I25" s="4751"/>
    </row>
    <row r="26" spans="1:9">
      <c r="A26" s="5268" t="s">
        <v>2537</v>
      </c>
      <c r="B26" s="5268"/>
      <c r="C26" s="5268"/>
      <c r="D26" s="5268"/>
      <c r="E26" s="5268"/>
      <c r="F26" s="5268"/>
      <c r="G26" s="5268"/>
      <c r="H26" s="5268"/>
      <c r="I26" s="5268"/>
    </row>
    <row r="28" spans="1:9">
      <c r="A28" s="3645" t="str">
        <f>"1.   Estimated " &amp; OPEN!Q5 &amp;" taxes levied in the capital outlay fund"</f>
        <v>1.   Estimated 2016 taxes levied in the capital outlay fund</v>
      </c>
      <c r="H28" s="3798" t="s">
        <v>1166</v>
      </c>
      <c r="I28" s="5105">
        <f>'C016'!F17</f>
        <v>253049</v>
      </c>
    </row>
    <row r="30" spans="1:9">
      <c r="A30" s="3645" t="s">
        <v>2588</v>
      </c>
      <c r="E30" s="5160">
        <f>VLOOKUP($I$1,DATA!A3:AT288,26,FALSE)</f>
        <v>0</v>
      </c>
      <c r="H30" s="3798" t="s">
        <v>1166</v>
      </c>
      <c r="I30" s="5105">
        <f>ROUND(I28*E30,0)</f>
        <v>0</v>
      </c>
    </row>
  </sheetData>
  <sheetProtection algorithmName="SHA-512" hashValue="RI/+LZnE33dQjxDWgKWIHo4XyJ25GAMJDmx7+ppXQq+sgGGalK/497UcDRfgxDPorsAWgYHEuEKekrTBPaePgQ==" saltValue="f6XeC1OM91S1/H1ZorU1Kw==" spinCount="100000" sheet="1" objects="1" scenarios="1"/>
  <mergeCells count="2">
    <mergeCell ref="A7:I7"/>
    <mergeCell ref="A26:I26"/>
  </mergeCells>
  <dataValidations count="1">
    <dataValidation type="whole" operator="greaterThanOrEqual" allowBlank="1" showInputMessage="1" showErrorMessage="1" errorTitle="Invalid Data Entry" error="Please enter a positive number or press the delete key or enter zero." sqref="I16">
      <formula1>0</formula1>
    </dataValidation>
  </dataValidations>
  <hyperlinks>
    <hyperlink ref="K1" location="Contents!A1" display="Return to Contents page"/>
  </hyperlinks>
  <pageMargins left="0.7" right="0.7" top="0.75" bottom="0.75" header="0.3" footer="0.3"/>
  <pageSetup scale="99" orientation="portrait" blackAndWhite="1" r:id="rId1"/>
  <headerFooter>
    <oddFooter>&amp;L&amp;D  &amp;T&amp;CForm 239</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6" tint="-0.249977111117893"/>
  </sheetPr>
  <dimension ref="A1:M348"/>
  <sheetViews>
    <sheetView zoomScaleNormal="100" workbookViewId="0">
      <selection activeCell="I15" sqref="I15"/>
    </sheetView>
  </sheetViews>
  <sheetFormatPr defaultColWidth="10.7109375" defaultRowHeight="15"/>
  <cols>
    <col min="1" max="1" width="8.85546875" style="4747" customWidth="1"/>
    <col min="2" max="2" width="12" style="4747" customWidth="1"/>
    <col min="3" max="3" width="14.28515625" style="4747" customWidth="1"/>
    <col min="4" max="4" width="25.28515625" style="4747" customWidth="1"/>
    <col min="5" max="5" width="12.28515625" style="4747" customWidth="1"/>
    <col min="6" max="6" width="5" style="4747" customWidth="1"/>
    <col min="7" max="7" width="8.85546875" style="4747" customWidth="1"/>
    <col min="8" max="8" width="2" style="4747" customWidth="1"/>
    <col min="9" max="9" width="14.42578125" style="4747" customWidth="1"/>
    <col min="10" max="10" width="3" style="4747" customWidth="1"/>
    <col min="11" max="11" width="21" style="4748" customWidth="1"/>
    <col min="12" max="12" width="3.28515625" style="4748" customWidth="1"/>
    <col min="13" max="13" width="14.140625" style="4748" customWidth="1"/>
    <col min="14" max="16384" width="10.7109375" style="4748"/>
  </cols>
  <sheetData>
    <row r="1" spans="1:13">
      <c r="A1" s="4744" t="s">
        <v>2526</v>
      </c>
      <c r="B1" s="4744"/>
      <c r="C1" s="4744"/>
      <c r="D1" s="4744"/>
      <c r="E1" s="4744"/>
      <c r="F1" s="4744"/>
      <c r="G1" s="4745" t="s">
        <v>987</v>
      </c>
      <c r="H1" s="4744"/>
      <c r="I1" s="4746">
        <f>OPEN!$B$4</f>
        <v>270</v>
      </c>
      <c r="K1" s="4288" t="s">
        <v>866</v>
      </c>
    </row>
    <row r="2" spans="1:13">
      <c r="A2" s="4749">
        <f>OPEN!$N$3</f>
        <v>42522</v>
      </c>
      <c r="B2" s="4744"/>
      <c r="C2" s="4744"/>
      <c r="D2" s="4744"/>
      <c r="E2" s="4744"/>
      <c r="F2" s="4744"/>
      <c r="G2" s="4744"/>
      <c r="H2" s="4744"/>
      <c r="I2" s="4744"/>
    </row>
    <row r="3" spans="1:13">
      <c r="A3" s="4750" t="s">
        <v>2197</v>
      </c>
      <c r="B3" s="4751"/>
      <c r="C3" s="4751"/>
      <c r="D3" s="4751"/>
      <c r="E3" s="4751"/>
      <c r="F3" s="4751"/>
      <c r="G3" s="4751"/>
      <c r="H3" s="4751"/>
      <c r="I3" s="4751"/>
    </row>
    <row r="4" spans="1:13" ht="8.1" customHeight="1">
      <c r="A4" s="4751"/>
      <c r="B4" s="4751"/>
      <c r="C4" s="4751"/>
      <c r="D4" s="4751"/>
      <c r="E4" s="4751"/>
      <c r="F4" s="4751"/>
      <c r="G4" s="4751"/>
      <c r="H4" s="4751"/>
      <c r="I4" s="4744"/>
    </row>
    <row r="5" spans="1:13">
      <c r="A5" s="4750" t="s">
        <v>2261</v>
      </c>
      <c r="B5" s="4751"/>
      <c r="C5" s="4751"/>
      <c r="D5" s="4751"/>
      <c r="E5" s="4751"/>
      <c r="F5" s="4751"/>
      <c r="G5" s="4751"/>
      <c r="H5" s="4751"/>
      <c r="I5" s="4751"/>
    </row>
    <row r="6" spans="1:13" ht="12.75" customHeight="1">
      <c r="A6" s="4750" t="s">
        <v>2262</v>
      </c>
      <c r="B6" s="4751"/>
      <c r="C6" s="4751"/>
      <c r="D6" s="4751"/>
      <c r="E6" s="4751"/>
      <c r="F6" s="4751"/>
      <c r="G6" s="4751"/>
      <c r="H6" s="4751"/>
      <c r="I6" s="4751"/>
    </row>
    <row r="7" spans="1:13">
      <c r="A7" s="4750" t="str">
        <f>OPEN!$N$2</f>
        <v>2016-2017</v>
      </c>
      <c r="B7" s="4751"/>
      <c r="C7" s="4751"/>
      <c r="D7" s="4751"/>
      <c r="E7" s="4751"/>
      <c r="F7" s="4751"/>
      <c r="G7" s="4751"/>
      <c r="H7" s="4751"/>
      <c r="I7" s="4751"/>
    </row>
    <row r="8" spans="1:13" ht="12" customHeight="1">
      <c r="A8" s="5268" t="s">
        <v>2263</v>
      </c>
      <c r="B8" s="5268"/>
      <c r="C8" s="5268"/>
      <c r="D8" s="5268"/>
      <c r="E8" s="5268"/>
      <c r="F8" s="5268"/>
      <c r="G8" s="5268"/>
      <c r="H8" s="5268"/>
      <c r="I8" s="5268"/>
    </row>
    <row r="9" spans="1:13" ht="12" customHeight="1">
      <c r="A9" s="5269" t="s">
        <v>2264</v>
      </c>
      <c r="B9" s="5269"/>
      <c r="C9" s="5269"/>
      <c r="D9" s="5269"/>
      <c r="E9" s="5269"/>
      <c r="F9" s="5269"/>
      <c r="G9" s="5269"/>
      <c r="H9" s="5269"/>
      <c r="I9" s="5269"/>
      <c r="M9" s="4752"/>
    </row>
    <row r="10" spans="1:13" ht="6.75" customHeight="1">
      <c r="A10" s="4744"/>
      <c r="B10" s="4753"/>
      <c r="C10" s="4753"/>
      <c r="D10" s="4753"/>
      <c r="E10" s="4753"/>
      <c r="F10" s="4753"/>
      <c r="G10" s="4753"/>
      <c r="H10" s="4753"/>
      <c r="I10" s="4753"/>
    </row>
    <row r="11" spans="1:13" ht="12" customHeight="1">
      <c r="A11" s="4744" t="s">
        <v>2265</v>
      </c>
      <c r="B11" s="4753"/>
      <c r="C11" s="4753"/>
      <c r="D11" s="4753"/>
      <c r="E11" s="4753"/>
      <c r="F11" s="4753"/>
      <c r="G11" s="4753"/>
      <c r="H11" s="4753"/>
      <c r="I11" s="4753"/>
    </row>
    <row r="12" spans="1:13" ht="12" customHeight="1">
      <c r="A12" s="4744" t="s">
        <v>2266</v>
      </c>
      <c r="B12" s="4753"/>
      <c r="C12" s="4753"/>
      <c r="D12" s="4753"/>
      <c r="E12" s="4753"/>
      <c r="F12" s="4753"/>
      <c r="G12" s="4753"/>
      <c r="H12" s="4753"/>
      <c r="I12" s="4753"/>
    </row>
    <row r="13" spans="1:13" ht="5.25" customHeight="1">
      <c r="A13" s="4753"/>
      <c r="B13" s="4753"/>
      <c r="C13" s="4753"/>
      <c r="D13" s="4753"/>
      <c r="E13" s="4753"/>
      <c r="F13" s="4753"/>
      <c r="G13" s="4753"/>
      <c r="H13" s="4753"/>
      <c r="I13" s="4753"/>
    </row>
    <row r="14" spans="1:13" ht="12" customHeight="1">
      <c r="A14" s="4744" t="str">
        <f>"1.  Estimated "&amp;OPEN!$P$4&amp;" bond and interest fund payments"</f>
        <v>1.  Estimated 2016-2017 bond and interest fund payments</v>
      </c>
      <c r="B14" s="4744"/>
      <c r="C14" s="4744"/>
      <c r="D14" s="4744"/>
      <c r="E14" s="4744"/>
      <c r="F14" s="4744"/>
      <c r="G14" s="4744"/>
      <c r="H14" s="4744" t="s">
        <v>1166</v>
      </c>
      <c r="I14" s="4754">
        <v>250713</v>
      </c>
      <c r="K14" s="4748" t="str">
        <f>IF(I1=113,"USD 113 enters payments for old USD 441 bonds here","")</f>
        <v/>
      </c>
    </row>
    <row r="15" spans="1:13" ht="5.25" customHeight="1">
      <c r="A15" s="4744"/>
      <c r="B15" s="4744"/>
      <c r="C15" s="4744"/>
      <c r="D15" s="4744"/>
      <c r="E15" s="4744"/>
      <c r="F15" s="4744"/>
      <c r="G15" s="4744"/>
      <c r="H15" s="4744"/>
      <c r="I15" s="4755"/>
    </row>
    <row r="16" spans="1:13" ht="12" customHeight="1">
      <c r="A16" s="4744" t="s">
        <v>2267</v>
      </c>
      <c r="B16" s="4744"/>
      <c r="C16" s="4744"/>
      <c r="D16" s="4744"/>
      <c r="E16" s="4744"/>
      <c r="F16" s="4744"/>
      <c r="G16" s="4744"/>
      <c r="H16" s="4744" t="s">
        <v>1166</v>
      </c>
      <c r="I16" s="4754"/>
    </row>
    <row r="17" spans="1:11" ht="6" customHeight="1">
      <c r="A17" s="4744"/>
      <c r="B17" s="4744"/>
      <c r="C17" s="4744"/>
      <c r="D17" s="4744"/>
      <c r="E17" s="4744"/>
      <c r="F17" s="4744"/>
      <c r="G17" s="4744"/>
      <c r="H17" s="4744"/>
      <c r="I17" s="4756"/>
    </row>
    <row r="18" spans="1:11" ht="12" customHeight="1">
      <c r="A18" s="4744" t="s">
        <v>2268</v>
      </c>
      <c r="B18" s="4744"/>
      <c r="C18" s="4744"/>
      <c r="D18" s="4744"/>
      <c r="E18" s="5175">
        <f>VLOOKUP($I$1,DATA!A3:AT288,26,FALSE)</f>
        <v>0</v>
      </c>
      <c r="F18" s="4744"/>
      <c r="G18" s="4745"/>
      <c r="H18" s="4744" t="s">
        <v>1166</v>
      </c>
      <c r="I18" s="4757">
        <f>(I14-I16)*E18</f>
        <v>0</v>
      </c>
      <c r="K18" s="4758"/>
    </row>
    <row r="19" spans="1:11" ht="6" customHeight="1">
      <c r="A19" s="4744"/>
      <c r="B19" s="4744"/>
      <c r="C19" s="4744"/>
      <c r="D19" s="4744"/>
      <c r="E19" s="4744"/>
      <c r="F19" s="4744"/>
      <c r="G19" s="4744"/>
      <c r="H19" s="4744"/>
      <c r="I19" s="4756"/>
    </row>
    <row r="20" spans="1:11" ht="12" customHeight="1">
      <c r="A20" s="4744" t="s">
        <v>2269</v>
      </c>
      <c r="B20" s="4744"/>
      <c r="C20" s="4744"/>
      <c r="D20" s="4744"/>
      <c r="E20" s="4744"/>
      <c r="F20" s="4744"/>
      <c r="G20" s="4744"/>
      <c r="H20" s="4759" t="s">
        <v>2270</v>
      </c>
      <c r="I20" s="4754"/>
    </row>
    <row r="21" spans="1:11" ht="6.75" customHeight="1">
      <c r="A21" s="4744"/>
      <c r="B21" s="4744"/>
      <c r="C21" s="4744"/>
      <c r="D21" s="4744"/>
      <c r="E21" s="4744"/>
      <c r="F21" s="4744"/>
      <c r="G21" s="4744"/>
      <c r="H21" s="4744"/>
      <c r="I21" s="4755"/>
    </row>
    <row r="22" spans="1:11" ht="12" customHeight="1">
      <c r="A22" s="4744" t="s">
        <v>2271</v>
      </c>
      <c r="B22" s="4744"/>
      <c r="C22" s="4744"/>
      <c r="D22" s="4744"/>
      <c r="E22" s="4744"/>
      <c r="F22" s="4744"/>
      <c r="G22" s="4744"/>
      <c r="H22" s="4744" t="s">
        <v>2270</v>
      </c>
      <c r="I22" s="4754"/>
    </row>
    <row r="23" spans="1:11" ht="6" customHeight="1">
      <c r="A23" s="4744"/>
      <c r="B23" s="4744"/>
      <c r="C23" s="4744"/>
      <c r="D23" s="4744"/>
      <c r="E23" s="4744"/>
      <c r="F23" s="4744"/>
      <c r="G23" s="4744"/>
      <c r="H23" s="4744"/>
      <c r="I23" s="4755"/>
    </row>
    <row r="24" spans="1:11" ht="12" customHeight="1">
      <c r="A24" s="4760" t="s">
        <v>2272</v>
      </c>
      <c r="B24" s="4744"/>
      <c r="C24" s="4744"/>
      <c r="D24" s="4744"/>
      <c r="E24" s="4744"/>
      <c r="F24" s="4744"/>
      <c r="G24" s="4744"/>
      <c r="H24" s="4744" t="s">
        <v>1166</v>
      </c>
      <c r="I24" s="4757">
        <f>IF(I18-(I20+I22)&lt;0,0,I18-(I20+I22))</f>
        <v>0</v>
      </c>
    </row>
    <row r="25" spans="1:11" ht="12" customHeight="1">
      <c r="A25" s="4761" t="str">
        <f>"     (July 1, "&amp;OPEN!$Q$5&amp;" through June 30, "&amp;OPEN!$S$5&amp;") (Line 3 - (Line 4 + Line 5))"</f>
        <v xml:space="preserve">     (July 1, 2016 through June 30, 2017) (Line 3 - (Line 4 + Line 5))</v>
      </c>
      <c r="B25" s="4760"/>
      <c r="C25" s="4760"/>
      <c r="D25" s="4760"/>
      <c r="E25" s="4760"/>
      <c r="F25" s="4760"/>
      <c r="G25" s="4760"/>
      <c r="H25" s="4760"/>
      <c r="I25" s="4760"/>
    </row>
    <row r="26" spans="1:11" ht="5.25" customHeight="1">
      <c r="A26" s="4760"/>
      <c r="B26" s="4760"/>
      <c r="C26" s="4760"/>
      <c r="D26" s="4760"/>
      <c r="E26" s="4760"/>
      <c r="F26" s="4760"/>
      <c r="G26" s="4760"/>
      <c r="H26" s="4760"/>
      <c r="I26" s="4760"/>
    </row>
    <row r="27" spans="1:11" ht="12" customHeight="1">
      <c r="A27" s="4762" t="s">
        <v>2273</v>
      </c>
      <c r="B27" s="4753"/>
      <c r="C27" s="4753"/>
      <c r="D27" s="4753"/>
      <c r="E27" s="4753"/>
      <c r="F27" s="4753"/>
      <c r="G27" s="4753"/>
      <c r="H27" s="4753"/>
      <c r="I27" s="4753"/>
    </row>
    <row r="28" spans="1:11" ht="5.25" customHeight="1">
      <c r="A28" s="4753"/>
      <c r="B28" s="4753"/>
      <c r="C28" s="4753"/>
      <c r="D28" s="4753"/>
      <c r="E28" s="4753"/>
      <c r="F28" s="4753"/>
      <c r="G28" s="4753"/>
      <c r="H28" s="4753"/>
      <c r="I28" s="4753"/>
    </row>
    <row r="29" spans="1:11" ht="8.1" customHeight="1">
      <c r="A29" s="4763"/>
      <c r="B29" s="4763"/>
      <c r="C29" s="4763"/>
      <c r="D29" s="4763"/>
      <c r="E29" s="4763"/>
      <c r="F29" s="4763"/>
      <c r="G29" s="4763"/>
      <c r="H29" s="4763"/>
      <c r="I29" s="4763"/>
    </row>
    <row r="30" spans="1:11" ht="6.75" customHeight="1">
      <c r="A30" s="4760"/>
      <c r="B30" s="4760"/>
      <c r="C30" s="4760"/>
      <c r="D30" s="4760"/>
      <c r="E30" s="4760"/>
      <c r="F30" s="4760"/>
      <c r="G30" s="4760"/>
      <c r="H30" s="4760"/>
      <c r="I30" s="4760"/>
    </row>
    <row r="31" spans="1:11" ht="5.25" customHeight="1">
      <c r="A31" s="4764"/>
      <c r="B31" s="4765"/>
      <c r="C31" s="4765"/>
      <c r="D31" s="4764"/>
      <c r="E31" s="4765"/>
      <c r="F31" s="4765"/>
      <c r="G31" s="4766"/>
      <c r="H31" s="4765"/>
      <c r="I31" s="4767"/>
    </row>
    <row r="32" spans="1:11" ht="12" customHeight="1">
      <c r="A32" s="4768" t="s">
        <v>2274</v>
      </c>
      <c r="B32" s="4768"/>
      <c r="C32" s="4765"/>
      <c r="D32" s="4769"/>
      <c r="E32" s="4765"/>
      <c r="F32" s="4765"/>
      <c r="G32" s="4766" t="s">
        <v>2275</v>
      </c>
      <c r="H32" s="4768"/>
      <c r="I32" s="4770">
        <f>I1</f>
        <v>270</v>
      </c>
    </row>
    <row r="33" spans="1:11" ht="12" customHeight="1">
      <c r="A33" s="4750" t="s">
        <v>2262</v>
      </c>
      <c r="B33" s="4750"/>
      <c r="C33" s="4750"/>
      <c r="D33" s="4750"/>
      <c r="E33" s="4750"/>
      <c r="F33" s="4750"/>
      <c r="G33" s="4750"/>
      <c r="H33" s="4750"/>
      <c r="I33" s="4750"/>
    </row>
    <row r="34" spans="1:11" ht="12" customHeight="1">
      <c r="A34" s="4750" t="str">
        <f>A7</f>
        <v>2016-2017</v>
      </c>
      <c r="B34" s="4751"/>
      <c r="C34" s="4751"/>
      <c r="D34" s="4751"/>
      <c r="E34" s="4751"/>
      <c r="F34" s="4751"/>
      <c r="G34" s="4751"/>
      <c r="H34" s="4751"/>
      <c r="I34" s="4751"/>
    </row>
    <row r="35" spans="1:11" ht="12" customHeight="1">
      <c r="A35" s="4750" t="s">
        <v>2263</v>
      </c>
      <c r="B35" s="4751"/>
      <c r="C35" s="4751"/>
      <c r="D35" s="4751"/>
      <c r="E35" s="4751"/>
      <c r="F35" s="4751"/>
      <c r="G35" s="4751"/>
      <c r="H35" s="4751"/>
      <c r="I35" s="4751"/>
    </row>
    <row r="36" spans="1:11" ht="18" customHeight="1">
      <c r="A36" s="5270" t="s">
        <v>2478</v>
      </c>
      <c r="B36" s="5270"/>
      <c r="C36" s="5270"/>
      <c r="D36" s="5270"/>
      <c r="E36" s="5270"/>
      <c r="F36" s="5270"/>
      <c r="G36" s="5270"/>
      <c r="H36" s="5270"/>
      <c r="I36" s="5270"/>
    </row>
    <row r="37" spans="1:11" ht="12" customHeight="1">
      <c r="A37" s="4744" t="s">
        <v>2265</v>
      </c>
      <c r="B37" s="4744"/>
      <c r="C37" s="4744"/>
      <c r="D37" s="4744"/>
      <c r="E37" s="4744"/>
      <c r="F37" s="4744"/>
      <c r="G37" s="4744"/>
      <c r="H37" s="4744"/>
      <c r="I37" s="4744"/>
    </row>
    <row r="38" spans="1:11" ht="12" customHeight="1">
      <c r="A38" s="4744" t="s">
        <v>2266</v>
      </c>
      <c r="B38" s="4744"/>
      <c r="C38" s="4744"/>
      <c r="D38" s="4744"/>
      <c r="E38" s="4744"/>
      <c r="F38" s="4744"/>
      <c r="G38" s="4744"/>
      <c r="H38" s="4744"/>
      <c r="I38" s="4744"/>
    </row>
    <row r="39" spans="1:11" ht="8.1" customHeight="1">
      <c r="A39" s="4744"/>
      <c r="B39" s="4744"/>
      <c r="C39" s="4744"/>
      <c r="D39" s="4744"/>
      <c r="E39" s="4744"/>
      <c r="F39" s="4744"/>
      <c r="G39" s="4744"/>
      <c r="H39" s="4744"/>
      <c r="I39" s="4744"/>
    </row>
    <row r="40" spans="1:11" ht="12" customHeight="1">
      <c r="A40" s="4744" t="str">
        <f>"1.  Estimated "&amp;OPEN!$P$4&amp;" bond and interest fund payments"</f>
        <v>1.  Estimated 2016-2017 bond and interest fund payments</v>
      </c>
      <c r="B40" s="4744"/>
      <c r="C40" s="4744"/>
      <c r="D40" s="4744"/>
      <c r="E40" s="4744"/>
      <c r="F40" s="4744"/>
      <c r="G40" s="4744"/>
      <c r="H40" s="4744" t="s">
        <v>1166</v>
      </c>
      <c r="I40" s="4754"/>
      <c r="K40" s="4771"/>
    </row>
    <row r="41" spans="1:11" ht="12" customHeight="1">
      <c r="A41" s="4744"/>
      <c r="B41" s="4744"/>
      <c r="C41" s="4744"/>
      <c r="D41" s="4744"/>
      <c r="E41" s="4744"/>
      <c r="F41" s="4744"/>
      <c r="G41" s="4744"/>
      <c r="H41" s="4744"/>
      <c r="I41" s="4755"/>
    </row>
    <row r="42" spans="1:11" ht="12" customHeight="1">
      <c r="A42" s="4744" t="s">
        <v>2267</v>
      </c>
      <c r="B42" s="4744"/>
      <c r="C42" s="4744"/>
      <c r="D42" s="4744"/>
      <c r="E42" s="4744"/>
      <c r="F42" s="4744"/>
      <c r="G42" s="4744"/>
      <c r="H42" s="4744" t="s">
        <v>1166</v>
      </c>
      <c r="I42" s="4754"/>
    </row>
    <row r="43" spans="1:11" ht="8.1" customHeight="1">
      <c r="A43" s="4744"/>
      <c r="B43" s="4744"/>
      <c r="C43" s="4744"/>
      <c r="D43" s="4744"/>
      <c r="E43" s="4744"/>
      <c r="F43" s="4744"/>
      <c r="G43" s="4744"/>
      <c r="H43" s="4744"/>
      <c r="I43" s="4756"/>
    </row>
    <row r="44" spans="1:11" ht="12" customHeight="1">
      <c r="A44" s="4744" t="s">
        <v>2268</v>
      </c>
      <c r="B44" s="4744"/>
      <c r="C44" s="4744"/>
      <c r="D44" s="4744"/>
      <c r="E44" s="5175">
        <f>VLOOKUP($I$1,DATA!A3:AG288,27,FALSE)</f>
        <v>0</v>
      </c>
      <c r="F44" s="4744"/>
      <c r="G44" s="4745"/>
      <c r="H44" s="4744" t="s">
        <v>1166</v>
      </c>
      <c r="I44" s="4757">
        <f>(I40-I42)*E44</f>
        <v>0</v>
      </c>
      <c r="K44" s="4772"/>
    </row>
    <row r="45" spans="1:11" ht="9" customHeight="1">
      <c r="A45" s="4744"/>
      <c r="B45" s="4744"/>
      <c r="C45" s="4744"/>
      <c r="D45" s="4744"/>
      <c r="E45" s="4744"/>
      <c r="F45" s="4744"/>
      <c r="G45" s="4744"/>
      <c r="H45" s="4744"/>
      <c r="I45" s="4756"/>
    </row>
    <row r="46" spans="1:11" ht="12" customHeight="1">
      <c r="A46" s="4744" t="s">
        <v>2269</v>
      </c>
      <c r="B46" s="4744"/>
      <c r="C46" s="4744"/>
      <c r="D46" s="4744"/>
      <c r="E46" s="4744"/>
      <c r="F46" s="4744"/>
      <c r="G46" s="4744"/>
      <c r="H46" s="4759" t="s">
        <v>2270</v>
      </c>
      <c r="I46" s="4754"/>
    </row>
    <row r="47" spans="1:11" ht="8.1" customHeight="1">
      <c r="A47" s="4744"/>
      <c r="B47" s="4744"/>
      <c r="C47" s="4744"/>
      <c r="D47" s="4744"/>
      <c r="E47" s="4744"/>
      <c r="F47" s="4744"/>
      <c r="G47" s="4744"/>
      <c r="H47" s="4744"/>
      <c r="I47" s="4755"/>
    </row>
    <row r="48" spans="1:11" ht="13.5" customHeight="1">
      <c r="A48" s="4744" t="s">
        <v>2271</v>
      </c>
      <c r="B48" s="4744"/>
      <c r="C48" s="4744"/>
      <c r="D48" s="4744"/>
      <c r="E48" s="4744"/>
      <c r="F48" s="4744"/>
      <c r="G48" s="4744"/>
      <c r="H48" s="4744" t="s">
        <v>2270</v>
      </c>
      <c r="I48" s="4754"/>
    </row>
    <row r="49" spans="1:13" ht="8.1" customHeight="1">
      <c r="A49" s="4744"/>
      <c r="B49" s="4744"/>
      <c r="C49" s="4744"/>
      <c r="D49" s="4744"/>
      <c r="E49" s="4744"/>
      <c r="F49" s="4744"/>
      <c r="G49" s="4744"/>
      <c r="H49" s="4744"/>
      <c r="I49" s="4755"/>
    </row>
    <row r="50" spans="1:13">
      <c r="A50" s="4760" t="s">
        <v>2272</v>
      </c>
      <c r="B50" s="4744"/>
      <c r="C50" s="4744"/>
      <c r="D50" s="4744"/>
      <c r="E50" s="4744"/>
      <c r="F50" s="4744"/>
      <c r="G50" s="4744"/>
      <c r="H50" s="4744" t="s">
        <v>1166</v>
      </c>
      <c r="I50" s="4757">
        <f>IF(I44-(I46+I48)&lt;0,0,I44-(I46+I48))</f>
        <v>0</v>
      </c>
    </row>
    <row r="51" spans="1:13">
      <c r="A51" s="4761" t="str">
        <f>"     (July 1, "&amp;OPEN!$Q$5&amp;" through June 30, "&amp;OPEN!$S$5&amp;") (Line 3 - (Line 4 + Line 5))"</f>
        <v xml:space="preserve">     (July 1, 2016 through June 30, 2017) (Line 3 - (Line 4 + Line 5))</v>
      </c>
      <c r="B51" s="4760"/>
      <c r="C51" s="4760"/>
      <c r="D51" s="4760"/>
      <c r="E51" s="4760"/>
      <c r="F51" s="4760"/>
      <c r="G51" s="4760"/>
      <c r="H51" s="4760"/>
      <c r="I51" s="4760"/>
    </row>
    <row r="52" spans="1:13" ht="6.75" customHeight="1">
      <c r="A52" s="4760"/>
      <c r="B52" s="4760"/>
      <c r="C52" s="4760"/>
      <c r="D52" s="4760"/>
      <c r="E52" s="4760"/>
      <c r="F52" s="4760"/>
      <c r="G52" s="4760"/>
      <c r="H52" s="4760"/>
      <c r="I52" s="4760"/>
    </row>
    <row r="53" spans="1:13">
      <c r="A53" s="4762" t="s">
        <v>2273</v>
      </c>
      <c r="B53" s="4760"/>
      <c r="C53" s="4760"/>
      <c r="D53" s="4760"/>
      <c r="E53" s="4760"/>
      <c r="F53" s="4760"/>
      <c r="G53" s="4760"/>
      <c r="H53" s="4760"/>
      <c r="I53" s="4760"/>
    </row>
    <row r="54" spans="1:13" ht="8.25" customHeight="1">
      <c r="A54" s="4763"/>
      <c r="B54" s="4763"/>
      <c r="C54" s="4763"/>
      <c r="D54" s="4763"/>
      <c r="E54" s="4763"/>
      <c r="F54" s="4763"/>
      <c r="G54" s="4763"/>
      <c r="H54" s="4763"/>
      <c r="I54" s="4763"/>
      <c r="J54" s="4774"/>
      <c r="K54" s="4774"/>
    </row>
    <row r="55" spans="1:13" ht="7.5" customHeight="1">
      <c r="A55" s="4764"/>
      <c r="B55" s="4765"/>
      <c r="C55" s="4765"/>
      <c r="D55" s="4764"/>
      <c r="E55" s="4765"/>
      <c r="F55" s="4765"/>
      <c r="G55" s="4766"/>
      <c r="H55" s="4765"/>
      <c r="I55" s="4767"/>
    </row>
    <row r="56" spans="1:13">
      <c r="A56" s="4768" t="s">
        <v>2479</v>
      </c>
      <c r="B56" s="4768"/>
      <c r="C56" s="4765"/>
      <c r="D56" s="4769"/>
      <c r="E56" s="4765"/>
      <c r="F56" s="4765"/>
      <c r="G56" s="4766" t="s">
        <v>2275</v>
      </c>
      <c r="H56" s="4768"/>
      <c r="I56" s="4770">
        <f>I1</f>
        <v>270</v>
      </c>
    </row>
    <row r="57" spans="1:13">
      <c r="A57" s="4750" t="str">
        <f>A33</f>
        <v>BOND AND INTEREST FUND #1</v>
      </c>
      <c r="B57" s="4751"/>
      <c r="C57" s="4751"/>
      <c r="D57" s="4751"/>
      <c r="E57" s="4751"/>
      <c r="F57" s="4751"/>
      <c r="G57" s="4751"/>
      <c r="H57" s="4751"/>
      <c r="I57" s="4751"/>
    </row>
    <row r="58" spans="1:13">
      <c r="A58" s="4750" t="s">
        <v>2263</v>
      </c>
      <c r="B58" s="4751"/>
      <c r="C58" s="4751"/>
      <c r="D58" s="4751"/>
      <c r="E58" s="4751"/>
      <c r="F58" s="4751"/>
      <c r="G58" s="4751"/>
      <c r="H58" s="4751"/>
      <c r="I58" s="4751"/>
    </row>
    <row r="59" spans="1:13">
      <c r="A59" s="5270" t="s">
        <v>2480</v>
      </c>
      <c r="B59" s="5270"/>
      <c r="C59" s="5270"/>
      <c r="D59" s="5270"/>
      <c r="E59" s="5270"/>
      <c r="F59" s="5270"/>
      <c r="G59" s="5270"/>
      <c r="H59" s="5270"/>
      <c r="I59" s="5270"/>
    </row>
    <row r="60" spans="1:13" ht="6" customHeight="1">
      <c r="A60" s="5011"/>
      <c r="B60" s="5011"/>
      <c r="C60" s="5011"/>
      <c r="D60" s="5011"/>
      <c r="E60" s="5011"/>
      <c r="F60" s="5011"/>
      <c r="G60" s="5011"/>
      <c r="H60" s="5011"/>
      <c r="I60" s="5011"/>
    </row>
    <row r="61" spans="1:13">
      <c r="A61" s="4744" t="s">
        <v>2265</v>
      </c>
      <c r="B61" s="4744"/>
      <c r="C61" s="4744"/>
      <c r="D61" s="4744"/>
      <c r="E61" s="4744"/>
      <c r="F61" s="4744"/>
      <c r="G61" s="4744"/>
      <c r="H61" s="4744"/>
      <c r="I61" s="4744"/>
    </row>
    <row r="62" spans="1:13">
      <c r="A62" s="4744" t="s">
        <v>2266</v>
      </c>
      <c r="B62" s="4744"/>
      <c r="C62" s="4744"/>
      <c r="D62" s="4744"/>
      <c r="E62" s="4744"/>
      <c r="F62" s="4744"/>
      <c r="G62" s="4744"/>
      <c r="H62" s="4744"/>
      <c r="I62" s="4744"/>
    </row>
    <row r="63" spans="1:13" ht="6.75" customHeight="1">
      <c r="A63" s="4744"/>
      <c r="B63" s="4744"/>
      <c r="C63" s="4744"/>
      <c r="D63" s="4744"/>
      <c r="E63" s="4744"/>
      <c r="F63" s="4744"/>
      <c r="G63" s="4744"/>
      <c r="H63" s="4744"/>
      <c r="I63" s="4744"/>
    </row>
    <row r="64" spans="1:13">
      <c r="A64" s="4744" t="str">
        <f>"1.  Estimated "&amp;OPEN!$P$4&amp;" bond and interest fund payments"</f>
        <v>1.  Estimated 2016-2017 bond and interest fund payments</v>
      </c>
      <c r="B64" s="4744"/>
      <c r="C64" s="4744"/>
      <c r="D64" s="4744"/>
      <c r="E64" s="4744"/>
      <c r="F64" s="4744"/>
      <c r="G64" s="4744"/>
      <c r="H64" s="4744" t="s">
        <v>1166</v>
      </c>
      <c r="I64" s="5228"/>
      <c r="M64" s="4771" t="s">
        <v>2645</v>
      </c>
    </row>
    <row r="65" spans="1:13" ht="7.5" customHeight="1">
      <c r="A65" s="4744"/>
      <c r="B65" s="4744"/>
      <c r="C65" s="4744"/>
      <c r="D65" s="4744"/>
      <c r="E65" s="4744"/>
      <c r="F65" s="4744"/>
      <c r="G65" s="4744"/>
      <c r="H65" s="4744"/>
      <c r="I65" s="4755"/>
    </row>
    <row r="66" spans="1:13">
      <c r="A66" s="4744" t="s">
        <v>2267</v>
      </c>
      <c r="B66" s="4744"/>
      <c r="C66" s="4744"/>
      <c r="D66" s="4744"/>
      <c r="E66" s="4744"/>
      <c r="F66" s="4744"/>
      <c r="G66" s="4744"/>
      <c r="H66" s="4744" t="s">
        <v>1166</v>
      </c>
      <c r="I66" s="5228"/>
    </row>
    <row r="67" spans="1:13" ht="6" customHeight="1">
      <c r="A67" s="4744"/>
      <c r="B67" s="4744"/>
      <c r="C67" s="4744"/>
      <c r="D67" s="4744"/>
      <c r="E67" s="4744"/>
      <c r="F67" s="4744"/>
      <c r="G67" s="4744"/>
      <c r="H67" s="4744"/>
      <c r="I67" s="4756"/>
    </row>
    <row r="68" spans="1:13" ht="12" customHeight="1">
      <c r="A68" s="4744" t="s">
        <v>2268</v>
      </c>
      <c r="B68" s="4744"/>
      <c r="C68" s="4744"/>
      <c r="D68" s="4744"/>
      <c r="E68" s="5175">
        <f>VLOOKUP($I$1,DATA!A3:AG288,27,FALSE)</f>
        <v>0</v>
      </c>
      <c r="F68" s="4744" t="str">
        <f>"Pro-rated " &amp; OPEN!O47</f>
        <v>Pro-rated 100%</v>
      </c>
      <c r="G68" s="4745"/>
      <c r="H68" s="4744" t="s">
        <v>1166</v>
      </c>
      <c r="I68" s="4757">
        <f>ROUND((I64-I66)*E68*OPEN!N47,0)</f>
        <v>0</v>
      </c>
      <c r="M68" s="5176" t="s">
        <v>2604</v>
      </c>
    </row>
    <row r="69" spans="1:13" ht="6.75" customHeight="1">
      <c r="A69" s="4744"/>
      <c r="B69" s="4744"/>
      <c r="C69" s="4744"/>
      <c r="D69" s="4744"/>
      <c r="E69" s="4744"/>
      <c r="F69" s="4744"/>
      <c r="G69" s="4744"/>
      <c r="H69" s="4744"/>
      <c r="I69" s="4756"/>
    </row>
    <row r="70" spans="1:13">
      <c r="A70" s="4744" t="s">
        <v>2269</v>
      </c>
      <c r="B70" s="4744"/>
      <c r="C70" s="4744"/>
      <c r="D70" s="4744"/>
      <c r="E70" s="4744"/>
      <c r="F70" s="4744"/>
      <c r="G70" s="4744"/>
      <c r="H70" s="4759" t="s">
        <v>2270</v>
      </c>
      <c r="I70" s="5228"/>
    </row>
    <row r="71" spans="1:13" ht="8.25" customHeight="1">
      <c r="A71" s="4744"/>
      <c r="B71" s="4744"/>
      <c r="C71" s="4744"/>
      <c r="D71" s="4744"/>
      <c r="E71" s="4744"/>
      <c r="F71" s="4744"/>
      <c r="G71" s="4744"/>
      <c r="H71" s="4744"/>
      <c r="I71" s="4755"/>
    </row>
    <row r="72" spans="1:13">
      <c r="A72" s="4744" t="s">
        <v>2271</v>
      </c>
      <c r="B72" s="4744"/>
      <c r="C72" s="4744"/>
      <c r="D72" s="4744"/>
      <c r="E72" s="4744"/>
      <c r="F72" s="4744"/>
      <c r="G72" s="4744"/>
      <c r="H72" s="4744" t="s">
        <v>2270</v>
      </c>
      <c r="I72" s="5228"/>
    </row>
    <row r="73" spans="1:13" ht="7.5" customHeight="1">
      <c r="A73" s="4744"/>
      <c r="B73" s="4744"/>
      <c r="C73" s="4744"/>
      <c r="D73" s="4744"/>
      <c r="E73" s="4744"/>
      <c r="F73" s="4744"/>
      <c r="G73" s="4744"/>
      <c r="H73" s="4744"/>
      <c r="I73" s="4755"/>
    </row>
    <row r="74" spans="1:13">
      <c r="A74" s="4760" t="s">
        <v>2272</v>
      </c>
      <c r="B74" s="4744"/>
      <c r="C74" s="4744"/>
      <c r="D74" s="4744"/>
      <c r="E74" s="4744"/>
      <c r="F74" s="4744"/>
      <c r="G74" s="4744"/>
      <c r="H74" s="4744" t="s">
        <v>1166</v>
      </c>
      <c r="I74" s="4757">
        <f>IF(I68-(I70+I72)&lt;0,0,I68-(I70+I72))</f>
        <v>0</v>
      </c>
    </row>
    <row r="75" spans="1:13">
      <c r="A75" s="4761" t="str">
        <f>"     (July 1, "&amp;OPEN!$Q$5&amp;" through June 30, "&amp;OPEN!$S$5&amp;") (Line 3 - (Line 4 + Line 5))"</f>
        <v xml:space="preserve">     (July 1, 2016 through June 30, 2017) (Line 3 - (Line 4 + Line 5))</v>
      </c>
      <c r="B75" s="4760"/>
      <c r="C75" s="4760"/>
      <c r="D75" s="4760"/>
      <c r="E75" s="4760"/>
      <c r="F75" s="4760"/>
      <c r="G75" s="4760"/>
      <c r="H75" s="4760"/>
      <c r="I75" s="4760"/>
    </row>
    <row r="76" spans="1:13" ht="4.5" customHeight="1">
      <c r="A76" s="4760"/>
      <c r="B76" s="4760"/>
      <c r="C76" s="4760"/>
      <c r="D76" s="4760"/>
      <c r="E76" s="4760"/>
      <c r="F76" s="4760"/>
      <c r="G76" s="4760"/>
      <c r="H76" s="4760"/>
      <c r="I76" s="4760"/>
    </row>
    <row r="77" spans="1:13">
      <c r="A77" s="4762" t="s">
        <v>2273</v>
      </c>
      <c r="B77" s="4760"/>
      <c r="C77" s="4760"/>
      <c r="D77" s="4760"/>
      <c r="E77" s="4760"/>
      <c r="F77" s="4760"/>
      <c r="G77" s="4760"/>
      <c r="H77" s="4760"/>
      <c r="I77" s="4760"/>
    </row>
    <row r="78" spans="1:13">
      <c r="A78" s="4781"/>
      <c r="B78" s="4780"/>
      <c r="C78" s="4566"/>
      <c r="D78" s="4566"/>
      <c r="E78" s="4780"/>
      <c r="G78" s="4776"/>
      <c r="I78" s="4778"/>
    </row>
    <row r="79" spans="1:13">
      <c r="A79" s="4781"/>
      <c r="B79" s="4780"/>
      <c r="C79" s="4566"/>
      <c r="D79" s="4566"/>
      <c r="E79" s="4780"/>
      <c r="G79" s="4776"/>
      <c r="I79" s="4778"/>
    </row>
    <row r="80" spans="1:13">
      <c r="A80" s="4781"/>
      <c r="B80" s="4780"/>
      <c r="C80" s="4566"/>
      <c r="D80" s="4566"/>
      <c r="E80" s="4780"/>
      <c r="G80" s="4776"/>
      <c r="I80" s="4778"/>
    </row>
    <row r="81" spans="1:9">
      <c r="A81" s="4781"/>
      <c r="B81" s="4780"/>
      <c r="C81" s="4566"/>
      <c r="D81" s="4566"/>
      <c r="E81" s="4780"/>
      <c r="G81" s="4776"/>
      <c r="I81" s="4778"/>
    </row>
    <row r="82" spans="1:9">
      <c r="A82" s="4781"/>
      <c r="B82" s="4780"/>
      <c r="C82" s="4566"/>
      <c r="D82" s="4566"/>
      <c r="E82" s="4780"/>
      <c r="G82" s="4776"/>
      <c r="I82" s="4778"/>
    </row>
    <row r="83" spans="1:9">
      <c r="A83" s="4781"/>
      <c r="B83" s="4780"/>
      <c r="C83" s="4566"/>
      <c r="D83" s="4566"/>
      <c r="E83" s="4780"/>
      <c r="G83" s="4776"/>
      <c r="I83" s="4778"/>
    </row>
    <row r="84" spans="1:9">
      <c r="A84" s="4781"/>
      <c r="B84" s="4780"/>
      <c r="C84" s="4566"/>
      <c r="D84" s="4566"/>
      <c r="E84" s="4780"/>
      <c r="G84" s="4776"/>
      <c r="I84" s="4778"/>
    </row>
    <row r="85" spans="1:9">
      <c r="A85" s="4781"/>
      <c r="B85" s="4780"/>
      <c r="C85" s="4566"/>
      <c r="D85" s="4566"/>
      <c r="E85" s="4780"/>
      <c r="G85" s="4776"/>
      <c r="I85" s="4778"/>
    </row>
    <row r="86" spans="1:9">
      <c r="A86" s="4781"/>
      <c r="B86" s="4780"/>
      <c r="C86" s="4566"/>
      <c r="D86" s="4566"/>
      <c r="E86" s="4780"/>
      <c r="G86" s="4776"/>
      <c r="I86" s="4778"/>
    </row>
    <row r="87" spans="1:9">
      <c r="A87" s="4781"/>
      <c r="B87" s="4780"/>
      <c r="C87" s="4566"/>
      <c r="D87" s="4566"/>
      <c r="E87" s="4780"/>
      <c r="G87" s="4776"/>
      <c r="I87" s="4778"/>
    </row>
    <row r="88" spans="1:9">
      <c r="A88" s="4781"/>
      <c r="B88" s="4780"/>
      <c r="C88" s="4566"/>
      <c r="D88" s="4566"/>
      <c r="E88" s="4780"/>
      <c r="G88" s="4776"/>
      <c r="I88" s="4778"/>
    </row>
    <row r="89" spans="1:9">
      <c r="A89" s="4781"/>
      <c r="B89" s="4780"/>
      <c r="C89" s="4566"/>
      <c r="D89" s="4566"/>
      <c r="E89" s="4780"/>
      <c r="G89" s="4776"/>
      <c r="I89" s="4778"/>
    </row>
    <row r="90" spans="1:9">
      <c r="A90" s="4781"/>
      <c r="B90" s="4780"/>
      <c r="C90" s="4566"/>
      <c r="D90" s="4566"/>
      <c r="E90" s="4780"/>
      <c r="G90" s="4776"/>
      <c r="I90" s="4778"/>
    </row>
    <row r="91" spans="1:9">
      <c r="A91" s="4781"/>
      <c r="B91" s="4780"/>
      <c r="C91" s="4566"/>
      <c r="D91" s="4566"/>
      <c r="E91" s="4780"/>
      <c r="G91" s="4776"/>
      <c r="I91" s="4778"/>
    </row>
    <row r="92" spans="1:9">
      <c r="A92" s="4781"/>
      <c r="B92" s="4780"/>
      <c r="C92" s="4566"/>
      <c r="D92" s="4566"/>
      <c r="E92" s="4780"/>
      <c r="G92" s="4776"/>
      <c r="I92" s="4778"/>
    </row>
    <row r="93" spans="1:9">
      <c r="A93" s="4781"/>
      <c r="B93" s="4780"/>
      <c r="C93" s="4566"/>
      <c r="D93" s="4566"/>
      <c r="E93" s="4780"/>
      <c r="G93" s="4776"/>
      <c r="I93" s="4778"/>
    </row>
    <row r="94" spans="1:9">
      <c r="A94" s="4781"/>
      <c r="B94" s="4780"/>
      <c r="C94" s="4566"/>
      <c r="D94" s="4566"/>
      <c r="E94" s="4780"/>
      <c r="G94" s="4776"/>
      <c r="I94" s="4778"/>
    </row>
    <row r="95" spans="1:9">
      <c r="A95" s="4781"/>
      <c r="B95" s="4780"/>
      <c r="C95" s="4566"/>
      <c r="D95" s="4566"/>
      <c r="E95" s="4780"/>
      <c r="G95" s="4776"/>
      <c r="I95" s="4778"/>
    </row>
    <row r="96" spans="1:9">
      <c r="A96" s="4781"/>
      <c r="B96" s="4780"/>
      <c r="C96" s="4566"/>
      <c r="D96" s="4566"/>
      <c r="E96" s="4780"/>
      <c r="G96" s="4776"/>
      <c r="I96" s="4778"/>
    </row>
    <row r="97" spans="1:9">
      <c r="A97" s="4781"/>
      <c r="B97" s="4780"/>
      <c r="C97" s="4566"/>
      <c r="D97" s="4566"/>
      <c r="E97" s="4780"/>
      <c r="G97" s="4776"/>
      <c r="I97" s="4778"/>
    </row>
    <row r="98" spans="1:9">
      <c r="A98" s="4781"/>
      <c r="B98" s="4780"/>
      <c r="C98" s="4566"/>
      <c r="D98" s="4566"/>
      <c r="E98" s="4780"/>
      <c r="G98" s="4776"/>
      <c r="I98" s="4778"/>
    </row>
    <row r="99" spans="1:9">
      <c r="A99" s="4781"/>
      <c r="B99" s="4780"/>
      <c r="C99" s="4566"/>
      <c r="D99" s="4566"/>
      <c r="E99" s="4780"/>
      <c r="G99" s="4776"/>
      <c r="I99" s="4778"/>
    </row>
    <row r="100" spans="1:9">
      <c r="A100" s="4781"/>
      <c r="B100" s="4780"/>
      <c r="C100" s="4566"/>
      <c r="D100" s="4566"/>
      <c r="E100" s="4780"/>
      <c r="G100" s="4776"/>
      <c r="I100" s="4778"/>
    </row>
    <row r="101" spans="1:9">
      <c r="A101" s="4781"/>
      <c r="B101" s="4780"/>
      <c r="C101" s="4566"/>
      <c r="D101" s="4566"/>
      <c r="E101" s="4780"/>
      <c r="G101" s="4776"/>
      <c r="I101" s="4778"/>
    </row>
    <row r="102" spans="1:9">
      <c r="A102" s="4781"/>
      <c r="B102" s="4780"/>
      <c r="C102" s="4566"/>
      <c r="D102" s="4566"/>
      <c r="E102" s="4780"/>
      <c r="G102" s="4776"/>
      <c r="I102" s="4778"/>
    </row>
    <row r="103" spans="1:9">
      <c r="A103" s="4781"/>
      <c r="B103" s="4780"/>
      <c r="C103" s="4566"/>
      <c r="D103" s="4566"/>
      <c r="E103" s="4780"/>
      <c r="G103" s="4776"/>
      <c r="I103" s="4778"/>
    </row>
    <row r="104" spans="1:9">
      <c r="A104" s="4781"/>
      <c r="B104" s="4780"/>
      <c r="C104" s="4566"/>
      <c r="D104" s="4566"/>
      <c r="E104" s="4780"/>
      <c r="G104" s="4776"/>
      <c r="I104" s="4778"/>
    </row>
    <row r="105" spans="1:9">
      <c r="A105" s="4781"/>
      <c r="B105" s="4780"/>
      <c r="C105" s="4566"/>
      <c r="D105" s="4566"/>
      <c r="E105" s="4780"/>
      <c r="G105" s="4776"/>
      <c r="I105" s="4778"/>
    </row>
    <row r="106" spans="1:9">
      <c r="A106" s="4781"/>
      <c r="B106" s="4780"/>
      <c r="C106" s="4566"/>
      <c r="D106" s="4566"/>
      <c r="E106" s="4780"/>
      <c r="G106" s="4776"/>
      <c r="I106" s="4778"/>
    </row>
    <row r="107" spans="1:9">
      <c r="A107" s="4781"/>
      <c r="B107" s="4780"/>
      <c r="C107" s="4566"/>
      <c r="D107" s="4566"/>
      <c r="E107" s="4780"/>
      <c r="G107" s="4776"/>
      <c r="I107" s="4778"/>
    </row>
    <row r="108" spans="1:9">
      <c r="A108" s="4781"/>
      <c r="B108" s="4780"/>
      <c r="C108" s="4566"/>
      <c r="D108" s="4566"/>
      <c r="E108" s="4780"/>
      <c r="G108" s="4776"/>
      <c r="I108" s="4778"/>
    </row>
    <row r="109" spans="1:9">
      <c r="A109" s="4781"/>
      <c r="B109" s="4780"/>
      <c r="C109" s="4566"/>
      <c r="D109" s="4566"/>
      <c r="E109" s="4780"/>
      <c r="G109" s="4776"/>
      <c r="I109" s="4778"/>
    </row>
    <row r="110" spans="1:9">
      <c r="A110" s="4781"/>
      <c r="B110" s="4780"/>
      <c r="C110" s="4566"/>
      <c r="D110" s="4566"/>
      <c r="E110" s="4780"/>
      <c r="G110" s="4776"/>
      <c r="I110" s="4778"/>
    </row>
    <row r="111" spans="1:9">
      <c r="A111" s="4781"/>
      <c r="B111" s="4780"/>
      <c r="C111" s="4566"/>
      <c r="D111" s="4566"/>
      <c r="E111" s="4780"/>
      <c r="G111" s="4776"/>
      <c r="I111" s="4778"/>
    </row>
    <row r="112" spans="1:9">
      <c r="A112" s="4781"/>
      <c r="B112" s="4780"/>
      <c r="C112" s="4566"/>
      <c r="D112" s="4566"/>
      <c r="E112" s="4780"/>
      <c r="G112" s="4776"/>
      <c r="I112" s="4778"/>
    </row>
    <row r="113" spans="1:9">
      <c r="A113" s="4781"/>
      <c r="B113" s="4780"/>
      <c r="C113" s="4566"/>
      <c r="D113" s="4566"/>
      <c r="E113" s="4780"/>
      <c r="G113" s="4776"/>
      <c r="I113" s="4778"/>
    </row>
    <row r="114" spans="1:9">
      <c r="A114" s="4781"/>
      <c r="B114" s="4780"/>
      <c r="C114" s="4566"/>
      <c r="D114" s="4566"/>
      <c r="E114" s="4780"/>
      <c r="G114" s="4776"/>
      <c r="I114" s="4778"/>
    </row>
    <row r="115" spans="1:9">
      <c r="A115" s="4781"/>
      <c r="B115" s="4780"/>
      <c r="C115" s="4566"/>
      <c r="D115" s="4566"/>
      <c r="E115" s="4780"/>
      <c r="G115" s="4776"/>
      <c r="I115" s="4778"/>
    </row>
    <row r="116" spans="1:9">
      <c r="A116" s="4781"/>
      <c r="B116" s="4780"/>
      <c r="C116" s="4566"/>
      <c r="D116" s="4566"/>
      <c r="E116" s="4780"/>
      <c r="G116" s="4776"/>
      <c r="I116" s="4778"/>
    </row>
    <row r="117" spans="1:9">
      <c r="A117" s="4781"/>
      <c r="B117" s="4780"/>
      <c r="C117" s="4566"/>
      <c r="D117" s="4566"/>
      <c r="E117" s="4780"/>
      <c r="G117" s="4776"/>
      <c r="I117" s="4778"/>
    </row>
    <row r="118" spans="1:9">
      <c r="A118" s="4781"/>
      <c r="B118" s="4780"/>
      <c r="C118" s="4566"/>
      <c r="D118" s="4566"/>
      <c r="E118" s="4780"/>
      <c r="G118" s="4776"/>
      <c r="I118" s="4778"/>
    </row>
    <row r="119" spans="1:9">
      <c r="A119" s="4781"/>
      <c r="B119" s="4780"/>
      <c r="C119" s="4566"/>
      <c r="D119" s="4566"/>
      <c r="E119" s="4780"/>
      <c r="G119" s="4776"/>
      <c r="I119" s="4778"/>
    </row>
    <row r="120" spans="1:9">
      <c r="A120" s="4781"/>
      <c r="B120" s="4780"/>
      <c r="C120" s="4566"/>
      <c r="D120" s="4566"/>
      <c r="E120" s="4780"/>
      <c r="G120" s="4776"/>
      <c r="I120" s="4778"/>
    </row>
    <row r="121" spans="1:9">
      <c r="A121" s="4781"/>
      <c r="B121" s="4780"/>
      <c r="C121" s="4566"/>
      <c r="D121" s="4566"/>
      <c r="E121" s="4780"/>
      <c r="G121" s="4776"/>
      <c r="I121" s="4778"/>
    </row>
    <row r="122" spans="1:9">
      <c r="A122" s="4781"/>
      <c r="B122" s="4780"/>
      <c r="C122" s="4566"/>
      <c r="D122" s="4566"/>
      <c r="E122" s="4780"/>
      <c r="G122" s="4776"/>
      <c r="I122" s="4778"/>
    </row>
    <row r="123" spans="1:9">
      <c r="A123" s="4781"/>
      <c r="B123" s="4780"/>
      <c r="C123" s="4566"/>
      <c r="D123" s="4566"/>
      <c r="E123" s="4780"/>
      <c r="G123" s="4776"/>
      <c r="I123" s="4778"/>
    </row>
    <row r="124" spans="1:9">
      <c r="A124" s="4782"/>
      <c r="B124" s="4783"/>
      <c r="C124" s="4784"/>
      <c r="D124" s="4784"/>
      <c r="E124" s="4780"/>
      <c r="G124" s="4776"/>
      <c r="I124" s="4778"/>
    </row>
    <row r="125" spans="1:9">
      <c r="A125" s="4781"/>
      <c r="B125" s="4780"/>
      <c r="C125" s="4566"/>
      <c r="D125" s="4566"/>
      <c r="E125" s="4780"/>
      <c r="G125" s="4776"/>
      <c r="I125" s="4778"/>
    </row>
    <row r="126" spans="1:9">
      <c r="A126" s="4781"/>
      <c r="B126" s="4780"/>
      <c r="C126" s="4566"/>
      <c r="D126" s="4566"/>
      <c r="E126" s="4780"/>
      <c r="G126" s="4776"/>
      <c r="I126" s="4778"/>
    </row>
    <row r="127" spans="1:9">
      <c r="A127" s="4781"/>
      <c r="B127" s="4780"/>
      <c r="C127" s="4566"/>
      <c r="D127" s="4566"/>
      <c r="E127" s="4780"/>
      <c r="G127" s="4776"/>
      <c r="I127" s="4778"/>
    </row>
    <row r="128" spans="1:9">
      <c r="A128" s="4781"/>
      <c r="B128" s="4780"/>
      <c r="C128" s="4566"/>
      <c r="D128" s="4566"/>
      <c r="E128" s="4780"/>
      <c r="G128" s="4776"/>
      <c r="I128" s="4778"/>
    </row>
    <row r="129" spans="1:9">
      <c r="A129" s="4781"/>
      <c r="B129" s="4780"/>
      <c r="C129" s="4566"/>
      <c r="D129" s="4566"/>
      <c r="E129" s="4780"/>
      <c r="G129" s="4776"/>
      <c r="I129" s="4778"/>
    </row>
    <row r="130" spans="1:9">
      <c r="A130" s="4781"/>
      <c r="B130" s="4780"/>
      <c r="C130" s="4566"/>
      <c r="D130" s="4566"/>
      <c r="E130" s="4780"/>
      <c r="G130" s="4776"/>
      <c r="I130" s="4778"/>
    </row>
    <row r="131" spans="1:9">
      <c r="A131" s="4781"/>
      <c r="B131" s="4780"/>
      <c r="C131" s="4566"/>
      <c r="D131" s="4566"/>
      <c r="E131" s="4780"/>
      <c r="G131" s="4776"/>
      <c r="I131" s="4778"/>
    </row>
    <row r="132" spans="1:9">
      <c r="A132" s="4781"/>
      <c r="B132" s="4780"/>
      <c r="C132" s="4566"/>
      <c r="D132" s="4566"/>
      <c r="E132" s="4780"/>
      <c r="G132" s="4776"/>
      <c r="I132" s="4778"/>
    </row>
    <row r="133" spans="1:9">
      <c r="A133" s="4781"/>
      <c r="B133" s="4780"/>
      <c r="C133" s="4566"/>
      <c r="D133" s="4566"/>
      <c r="E133" s="4780"/>
      <c r="G133" s="4776"/>
      <c r="I133" s="4778"/>
    </row>
    <row r="134" spans="1:9">
      <c r="A134" s="4781"/>
      <c r="B134" s="4780"/>
      <c r="C134" s="4566"/>
      <c r="D134" s="4566"/>
      <c r="E134" s="4780"/>
      <c r="G134" s="4776"/>
      <c r="I134" s="4778"/>
    </row>
    <row r="135" spans="1:9">
      <c r="A135" s="4781"/>
      <c r="B135" s="4780"/>
      <c r="C135" s="4566"/>
      <c r="D135" s="4566"/>
      <c r="E135" s="4780"/>
      <c r="G135" s="4776"/>
      <c r="I135" s="4778"/>
    </row>
    <row r="136" spans="1:9">
      <c r="A136" s="4781"/>
      <c r="B136" s="4780"/>
      <c r="C136" s="4566"/>
      <c r="D136" s="4566"/>
      <c r="E136" s="4780"/>
      <c r="G136" s="4776"/>
      <c r="I136" s="4778"/>
    </row>
    <row r="137" spans="1:9">
      <c r="A137" s="4781"/>
      <c r="B137" s="4780"/>
      <c r="C137" s="4566"/>
      <c r="D137" s="4566"/>
      <c r="E137" s="4780"/>
      <c r="G137" s="4776"/>
      <c r="I137" s="4778"/>
    </row>
    <row r="138" spans="1:9">
      <c r="A138" s="4781"/>
      <c r="B138" s="4780"/>
      <c r="C138" s="4566"/>
      <c r="D138" s="4566"/>
      <c r="E138" s="4780"/>
      <c r="G138" s="4776"/>
      <c r="I138" s="4778"/>
    </row>
    <row r="139" spans="1:9">
      <c r="A139" s="4781"/>
      <c r="B139" s="4780"/>
      <c r="C139" s="4566"/>
      <c r="D139" s="4566"/>
      <c r="E139" s="4780"/>
      <c r="G139" s="4776"/>
      <c r="I139" s="4778"/>
    </row>
    <row r="140" spans="1:9">
      <c r="A140" s="4781"/>
      <c r="B140" s="4780"/>
      <c r="C140" s="4566"/>
      <c r="D140" s="4566"/>
      <c r="E140" s="4780"/>
      <c r="G140" s="4776"/>
      <c r="I140" s="4778"/>
    </row>
    <row r="141" spans="1:9">
      <c r="A141" s="4781"/>
      <c r="B141" s="4780"/>
      <c r="C141" s="4566"/>
      <c r="D141" s="4566"/>
      <c r="E141" s="4780"/>
      <c r="G141" s="4776"/>
      <c r="I141" s="4778"/>
    </row>
    <row r="142" spans="1:9">
      <c r="A142" s="4781"/>
      <c r="B142" s="4780"/>
      <c r="C142" s="4566"/>
      <c r="D142" s="4566"/>
      <c r="E142" s="4780"/>
      <c r="G142" s="4776"/>
      <c r="I142" s="4778"/>
    </row>
    <row r="143" spans="1:9">
      <c r="A143" s="4785"/>
      <c r="B143" s="4786"/>
      <c r="C143" s="4787"/>
      <c r="D143" s="4787"/>
      <c r="E143" s="4780"/>
      <c r="G143" s="4776"/>
      <c r="I143" s="4778"/>
    </row>
    <row r="144" spans="1:9">
      <c r="A144" s="4781"/>
      <c r="B144" s="4780"/>
      <c r="C144" s="4566"/>
      <c r="D144" s="4566"/>
      <c r="E144" s="4780"/>
      <c r="G144" s="4776"/>
      <c r="I144" s="4778"/>
    </row>
    <row r="145" spans="1:9">
      <c r="A145" s="4781"/>
      <c r="B145" s="4780"/>
      <c r="C145" s="4566"/>
      <c r="D145" s="4566"/>
      <c r="E145" s="4780"/>
      <c r="G145" s="4776"/>
      <c r="I145" s="4778"/>
    </row>
    <row r="146" spans="1:9">
      <c r="A146" s="4781"/>
      <c r="B146" s="4780"/>
      <c r="C146" s="4566"/>
      <c r="D146" s="4566"/>
      <c r="E146" s="4780"/>
      <c r="G146" s="4776"/>
      <c r="I146" s="4778"/>
    </row>
    <row r="147" spans="1:9">
      <c r="A147" s="4781"/>
      <c r="B147" s="4780"/>
      <c r="C147" s="4566"/>
      <c r="D147" s="4566"/>
      <c r="E147" s="4780"/>
      <c r="G147" s="4776"/>
      <c r="I147" s="4778"/>
    </row>
    <row r="148" spans="1:9">
      <c r="A148" s="4781"/>
      <c r="B148" s="4780"/>
      <c r="C148" s="4566"/>
      <c r="D148" s="4566"/>
      <c r="E148" s="4780"/>
      <c r="G148" s="4776"/>
      <c r="I148" s="4778"/>
    </row>
    <row r="149" spans="1:9">
      <c r="A149" s="4781"/>
      <c r="B149" s="4780"/>
      <c r="C149" s="4566"/>
      <c r="D149" s="4566"/>
      <c r="E149" s="4780"/>
      <c r="G149" s="4776"/>
      <c r="I149" s="4778"/>
    </row>
    <row r="150" spans="1:9">
      <c r="A150" s="4781"/>
      <c r="B150" s="4780"/>
      <c r="C150" s="4566"/>
      <c r="D150" s="4566"/>
      <c r="E150" s="4780"/>
      <c r="G150" s="4776"/>
      <c r="I150" s="4778"/>
    </row>
    <row r="151" spans="1:9">
      <c r="A151" s="4781"/>
      <c r="B151" s="4780"/>
      <c r="C151" s="4566"/>
      <c r="D151" s="4566"/>
      <c r="E151" s="4780"/>
      <c r="G151" s="4776"/>
      <c r="I151" s="4778"/>
    </row>
    <row r="152" spans="1:9">
      <c r="A152" s="4781"/>
      <c r="B152" s="4780"/>
      <c r="C152" s="4566"/>
      <c r="D152" s="4566"/>
      <c r="E152" s="4780"/>
      <c r="G152" s="4776"/>
      <c r="I152" s="4778"/>
    </row>
    <row r="153" spans="1:9">
      <c r="A153" s="4781"/>
      <c r="B153" s="4780"/>
      <c r="C153" s="4566"/>
      <c r="D153" s="4566"/>
      <c r="E153" s="4780"/>
      <c r="G153" s="4776"/>
      <c r="I153" s="4778"/>
    </row>
    <row r="154" spans="1:9">
      <c r="A154" s="4781"/>
      <c r="B154" s="4780"/>
      <c r="C154" s="4566"/>
      <c r="D154" s="4566"/>
      <c r="E154" s="4780"/>
      <c r="G154" s="4776"/>
      <c r="I154" s="4778"/>
    </row>
    <row r="155" spans="1:9">
      <c r="A155" s="4781"/>
      <c r="B155" s="4780"/>
      <c r="C155" s="4566"/>
      <c r="D155" s="4566"/>
      <c r="E155" s="4780"/>
      <c r="G155" s="4776"/>
      <c r="I155" s="4778"/>
    </row>
    <row r="156" spans="1:9">
      <c r="A156" s="4781"/>
      <c r="B156" s="4780"/>
      <c r="C156" s="4566"/>
      <c r="D156" s="4566"/>
      <c r="E156" s="4780"/>
      <c r="G156" s="4776"/>
      <c r="I156" s="4778"/>
    </row>
    <row r="157" spans="1:9">
      <c r="A157" s="4781"/>
      <c r="B157" s="4780"/>
      <c r="C157" s="4566"/>
      <c r="D157" s="4566"/>
      <c r="E157" s="4780"/>
      <c r="G157" s="4776"/>
      <c r="I157" s="4778"/>
    </row>
    <row r="158" spans="1:9">
      <c r="A158" s="4781"/>
      <c r="B158" s="4780"/>
      <c r="C158" s="4566"/>
      <c r="D158" s="4566"/>
      <c r="E158" s="4780"/>
      <c r="G158" s="4776"/>
      <c r="I158" s="4778"/>
    </row>
    <row r="159" spans="1:9">
      <c r="A159" s="4781"/>
      <c r="B159" s="4780"/>
      <c r="C159" s="4566"/>
      <c r="D159" s="4566"/>
      <c r="E159" s="4780"/>
      <c r="G159" s="4776"/>
      <c r="I159" s="4778"/>
    </row>
    <row r="160" spans="1:9">
      <c r="A160" s="4781"/>
      <c r="B160" s="4780"/>
      <c r="C160" s="4566"/>
      <c r="D160" s="4566"/>
      <c r="E160" s="4780"/>
      <c r="G160" s="4776"/>
      <c r="I160" s="4778"/>
    </row>
    <row r="161" spans="1:9">
      <c r="A161" s="4781"/>
      <c r="B161" s="4780"/>
      <c r="C161" s="4566"/>
      <c r="D161" s="4566"/>
      <c r="E161" s="4780"/>
      <c r="G161" s="4776"/>
      <c r="I161" s="4778"/>
    </row>
    <row r="162" spans="1:9">
      <c r="A162" s="4781"/>
      <c r="B162" s="4780"/>
      <c r="C162" s="4566"/>
      <c r="D162" s="4566"/>
      <c r="E162" s="4780"/>
      <c r="G162" s="4776"/>
      <c r="I162" s="4778"/>
    </row>
    <row r="163" spans="1:9">
      <c r="A163" s="4781"/>
      <c r="B163" s="4780"/>
      <c r="C163" s="4566"/>
      <c r="D163" s="4566"/>
      <c r="E163" s="4780"/>
      <c r="G163" s="4776"/>
      <c r="I163" s="4778"/>
    </row>
    <row r="164" spans="1:9">
      <c r="A164" s="4781"/>
      <c r="B164" s="4780"/>
      <c r="C164" s="4566"/>
      <c r="D164" s="4566"/>
      <c r="E164" s="4780"/>
      <c r="G164" s="4776"/>
      <c r="I164" s="4778"/>
    </row>
    <row r="165" spans="1:9">
      <c r="A165" s="4781"/>
      <c r="B165" s="4780"/>
      <c r="C165" s="4566"/>
      <c r="D165" s="4566"/>
      <c r="E165" s="4780"/>
      <c r="G165" s="4776"/>
      <c r="I165" s="4778"/>
    </row>
    <row r="166" spans="1:9">
      <c r="A166" s="4781"/>
      <c r="B166" s="4780"/>
      <c r="C166" s="4566"/>
      <c r="D166" s="4566"/>
      <c r="E166" s="4780"/>
      <c r="G166" s="4776"/>
      <c r="I166" s="4778"/>
    </row>
    <row r="167" spans="1:9">
      <c r="A167" s="4781"/>
      <c r="B167" s="4780"/>
      <c r="C167" s="4566"/>
      <c r="D167" s="4566"/>
      <c r="E167" s="4780"/>
      <c r="G167" s="4776"/>
      <c r="I167" s="4778"/>
    </row>
    <row r="168" spans="1:9">
      <c r="A168" s="4781"/>
      <c r="B168" s="4780"/>
      <c r="C168" s="4566"/>
      <c r="D168" s="4566"/>
      <c r="E168" s="4780"/>
      <c r="G168" s="4776"/>
      <c r="I168" s="4778"/>
    </row>
    <row r="169" spans="1:9">
      <c r="A169" s="4781"/>
      <c r="B169" s="4780"/>
      <c r="C169" s="4566"/>
      <c r="D169" s="4566"/>
      <c r="E169" s="4780"/>
      <c r="G169" s="4776"/>
      <c r="I169" s="4778"/>
    </row>
    <row r="170" spans="1:9">
      <c r="A170" s="4781"/>
      <c r="B170" s="4780"/>
      <c r="C170" s="4566"/>
      <c r="D170" s="4566"/>
      <c r="E170" s="4780"/>
      <c r="G170" s="4776"/>
      <c r="I170" s="4778"/>
    </row>
    <row r="171" spans="1:9">
      <c r="A171" s="4781"/>
      <c r="B171" s="4780"/>
      <c r="C171" s="4566"/>
      <c r="D171" s="4566"/>
      <c r="E171" s="4780"/>
      <c r="G171" s="4776"/>
      <c r="I171" s="4778"/>
    </row>
    <row r="172" spans="1:9">
      <c r="A172" s="4781"/>
      <c r="B172" s="4780"/>
      <c r="C172" s="4566"/>
      <c r="D172" s="4566"/>
      <c r="E172" s="4780"/>
      <c r="G172" s="4776"/>
      <c r="I172" s="4778"/>
    </row>
    <row r="173" spans="1:9">
      <c r="A173" s="4781"/>
      <c r="B173" s="4780"/>
      <c r="C173" s="4566"/>
      <c r="D173" s="4566"/>
      <c r="E173" s="4780"/>
      <c r="G173" s="4776"/>
      <c r="I173" s="4778"/>
    </row>
    <row r="174" spans="1:9">
      <c r="A174" s="4781"/>
      <c r="B174" s="4780"/>
      <c r="C174" s="4566"/>
      <c r="D174" s="4566"/>
      <c r="E174" s="4780"/>
      <c r="G174" s="4776"/>
      <c r="I174" s="4778"/>
    </row>
    <row r="175" spans="1:9">
      <c r="A175" s="4781"/>
      <c r="B175" s="4780"/>
      <c r="C175" s="4566"/>
      <c r="D175" s="4566"/>
      <c r="E175" s="4780"/>
      <c r="G175" s="4776"/>
      <c r="I175" s="4778"/>
    </row>
    <row r="176" spans="1:9">
      <c r="A176" s="4781"/>
      <c r="B176" s="4780"/>
      <c r="C176" s="4566"/>
      <c r="D176" s="4566"/>
      <c r="E176" s="4780"/>
      <c r="G176" s="4776"/>
      <c r="I176" s="4778"/>
    </row>
    <row r="177" spans="1:9">
      <c r="A177" s="4781"/>
      <c r="B177" s="4780"/>
      <c r="C177" s="4566"/>
      <c r="D177" s="4566"/>
      <c r="E177" s="4780"/>
      <c r="G177" s="4776"/>
      <c r="I177" s="4778"/>
    </row>
    <row r="178" spans="1:9">
      <c r="A178" s="4781"/>
      <c r="B178" s="4780"/>
      <c r="C178" s="4566"/>
      <c r="D178" s="4566"/>
      <c r="E178" s="4780"/>
      <c r="G178" s="4776"/>
      <c r="I178" s="4778"/>
    </row>
    <row r="179" spans="1:9">
      <c r="A179" s="4781"/>
      <c r="B179" s="4780"/>
      <c r="C179" s="4566"/>
      <c r="D179" s="4566"/>
      <c r="E179" s="4780"/>
      <c r="G179" s="4776"/>
      <c r="I179" s="4778"/>
    </row>
    <row r="180" spans="1:9">
      <c r="A180" s="4781"/>
      <c r="B180" s="4780"/>
      <c r="C180" s="4566"/>
      <c r="D180" s="4566"/>
      <c r="E180" s="4780"/>
      <c r="G180" s="4776"/>
      <c r="I180" s="4778"/>
    </row>
    <row r="181" spans="1:9">
      <c r="A181" s="4781"/>
      <c r="B181" s="4780"/>
      <c r="C181" s="4566"/>
      <c r="D181" s="4566"/>
      <c r="E181" s="4780"/>
      <c r="G181" s="4776"/>
      <c r="I181" s="4778"/>
    </row>
    <row r="182" spans="1:9">
      <c r="A182" s="4781"/>
      <c r="B182" s="4780"/>
      <c r="C182" s="4566"/>
      <c r="D182" s="4566"/>
      <c r="E182" s="4780"/>
      <c r="G182" s="4776"/>
      <c r="I182" s="4778"/>
    </row>
    <row r="183" spans="1:9">
      <c r="A183" s="4781"/>
      <c r="B183" s="4780"/>
      <c r="C183" s="4566"/>
      <c r="D183" s="4566"/>
      <c r="E183" s="4780"/>
      <c r="G183" s="4776"/>
      <c r="I183" s="4778"/>
    </row>
    <row r="184" spans="1:9">
      <c r="A184" s="4781"/>
      <c r="B184" s="4780"/>
      <c r="C184" s="4566"/>
      <c r="D184" s="4566"/>
      <c r="E184" s="4780"/>
      <c r="G184" s="4776"/>
      <c r="I184" s="4778"/>
    </row>
    <row r="185" spans="1:9">
      <c r="A185" s="4781"/>
      <c r="B185" s="4780"/>
      <c r="C185" s="4566"/>
      <c r="D185" s="4566"/>
      <c r="E185" s="4780"/>
      <c r="G185" s="4776"/>
      <c r="I185" s="4778"/>
    </row>
    <row r="186" spans="1:9">
      <c r="A186" s="4781"/>
      <c r="B186" s="4780"/>
      <c r="C186" s="4566"/>
      <c r="D186" s="4566"/>
      <c r="E186" s="4780"/>
      <c r="G186" s="4776"/>
      <c r="I186" s="4778"/>
    </row>
    <row r="187" spans="1:9">
      <c r="A187" s="4781"/>
      <c r="B187" s="4780"/>
      <c r="C187" s="4566"/>
      <c r="D187" s="4566"/>
      <c r="E187" s="4780"/>
      <c r="G187" s="4776"/>
      <c r="I187" s="4778"/>
    </row>
    <row r="188" spans="1:9">
      <c r="A188" s="4781"/>
      <c r="B188" s="4780"/>
      <c r="C188" s="4566"/>
      <c r="D188" s="4566"/>
      <c r="E188" s="4780"/>
      <c r="G188" s="4776"/>
      <c r="I188" s="4778"/>
    </row>
    <row r="189" spans="1:9">
      <c r="A189" s="4781"/>
      <c r="B189" s="4780"/>
      <c r="C189" s="4566"/>
      <c r="D189" s="4566"/>
      <c r="E189" s="4780"/>
      <c r="G189" s="4776"/>
      <c r="I189" s="4778"/>
    </row>
    <row r="190" spans="1:9">
      <c r="A190" s="4781"/>
      <c r="B190" s="4780"/>
      <c r="C190" s="4566"/>
      <c r="D190" s="4566"/>
      <c r="E190" s="4780"/>
      <c r="G190" s="4776"/>
      <c r="I190" s="4778"/>
    </row>
    <row r="191" spans="1:9">
      <c r="A191" s="4781"/>
      <c r="B191" s="4780"/>
      <c r="C191" s="4566"/>
      <c r="D191" s="4566"/>
      <c r="E191" s="4780"/>
      <c r="G191" s="4776"/>
      <c r="I191" s="4778"/>
    </row>
    <row r="192" spans="1:9">
      <c r="A192" s="4781"/>
      <c r="B192" s="4780"/>
      <c r="C192" s="4566"/>
      <c r="D192" s="4566"/>
      <c r="E192" s="4780"/>
      <c r="G192" s="4776"/>
      <c r="I192" s="4778"/>
    </row>
    <row r="193" spans="1:9">
      <c r="A193" s="4781"/>
      <c r="B193" s="4780"/>
      <c r="C193" s="4566"/>
      <c r="D193" s="4566"/>
      <c r="E193" s="4780"/>
      <c r="G193" s="4776"/>
      <c r="I193" s="4778"/>
    </row>
    <row r="194" spans="1:9">
      <c r="A194" s="4781"/>
      <c r="B194" s="4780"/>
      <c r="C194" s="4566"/>
      <c r="D194" s="4566"/>
      <c r="E194" s="4780"/>
      <c r="G194" s="4776"/>
      <c r="I194" s="4778"/>
    </row>
    <row r="195" spans="1:9">
      <c r="A195" s="4781"/>
      <c r="B195" s="4780"/>
      <c r="C195" s="4566"/>
      <c r="D195" s="4566"/>
      <c r="E195" s="4780"/>
      <c r="G195" s="4776"/>
      <c r="I195" s="4778"/>
    </row>
    <row r="196" spans="1:9">
      <c r="A196" s="4781"/>
      <c r="B196" s="4780"/>
      <c r="C196" s="4566"/>
      <c r="D196" s="4566"/>
      <c r="E196" s="4780"/>
      <c r="G196" s="4776"/>
      <c r="I196" s="4778"/>
    </row>
    <row r="197" spans="1:9">
      <c r="A197" s="4781"/>
      <c r="B197" s="4780"/>
      <c r="C197" s="4566"/>
      <c r="D197" s="4566"/>
      <c r="E197" s="4780"/>
      <c r="G197" s="4776"/>
      <c r="I197" s="4778"/>
    </row>
    <row r="198" spans="1:9">
      <c r="A198" s="4781"/>
      <c r="B198" s="4780"/>
      <c r="C198" s="4566"/>
      <c r="D198" s="4566"/>
      <c r="E198" s="4780"/>
      <c r="G198" s="4776"/>
      <c r="I198" s="4778"/>
    </row>
    <row r="199" spans="1:9">
      <c r="A199" s="4781"/>
      <c r="B199" s="4780"/>
      <c r="C199" s="4566"/>
      <c r="D199" s="4566"/>
      <c r="E199" s="4780"/>
      <c r="G199" s="4776"/>
      <c r="I199" s="4778"/>
    </row>
    <row r="200" spans="1:9">
      <c r="A200" s="4781"/>
      <c r="B200" s="4780"/>
      <c r="C200" s="4566"/>
      <c r="D200" s="4566"/>
      <c r="E200" s="4780"/>
      <c r="G200" s="4776"/>
      <c r="I200" s="4778"/>
    </row>
    <row r="201" spans="1:9">
      <c r="A201" s="4781"/>
      <c r="B201" s="4780"/>
      <c r="C201" s="4566"/>
      <c r="D201" s="4566"/>
      <c r="E201" s="4780"/>
      <c r="G201" s="4776"/>
      <c r="I201" s="4778"/>
    </row>
    <row r="202" spans="1:9">
      <c r="A202" s="4781"/>
      <c r="B202" s="4780"/>
      <c r="C202" s="4566"/>
      <c r="D202" s="4566"/>
      <c r="E202" s="4780"/>
      <c r="G202" s="4776"/>
      <c r="I202" s="4778"/>
    </row>
    <row r="203" spans="1:9">
      <c r="A203" s="4781"/>
      <c r="B203" s="4780"/>
      <c r="C203" s="4566"/>
      <c r="D203" s="4566"/>
      <c r="E203" s="4780"/>
      <c r="G203" s="4776"/>
      <c r="I203" s="4778"/>
    </row>
    <row r="204" spans="1:9">
      <c r="A204" s="4781"/>
      <c r="B204" s="4780"/>
      <c r="C204" s="4566"/>
      <c r="D204" s="4566"/>
      <c r="E204" s="4780"/>
      <c r="G204" s="4776"/>
      <c r="I204" s="4778"/>
    </row>
    <row r="205" spans="1:9">
      <c r="A205" s="4781"/>
      <c r="B205" s="4780"/>
      <c r="C205" s="4566"/>
      <c r="D205" s="4566"/>
      <c r="E205" s="4780"/>
      <c r="G205" s="4776"/>
      <c r="I205" s="4778"/>
    </row>
    <row r="206" spans="1:9">
      <c r="A206" s="4781"/>
      <c r="B206" s="4780"/>
      <c r="C206" s="4566"/>
      <c r="D206" s="4566"/>
      <c r="E206" s="4780"/>
      <c r="G206" s="4776"/>
      <c r="I206" s="4778"/>
    </row>
    <row r="207" spans="1:9">
      <c r="A207" s="4781"/>
      <c r="B207" s="4780"/>
      <c r="C207" s="4566"/>
      <c r="D207" s="4566"/>
      <c r="E207" s="4780"/>
      <c r="G207" s="4776"/>
      <c r="I207" s="4778"/>
    </row>
    <row r="208" spans="1:9">
      <c r="A208" s="4781"/>
      <c r="B208" s="4780"/>
      <c r="C208" s="4566"/>
      <c r="D208" s="4566"/>
      <c r="E208" s="4780"/>
      <c r="G208" s="4776"/>
      <c r="I208" s="4778"/>
    </row>
    <row r="209" spans="1:9">
      <c r="A209" s="4781"/>
      <c r="B209" s="4780"/>
      <c r="C209" s="4566"/>
      <c r="D209" s="4566"/>
      <c r="E209" s="4780"/>
      <c r="G209" s="4776"/>
      <c r="I209" s="4778"/>
    </row>
    <row r="210" spans="1:9">
      <c r="A210" s="4781"/>
      <c r="B210" s="4780"/>
      <c r="C210" s="4566"/>
      <c r="D210" s="4566"/>
      <c r="E210" s="4780"/>
      <c r="G210" s="4776"/>
      <c r="I210" s="4778"/>
    </row>
    <row r="211" spans="1:9">
      <c r="A211" s="4781"/>
      <c r="B211" s="4780"/>
      <c r="C211" s="4566"/>
      <c r="D211" s="4566"/>
      <c r="E211" s="4780"/>
      <c r="G211" s="4776"/>
      <c r="I211" s="4778"/>
    </row>
    <row r="212" spans="1:9">
      <c r="A212" s="4781"/>
      <c r="B212" s="4780"/>
      <c r="C212" s="4566"/>
      <c r="D212" s="4566"/>
      <c r="E212" s="4780"/>
      <c r="G212" s="4776"/>
      <c r="I212" s="4778"/>
    </row>
    <row r="213" spans="1:9">
      <c r="A213" s="4781"/>
      <c r="B213" s="4780"/>
      <c r="C213" s="4566"/>
      <c r="D213" s="4566"/>
      <c r="E213" s="4780"/>
      <c r="G213" s="4776"/>
      <c r="I213" s="4778"/>
    </row>
    <row r="214" spans="1:9">
      <c r="A214" s="4781"/>
      <c r="B214" s="4780"/>
      <c r="C214" s="4566"/>
      <c r="D214" s="4566"/>
      <c r="E214" s="4780"/>
      <c r="G214" s="4776"/>
      <c r="I214" s="4778"/>
    </row>
    <row r="215" spans="1:9">
      <c r="A215" s="4781"/>
      <c r="B215" s="4780"/>
      <c r="C215" s="4566"/>
      <c r="D215" s="4566"/>
      <c r="E215" s="4780"/>
      <c r="G215" s="4776"/>
      <c r="I215" s="4778"/>
    </row>
    <row r="216" spans="1:9">
      <c r="A216" s="4781"/>
      <c r="B216" s="4780"/>
      <c r="C216" s="4566"/>
      <c r="D216" s="4566"/>
      <c r="E216" s="4780"/>
      <c r="G216" s="4776"/>
      <c r="I216" s="4778"/>
    </row>
    <row r="217" spans="1:9">
      <c r="A217" s="4781"/>
      <c r="B217" s="4780"/>
      <c r="C217" s="4566"/>
      <c r="D217" s="4566"/>
      <c r="E217" s="4780"/>
      <c r="G217" s="4776"/>
      <c r="I217" s="4778"/>
    </row>
    <row r="218" spans="1:9">
      <c r="A218" s="4781"/>
      <c r="B218" s="4780"/>
      <c r="C218" s="4566"/>
      <c r="D218" s="4566"/>
      <c r="E218" s="4780"/>
      <c r="G218" s="4776"/>
      <c r="I218" s="4778"/>
    </row>
    <row r="219" spans="1:9">
      <c r="A219" s="4781"/>
      <c r="B219" s="4780"/>
      <c r="C219" s="4566"/>
      <c r="D219" s="4566"/>
      <c r="E219" s="4780"/>
      <c r="G219" s="4776"/>
      <c r="I219" s="4778"/>
    </row>
    <row r="220" spans="1:9">
      <c r="A220" s="4781"/>
      <c r="B220" s="4780"/>
      <c r="C220" s="4566"/>
      <c r="D220" s="4566"/>
      <c r="E220" s="4780"/>
      <c r="G220" s="4776"/>
      <c r="I220" s="4778"/>
    </row>
    <row r="221" spans="1:9">
      <c r="A221" s="4781"/>
      <c r="B221" s="4780"/>
      <c r="C221" s="4566"/>
      <c r="D221" s="4566"/>
      <c r="E221" s="4780"/>
      <c r="G221" s="4776"/>
      <c r="I221" s="4778"/>
    </row>
    <row r="222" spans="1:9">
      <c r="A222" s="4781"/>
      <c r="B222" s="4780"/>
      <c r="C222" s="4566"/>
      <c r="D222" s="4566"/>
      <c r="E222" s="4780"/>
      <c r="G222" s="4776"/>
      <c r="I222" s="4778"/>
    </row>
    <row r="223" spans="1:9">
      <c r="A223" s="4781"/>
      <c r="B223" s="4780"/>
      <c r="C223" s="4566"/>
      <c r="D223" s="4566"/>
      <c r="E223" s="4780"/>
      <c r="G223" s="4776"/>
      <c r="I223" s="4778"/>
    </row>
    <row r="224" spans="1:9">
      <c r="A224" s="4781"/>
      <c r="B224" s="4780"/>
      <c r="C224" s="4566"/>
      <c r="D224" s="4566"/>
      <c r="E224" s="4780"/>
      <c r="G224" s="4776"/>
      <c r="I224" s="4778"/>
    </row>
    <row r="225" spans="1:9">
      <c r="A225" s="4781"/>
      <c r="B225" s="4780"/>
      <c r="C225" s="4566"/>
      <c r="D225" s="4566"/>
      <c r="E225" s="4780"/>
      <c r="G225" s="4776"/>
      <c r="I225" s="4778"/>
    </row>
    <row r="226" spans="1:9">
      <c r="A226" s="4781"/>
      <c r="B226" s="4780"/>
      <c r="C226" s="4566"/>
      <c r="D226" s="4566"/>
      <c r="E226" s="4780"/>
      <c r="G226" s="4776"/>
      <c r="I226" s="4778"/>
    </row>
    <row r="227" spans="1:9">
      <c r="A227" s="4781"/>
      <c r="B227" s="4780"/>
      <c r="C227" s="4566"/>
      <c r="D227" s="4566"/>
      <c r="E227" s="4780"/>
      <c r="G227" s="4776"/>
      <c r="I227" s="4778"/>
    </row>
    <row r="228" spans="1:9">
      <c r="A228" s="4781"/>
      <c r="B228" s="4780"/>
      <c r="C228" s="4566"/>
      <c r="D228" s="4566"/>
      <c r="E228" s="4780"/>
      <c r="G228" s="4776"/>
      <c r="I228" s="4778"/>
    </row>
    <row r="229" spans="1:9">
      <c r="A229" s="4781"/>
      <c r="B229" s="4780"/>
      <c r="C229" s="4566"/>
      <c r="D229" s="4566"/>
      <c r="E229" s="4780"/>
      <c r="G229" s="4776"/>
      <c r="I229" s="4778"/>
    </row>
    <row r="230" spans="1:9">
      <c r="A230" s="4781"/>
      <c r="B230" s="4780"/>
      <c r="C230" s="4566"/>
      <c r="D230" s="4566"/>
      <c r="E230" s="4780"/>
      <c r="G230" s="4776"/>
      <c r="I230" s="4778"/>
    </row>
    <row r="231" spans="1:9">
      <c r="A231" s="4781"/>
      <c r="B231" s="4780"/>
      <c r="C231" s="4566"/>
      <c r="D231" s="4566"/>
      <c r="E231" s="4780"/>
      <c r="G231" s="4776"/>
      <c r="I231" s="4778"/>
    </row>
    <row r="232" spans="1:9">
      <c r="A232" s="4781"/>
      <c r="B232" s="4780"/>
      <c r="C232" s="4566"/>
      <c r="D232" s="4566"/>
      <c r="E232" s="4780"/>
      <c r="G232" s="4776"/>
      <c r="I232" s="4778"/>
    </row>
    <row r="233" spans="1:9">
      <c r="A233" s="4781"/>
      <c r="B233" s="4780"/>
      <c r="C233" s="4566"/>
      <c r="D233" s="4566"/>
      <c r="E233" s="4780"/>
      <c r="G233" s="4776"/>
      <c r="I233" s="4778"/>
    </row>
    <row r="234" spans="1:9">
      <c r="A234" s="4781"/>
      <c r="B234" s="4780"/>
      <c r="C234" s="4566"/>
      <c r="D234" s="4566"/>
      <c r="E234" s="4780"/>
      <c r="G234" s="4776"/>
      <c r="I234" s="4778"/>
    </row>
    <row r="235" spans="1:9">
      <c r="A235" s="4781"/>
      <c r="B235" s="4780"/>
      <c r="C235" s="4566"/>
      <c r="D235" s="4566"/>
      <c r="E235" s="4780"/>
      <c r="G235" s="4776"/>
      <c r="I235" s="4778"/>
    </row>
    <row r="236" spans="1:9">
      <c r="A236" s="4781"/>
      <c r="B236" s="4780"/>
      <c r="C236" s="4566"/>
      <c r="D236" s="4566"/>
      <c r="E236" s="4780"/>
      <c r="G236" s="4776"/>
      <c r="I236" s="4778"/>
    </row>
    <row r="237" spans="1:9">
      <c r="A237" s="4781"/>
      <c r="B237" s="4780"/>
      <c r="C237" s="4566"/>
      <c r="D237" s="4566"/>
      <c r="E237" s="4780"/>
      <c r="G237" s="4776"/>
      <c r="I237" s="4778"/>
    </row>
    <row r="238" spans="1:9">
      <c r="A238" s="4781"/>
      <c r="B238" s="4780"/>
      <c r="C238" s="4566"/>
      <c r="D238" s="4566"/>
      <c r="E238" s="4780"/>
      <c r="G238" s="4776"/>
      <c r="I238" s="4778"/>
    </row>
    <row r="239" spans="1:9">
      <c r="A239" s="4785"/>
      <c r="B239" s="4786"/>
      <c r="C239" s="4787"/>
      <c r="D239" s="4787"/>
      <c r="E239" s="4780"/>
      <c r="G239" s="4776"/>
      <c r="I239" s="4778"/>
    </row>
    <row r="240" spans="1:9">
      <c r="A240" s="4781"/>
      <c r="B240" s="4780"/>
      <c r="C240" s="4566"/>
      <c r="D240" s="4566"/>
      <c r="E240" s="4780"/>
      <c r="G240" s="4776"/>
      <c r="I240" s="4778"/>
    </row>
    <row r="241" spans="1:9">
      <c r="A241" s="4781"/>
      <c r="B241" s="4780"/>
      <c r="C241" s="4566"/>
      <c r="D241" s="4566"/>
      <c r="E241" s="4780"/>
      <c r="G241" s="4776"/>
      <c r="I241" s="4778"/>
    </row>
    <row r="242" spans="1:9">
      <c r="A242" s="4781"/>
      <c r="B242" s="4780"/>
      <c r="C242" s="4566"/>
      <c r="D242" s="4566"/>
      <c r="E242" s="4780"/>
      <c r="G242" s="4776"/>
      <c r="I242" s="4778"/>
    </row>
    <row r="243" spans="1:9">
      <c r="A243" s="4781"/>
      <c r="B243" s="4780"/>
      <c r="C243" s="4566"/>
      <c r="D243" s="4566"/>
      <c r="E243" s="4780"/>
      <c r="G243" s="4776"/>
      <c r="I243" s="4778"/>
    </row>
    <row r="244" spans="1:9">
      <c r="A244" s="4781"/>
      <c r="B244" s="4780"/>
      <c r="C244" s="4566"/>
      <c r="D244" s="4566"/>
      <c r="E244" s="4780"/>
      <c r="G244" s="4776"/>
      <c r="I244" s="4778"/>
    </row>
    <row r="245" spans="1:9">
      <c r="A245" s="4781"/>
      <c r="B245" s="4780"/>
      <c r="C245" s="4566"/>
      <c r="D245" s="4566"/>
      <c r="E245" s="4780"/>
      <c r="G245" s="4776"/>
      <c r="I245" s="4778"/>
    </row>
    <row r="246" spans="1:9">
      <c r="A246" s="4781"/>
      <c r="B246" s="4780"/>
      <c r="C246" s="4566"/>
      <c r="D246" s="4566"/>
      <c r="E246" s="4780"/>
      <c r="G246" s="4776"/>
      <c r="I246" s="4778"/>
    </row>
    <row r="247" spans="1:9">
      <c r="A247" s="4781"/>
      <c r="B247" s="4780"/>
      <c r="C247" s="4566"/>
      <c r="D247" s="4566"/>
      <c r="E247" s="4780"/>
      <c r="G247" s="4776"/>
      <c r="I247" s="4778"/>
    </row>
    <row r="248" spans="1:9">
      <c r="A248" s="4781"/>
      <c r="B248" s="4780"/>
      <c r="C248" s="4566"/>
      <c r="D248" s="4566"/>
      <c r="E248" s="4780"/>
      <c r="G248" s="4776"/>
      <c r="I248" s="4778"/>
    </row>
    <row r="249" spans="1:9">
      <c r="A249" s="4781"/>
      <c r="B249" s="4780"/>
      <c r="C249" s="4566"/>
      <c r="D249" s="4566"/>
      <c r="E249" s="4780"/>
      <c r="G249" s="4776"/>
      <c r="I249" s="4778"/>
    </row>
    <row r="250" spans="1:9">
      <c r="A250" s="4781"/>
      <c r="B250" s="4780"/>
      <c r="C250" s="4566"/>
      <c r="D250" s="4566"/>
      <c r="E250" s="4780"/>
      <c r="G250" s="4776"/>
      <c r="I250" s="4778"/>
    </row>
    <row r="251" spans="1:9">
      <c r="A251" s="4781"/>
      <c r="B251" s="4780"/>
      <c r="C251" s="4566"/>
      <c r="D251" s="4566"/>
      <c r="E251" s="4780"/>
      <c r="G251" s="4776"/>
      <c r="I251" s="4778"/>
    </row>
    <row r="252" spans="1:9">
      <c r="A252" s="4781"/>
      <c r="B252" s="4780"/>
      <c r="C252" s="4566"/>
      <c r="D252" s="4566"/>
      <c r="E252" s="4780"/>
      <c r="G252" s="4776"/>
      <c r="I252" s="4778"/>
    </row>
    <row r="253" spans="1:9">
      <c r="A253" s="4781"/>
      <c r="B253" s="4780"/>
      <c r="C253" s="4566"/>
      <c r="D253" s="4566"/>
      <c r="E253" s="4780"/>
      <c r="G253" s="4776"/>
      <c r="I253" s="4778"/>
    </row>
    <row r="254" spans="1:9">
      <c r="A254" s="4781"/>
      <c r="B254" s="4780"/>
      <c r="C254" s="4566"/>
      <c r="D254" s="4566"/>
      <c r="E254" s="4780"/>
      <c r="G254" s="4776"/>
      <c r="I254" s="4778"/>
    </row>
    <row r="255" spans="1:9">
      <c r="A255" s="4781"/>
      <c r="B255" s="4780"/>
      <c r="C255" s="4566"/>
      <c r="D255" s="4566"/>
      <c r="E255" s="4780"/>
      <c r="G255" s="4776"/>
      <c r="I255" s="4778"/>
    </row>
    <row r="256" spans="1:9">
      <c r="A256" s="4781"/>
      <c r="B256" s="4780"/>
      <c r="C256" s="4566"/>
      <c r="D256" s="4566"/>
      <c r="E256" s="4780"/>
      <c r="G256" s="4776"/>
      <c r="I256" s="4778"/>
    </row>
    <row r="257" spans="1:9">
      <c r="A257" s="4781"/>
      <c r="B257" s="4780"/>
      <c r="C257" s="4566"/>
      <c r="D257" s="4566"/>
      <c r="E257" s="4780"/>
      <c r="G257" s="4776"/>
      <c r="I257" s="4778"/>
    </row>
    <row r="258" spans="1:9">
      <c r="A258" s="4781"/>
      <c r="B258" s="4780"/>
      <c r="C258" s="4566"/>
      <c r="D258" s="4566"/>
      <c r="E258" s="4780"/>
      <c r="G258" s="4776"/>
      <c r="I258" s="4778"/>
    </row>
    <row r="259" spans="1:9">
      <c r="A259" s="4781"/>
      <c r="B259" s="4780"/>
      <c r="C259" s="4566"/>
      <c r="D259" s="4566"/>
      <c r="E259" s="4780"/>
      <c r="G259" s="4776"/>
      <c r="I259" s="4778"/>
    </row>
    <row r="260" spans="1:9">
      <c r="A260" s="4781"/>
      <c r="B260" s="4780"/>
      <c r="C260" s="4566"/>
      <c r="D260" s="4566"/>
      <c r="E260" s="4780"/>
      <c r="G260" s="4776"/>
      <c r="I260" s="4778"/>
    </row>
    <row r="261" spans="1:9">
      <c r="A261" s="4781"/>
      <c r="B261" s="4780"/>
      <c r="C261" s="4566"/>
      <c r="D261" s="4566"/>
      <c r="E261" s="4780"/>
      <c r="G261" s="4776"/>
      <c r="I261" s="4778"/>
    </row>
    <row r="262" spans="1:9">
      <c r="A262" s="4781"/>
      <c r="B262" s="4780"/>
      <c r="C262" s="4566"/>
      <c r="D262" s="4566"/>
      <c r="E262" s="4780"/>
      <c r="G262" s="4776"/>
      <c r="I262" s="4778"/>
    </row>
    <row r="263" spans="1:9">
      <c r="A263" s="4781"/>
      <c r="B263" s="4780"/>
      <c r="C263" s="4566"/>
      <c r="D263" s="4566"/>
      <c r="E263" s="4780"/>
      <c r="G263" s="4776"/>
      <c r="I263" s="4778"/>
    </row>
    <row r="264" spans="1:9">
      <c r="A264" s="4781"/>
      <c r="B264" s="4780"/>
      <c r="C264" s="4566"/>
      <c r="D264" s="4566"/>
      <c r="E264" s="4780"/>
      <c r="G264" s="4776"/>
      <c r="I264" s="4778"/>
    </row>
    <row r="265" spans="1:9">
      <c r="A265" s="4781"/>
      <c r="B265" s="4780"/>
      <c r="C265" s="4566"/>
      <c r="D265" s="4566"/>
      <c r="E265" s="4780"/>
      <c r="G265" s="4776"/>
      <c r="I265" s="4778"/>
    </row>
    <row r="266" spans="1:9">
      <c r="A266" s="4781"/>
      <c r="B266" s="4780"/>
      <c r="C266" s="4566"/>
      <c r="D266" s="4566"/>
      <c r="E266" s="4780"/>
      <c r="G266" s="4776"/>
      <c r="I266" s="4778"/>
    </row>
    <row r="267" spans="1:9">
      <c r="A267" s="4781"/>
      <c r="B267" s="4780"/>
      <c r="C267" s="4566"/>
      <c r="D267" s="4566"/>
      <c r="E267" s="4780"/>
      <c r="G267" s="4776"/>
      <c r="I267" s="4778"/>
    </row>
    <row r="268" spans="1:9">
      <c r="A268" s="4781"/>
      <c r="B268" s="4780"/>
      <c r="C268" s="4566"/>
      <c r="D268" s="4566"/>
      <c r="E268" s="4780"/>
      <c r="G268" s="4776"/>
      <c r="I268" s="4778"/>
    </row>
    <row r="269" spans="1:9">
      <c r="A269" s="4781"/>
      <c r="B269" s="4780"/>
      <c r="C269" s="4566"/>
      <c r="D269" s="4566"/>
      <c r="E269" s="4780"/>
      <c r="G269" s="4776"/>
      <c r="I269" s="4778"/>
    </row>
    <row r="270" spans="1:9">
      <c r="A270" s="4781"/>
      <c r="B270" s="4780"/>
      <c r="C270" s="4566"/>
      <c r="D270" s="4566"/>
      <c r="E270" s="4780"/>
      <c r="G270" s="4776"/>
      <c r="I270" s="4778"/>
    </row>
    <row r="271" spans="1:9">
      <c r="A271" s="4781"/>
      <c r="B271" s="4780"/>
      <c r="C271" s="4566"/>
      <c r="D271" s="4566"/>
      <c r="E271" s="4780"/>
      <c r="G271" s="4776"/>
      <c r="I271" s="4778"/>
    </row>
    <row r="272" spans="1:9">
      <c r="A272" s="4781"/>
      <c r="B272" s="4780"/>
      <c r="C272" s="4566"/>
      <c r="D272" s="4566"/>
      <c r="E272" s="4780"/>
      <c r="G272" s="4776"/>
      <c r="I272" s="4778"/>
    </row>
    <row r="273" spans="1:9">
      <c r="A273" s="4781"/>
      <c r="B273" s="4780"/>
      <c r="C273" s="4566"/>
      <c r="D273" s="4566"/>
      <c r="E273" s="4780"/>
      <c r="G273" s="4776"/>
      <c r="I273" s="4778"/>
    </row>
    <row r="274" spans="1:9">
      <c r="A274" s="4781"/>
      <c r="B274" s="4780"/>
      <c r="C274" s="4784"/>
      <c r="D274" s="4784"/>
      <c r="E274" s="4780"/>
      <c r="G274" s="4776"/>
      <c r="I274" s="4778"/>
    </row>
    <row r="275" spans="1:9">
      <c r="A275" s="4781"/>
      <c r="B275" s="4780"/>
      <c r="C275" s="4566"/>
      <c r="D275" s="4566"/>
      <c r="E275" s="4780"/>
      <c r="G275" s="4776"/>
      <c r="I275" s="4778"/>
    </row>
    <row r="276" spans="1:9">
      <c r="A276" s="4781"/>
      <c r="B276" s="4780"/>
      <c r="C276" s="4566"/>
      <c r="D276" s="4566"/>
      <c r="E276" s="4780"/>
      <c r="G276" s="4776"/>
      <c r="I276" s="4778"/>
    </row>
    <row r="277" spans="1:9">
      <c r="A277" s="4781"/>
      <c r="B277" s="4780"/>
      <c r="C277" s="4566"/>
      <c r="D277" s="4566"/>
      <c r="E277" s="4780"/>
      <c r="G277" s="4776"/>
      <c r="I277" s="4778"/>
    </row>
    <row r="278" spans="1:9">
      <c r="A278" s="4781"/>
      <c r="B278" s="4780"/>
      <c r="C278" s="4566"/>
      <c r="D278" s="4566"/>
      <c r="E278" s="4780"/>
      <c r="G278" s="4776"/>
      <c r="I278" s="4778"/>
    </row>
    <row r="279" spans="1:9">
      <c r="A279" s="4781"/>
      <c r="B279" s="4780"/>
      <c r="C279" s="4566"/>
      <c r="D279" s="4566"/>
      <c r="E279" s="4780"/>
      <c r="G279" s="4776"/>
      <c r="I279" s="4778"/>
    </row>
    <row r="280" spans="1:9">
      <c r="A280" s="4781"/>
      <c r="B280" s="4780"/>
      <c r="C280" s="4566"/>
      <c r="D280" s="4566"/>
      <c r="E280" s="4780"/>
      <c r="G280" s="4776"/>
      <c r="I280" s="4778"/>
    </row>
    <row r="281" spans="1:9">
      <c r="A281" s="4781"/>
      <c r="B281" s="4780"/>
      <c r="C281" s="4566"/>
      <c r="D281" s="4566"/>
      <c r="E281" s="4779"/>
      <c r="G281" s="4776"/>
      <c r="I281" s="4778"/>
    </row>
    <row r="282" spans="1:9">
      <c r="A282" s="4781"/>
      <c r="B282" s="4780"/>
      <c r="C282" s="4566"/>
      <c r="D282" s="4566"/>
      <c r="E282" s="4780"/>
      <c r="G282" s="4776"/>
      <c r="I282" s="4778"/>
    </row>
    <row r="283" spans="1:9">
      <c r="A283" s="4781"/>
      <c r="B283" s="4780"/>
      <c r="C283" s="4566"/>
      <c r="D283" s="4566"/>
      <c r="E283" s="4780"/>
      <c r="G283" s="4776"/>
      <c r="I283" s="4778"/>
    </row>
    <row r="284" spans="1:9">
      <c r="A284" s="4781"/>
      <c r="B284" s="4780"/>
      <c r="C284" s="4566"/>
      <c r="D284" s="4566"/>
      <c r="E284" s="4780"/>
      <c r="G284" s="4776"/>
      <c r="I284" s="4778"/>
    </row>
    <row r="285" spans="1:9">
      <c r="A285" s="4781"/>
      <c r="B285" s="4780"/>
      <c r="C285" s="4566"/>
      <c r="D285" s="4566"/>
      <c r="E285" s="4780"/>
      <c r="G285" s="4776"/>
      <c r="I285" s="4778"/>
    </row>
    <row r="286" spans="1:9">
      <c r="A286" s="4781"/>
      <c r="B286" s="4780"/>
      <c r="C286" s="4566"/>
      <c r="D286" s="4566"/>
      <c r="E286" s="4780"/>
      <c r="G286" s="4776"/>
      <c r="I286" s="4778"/>
    </row>
    <row r="287" spans="1:9">
      <c r="A287" s="4781"/>
      <c r="B287" s="4780"/>
      <c r="C287" s="4566"/>
      <c r="D287" s="4566"/>
      <c r="E287" s="4780"/>
      <c r="G287" s="4776"/>
      <c r="I287" s="4778"/>
    </row>
    <row r="288" spans="1:9">
      <c r="A288" s="4781"/>
      <c r="B288" s="4780"/>
      <c r="C288" s="4566"/>
      <c r="D288" s="4566"/>
      <c r="E288" s="4780"/>
      <c r="G288" s="4776"/>
      <c r="I288" s="4778"/>
    </row>
    <row r="289" spans="1:9">
      <c r="A289" s="4781"/>
      <c r="B289" s="4780"/>
      <c r="C289" s="4566"/>
      <c r="D289" s="4566"/>
      <c r="E289" s="4780"/>
      <c r="G289" s="4776"/>
      <c r="I289" s="4778"/>
    </row>
    <row r="290" spans="1:9">
      <c r="A290" s="4781"/>
      <c r="B290" s="4780"/>
      <c r="C290" s="4566"/>
      <c r="D290" s="4566"/>
      <c r="E290" s="4780"/>
      <c r="G290" s="4776"/>
      <c r="I290" s="4778"/>
    </row>
    <row r="291" spans="1:9">
      <c r="A291" s="4781"/>
      <c r="B291" s="4780"/>
      <c r="C291" s="4566"/>
      <c r="D291" s="4566"/>
      <c r="E291" s="4780"/>
      <c r="G291" s="4776"/>
      <c r="I291" s="4778"/>
    </row>
    <row r="292" spans="1:9">
      <c r="A292" s="4781"/>
      <c r="B292" s="4780"/>
      <c r="C292" s="4566"/>
      <c r="D292" s="4566"/>
      <c r="E292" s="4780"/>
      <c r="G292" s="4776"/>
      <c r="I292" s="4778"/>
    </row>
    <row r="293" spans="1:9">
      <c r="A293" s="4781"/>
      <c r="B293" s="4780"/>
      <c r="C293" s="4566"/>
      <c r="D293" s="4566"/>
      <c r="E293" s="4780"/>
      <c r="G293" s="4776"/>
      <c r="I293" s="4778"/>
    </row>
    <row r="294" spans="1:9">
      <c r="A294" s="4781"/>
      <c r="B294" s="4780"/>
      <c r="C294" s="4566"/>
      <c r="D294" s="4566"/>
      <c r="E294" s="4780"/>
      <c r="G294" s="4776"/>
      <c r="I294" s="4778"/>
    </row>
    <row r="295" spans="1:9">
      <c r="A295" s="4781"/>
      <c r="B295" s="4780"/>
      <c r="C295" s="4566"/>
      <c r="D295" s="4566"/>
      <c r="E295" s="4780"/>
      <c r="G295" s="4776"/>
      <c r="I295" s="4778"/>
    </row>
    <row r="296" spans="1:9">
      <c r="A296" s="4781"/>
      <c r="B296" s="4780"/>
      <c r="C296" s="4566"/>
      <c r="D296" s="4566"/>
      <c r="E296" s="4780"/>
      <c r="G296" s="4776"/>
      <c r="I296" s="4778"/>
    </row>
    <row r="297" spans="1:9">
      <c r="A297" s="4781"/>
      <c r="B297" s="4780"/>
      <c r="C297" s="4566"/>
      <c r="D297" s="4566"/>
      <c r="E297" s="4780"/>
      <c r="G297" s="4776"/>
      <c r="I297" s="4778"/>
    </row>
    <row r="298" spans="1:9">
      <c r="A298" s="4781"/>
      <c r="B298" s="4780"/>
      <c r="C298" s="4566"/>
      <c r="D298" s="4566"/>
      <c r="E298" s="4780"/>
      <c r="G298" s="4776"/>
      <c r="I298" s="4778"/>
    </row>
    <row r="299" spans="1:9">
      <c r="A299" s="4781"/>
      <c r="B299" s="4780"/>
      <c r="C299" s="4566"/>
      <c r="D299" s="4566"/>
      <c r="E299" s="4780"/>
      <c r="G299" s="4776"/>
      <c r="I299" s="4778"/>
    </row>
    <row r="300" spans="1:9">
      <c r="A300" s="4781"/>
      <c r="B300" s="4780"/>
      <c r="C300" s="4566"/>
      <c r="D300" s="4566"/>
      <c r="E300" s="4780"/>
      <c r="G300" s="4776"/>
      <c r="I300" s="4778"/>
    </row>
    <row r="301" spans="1:9">
      <c r="A301" s="4781"/>
      <c r="B301" s="4780"/>
      <c r="C301" s="4566"/>
      <c r="D301" s="4566"/>
      <c r="E301" s="4780"/>
      <c r="G301" s="4776"/>
      <c r="I301" s="4778"/>
    </row>
    <row r="302" spans="1:9">
      <c r="A302" s="4781"/>
      <c r="B302" s="4780"/>
      <c r="C302" s="4566"/>
      <c r="D302" s="4566"/>
      <c r="E302" s="4780"/>
      <c r="G302" s="4776"/>
      <c r="I302" s="4778"/>
    </row>
    <row r="303" spans="1:9">
      <c r="A303" s="4781"/>
      <c r="B303" s="4780"/>
      <c r="C303" s="4566"/>
      <c r="D303" s="4566"/>
      <c r="E303" s="4780"/>
      <c r="G303" s="4776"/>
      <c r="I303" s="4778"/>
    </row>
    <row r="304" spans="1:9">
      <c r="A304" s="4781"/>
      <c r="B304" s="4780"/>
      <c r="C304" s="4566"/>
      <c r="D304" s="4566"/>
      <c r="E304" s="4780"/>
      <c r="G304" s="4776"/>
      <c r="I304" s="4778"/>
    </row>
    <row r="305" spans="1:9">
      <c r="A305" s="4781"/>
      <c r="B305" s="4780"/>
      <c r="C305" s="4566"/>
      <c r="D305" s="4566"/>
      <c r="E305" s="4780"/>
      <c r="G305" s="4776"/>
      <c r="I305" s="4778"/>
    </row>
    <row r="306" spans="1:9">
      <c r="A306" s="4781"/>
      <c r="B306" s="4780"/>
      <c r="C306" s="4566"/>
      <c r="D306" s="4566"/>
      <c r="E306" s="4780"/>
      <c r="G306" s="4776"/>
      <c r="I306" s="4778"/>
    </row>
    <row r="307" spans="1:9">
      <c r="A307" s="4781"/>
      <c r="B307" s="4780"/>
      <c r="C307" s="4566"/>
      <c r="D307" s="4566"/>
      <c r="E307" s="4780"/>
      <c r="G307" s="4776"/>
      <c r="I307" s="4778"/>
    </row>
    <row r="308" spans="1:9">
      <c r="A308" s="4781"/>
      <c r="B308" s="4780"/>
      <c r="C308" s="4566"/>
      <c r="D308" s="4566"/>
      <c r="E308" s="4780"/>
      <c r="G308" s="4776"/>
      <c r="I308" s="4778"/>
    </row>
    <row r="309" spans="1:9">
      <c r="A309" s="4781"/>
      <c r="B309" s="4780"/>
      <c r="C309" s="4566"/>
      <c r="D309" s="4566"/>
      <c r="E309" s="4780"/>
      <c r="G309" s="4776"/>
      <c r="I309" s="4778"/>
    </row>
    <row r="310" spans="1:9">
      <c r="A310" s="4781"/>
      <c r="B310" s="4780"/>
      <c r="C310" s="4566"/>
      <c r="D310" s="4566"/>
      <c r="E310" s="4780"/>
      <c r="G310" s="4776"/>
      <c r="I310" s="4778"/>
    </row>
    <row r="311" spans="1:9">
      <c r="A311" s="4781"/>
      <c r="B311" s="4780"/>
      <c r="C311" s="4566"/>
      <c r="D311" s="4566"/>
      <c r="E311" s="4780"/>
      <c r="G311" s="4776"/>
      <c r="I311" s="4778"/>
    </row>
    <row r="312" spans="1:9">
      <c r="A312" s="4781"/>
      <c r="B312" s="4780"/>
      <c r="C312" s="4566"/>
      <c r="D312" s="4566"/>
      <c r="E312" s="4780"/>
      <c r="G312" s="4776"/>
      <c r="I312" s="4778"/>
    </row>
    <row r="313" spans="1:9">
      <c r="A313" s="4781"/>
      <c r="B313" s="4780"/>
      <c r="C313" s="4566"/>
      <c r="D313" s="4566"/>
      <c r="E313" s="4780"/>
      <c r="G313" s="4776"/>
      <c r="I313" s="4778"/>
    </row>
    <row r="314" spans="1:9">
      <c r="A314" s="4781"/>
      <c r="B314" s="4780"/>
      <c r="C314" s="4566"/>
      <c r="D314" s="4566"/>
      <c r="E314" s="4780"/>
      <c r="G314" s="4776"/>
      <c r="I314" s="4778"/>
    </row>
    <row r="315" spans="1:9">
      <c r="A315" s="4781"/>
      <c r="B315" s="4780"/>
      <c r="C315" s="4566"/>
      <c r="D315" s="4566"/>
      <c r="E315" s="4780"/>
      <c r="G315" s="4776"/>
      <c r="I315" s="4778"/>
    </row>
    <row r="316" spans="1:9">
      <c r="A316" s="4781"/>
      <c r="B316" s="4780"/>
      <c r="C316" s="4566"/>
      <c r="D316" s="4566"/>
      <c r="E316" s="4780"/>
      <c r="G316" s="4776"/>
      <c r="I316" s="4778"/>
    </row>
    <row r="317" spans="1:9">
      <c r="A317" s="4781"/>
      <c r="B317" s="4780"/>
      <c r="C317" s="4566"/>
      <c r="D317" s="4566"/>
      <c r="E317" s="4780"/>
      <c r="G317" s="4776"/>
      <c r="I317" s="4778"/>
    </row>
    <row r="318" spans="1:9">
      <c r="A318" s="4781"/>
      <c r="B318" s="4780"/>
      <c r="C318" s="4566"/>
      <c r="D318" s="4566"/>
      <c r="E318" s="4780"/>
      <c r="G318" s="4776"/>
      <c r="I318" s="4778"/>
    </row>
    <row r="319" spans="1:9">
      <c r="A319" s="4781"/>
      <c r="B319" s="4780"/>
      <c r="C319" s="4566"/>
      <c r="D319" s="4566"/>
      <c r="E319" s="4780"/>
      <c r="G319" s="4776"/>
      <c r="I319" s="4778"/>
    </row>
    <row r="320" spans="1:9">
      <c r="A320" s="4781"/>
      <c r="B320" s="4780"/>
      <c r="C320" s="4566"/>
      <c r="D320" s="4566"/>
      <c r="E320" s="4780"/>
      <c r="G320" s="4776"/>
      <c r="I320" s="4778"/>
    </row>
    <row r="321" spans="1:9">
      <c r="A321" s="4781"/>
      <c r="B321" s="4780"/>
      <c r="C321" s="4566"/>
      <c r="D321" s="4566"/>
      <c r="E321" s="4780"/>
      <c r="G321" s="4776"/>
      <c r="I321" s="4778"/>
    </row>
    <row r="322" spans="1:9">
      <c r="A322" s="4781"/>
      <c r="B322" s="4780"/>
      <c r="C322" s="4566"/>
      <c r="D322" s="4566"/>
      <c r="E322" s="4780"/>
      <c r="G322" s="4776"/>
      <c r="I322" s="4778"/>
    </row>
    <row r="323" spans="1:9">
      <c r="A323" s="4781"/>
      <c r="B323" s="4780"/>
      <c r="C323" s="4566"/>
      <c r="D323" s="4566"/>
      <c r="E323" s="4780"/>
      <c r="G323" s="4776"/>
      <c r="I323" s="4778"/>
    </row>
    <row r="324" spans="1:9">
      <c r="A324" s="4781"/>
      <c r="B324" s="4780"/>
      <c r="C324" s="4566"/>
      <c r="D324" s="4566"/>
      <c r="E324" s="4780"/>
      <c r="G324" s="4776"/>
      <c r="I324" s="4778"/>
    </row>
    <row r="325" spans="1:9">
      <c r="A325" s="4781"/>
      <c r="B325" s="4780"/>
      <c r="C325" s="4566"/>
      <c r="D325" s="4566"/>
      <c r="E325" s="4780"/>
      <c r="G325" s="4776"/>
      <c r="I325" s="4778"/>
    </row>
    <row r="326" spans="1:9">
      <c r="A326" s="4781"/>
      <c r="B326" s="4780"/>
      <c r="C326" s="4566"/>
      <c r="D326" s="4566"/>
      <c r="E326" s="4780"/>
      <c r="G326" s="4776"/>
      <c r="I326" s="4778"/>
    </row>
    <row r="327" spans="1:9">
      <c r="A327" s="4781"/>
      <c r="B327" s="4780"/>
      <c r="C327" s="4566"/>
      <c r="D327" s="4566"/>
      <c r="E327" s="4780"/>
      <c r="G327" s="4776"/>
      <c r="I327" s="4778"/>
    </row>
    <row r="328" spans="1:9">
      <c r="A328" s="4781"/>
      <c r="B328" s="4780"/>
      <c r="C328" s="4566"/>
      <c r="D328" s="4566"/>
      <c r="E328" s="4780"/>
      <c r="G328" s="4776"/>
      <c r="I328" s="4778"/>
    </row>
    <row r="329" spans="1:9">
      <c r="A329" s="4781"/>
      <c r="B329" s="4780"/>
      <c r="C329" s="4566"/>
      <c r="D329" s="4566"/>
      <c r="E329" s="4780"/>
      <c r="G329" s="4776"/>
      <c r="I329" s="4778"/>
    </row>
    <row r="330" spans="1:9">
      <c r="A330" s="4781"/>
      <c r="B330" s="4780"/>
      <c r="C330" s="4566"/>
      <c r="D330" s="4566"/>
      <c r="E330" s="4780"/>
      <c r="G330" s="4776"/>
      <c r="I330" s="4778"/>
    </row>
    <row r="331" spans="1:9">
      <c r="A331" s="4781"/>
      <c r="B331" s="4780"/>
      <c r="C331" s="4566"/>
      <c r="D331" s="4566"/>
      <c r="E331" s="4780"/>
      <c r="G331" s="4776"/>
      <c r="I331" s="4778"/>
    </row>
    <row r="332" spans="1:9">
      <c r="A332" s="4781"/>
      <c r="B332" s="4780"/>
      <c r="C332" s="4566"/>
      <c r="D332" s="4566"/>
      <c r="E332" s="4780"/>
      <c r="G332" s="4776"/>
      <c r="I332" s="4778"/>
    </row>
    <row r="333" spans="1:9">
      <c r="A333" s="4287"/>
      <c r="B333" s="4780"/>
      <c r="C333" s="4780"/>
      <c r="D333" s="4780"/>
      <c r="E333" s="4780"/>
      <c r="G333" s="4776"/>
      <c r="I333" s="4778"/>
    </row>
    <row r="334" spans="1:9">
      <c r="A334" s="4287"/>
      <c r="B334" s="4780"/>
      <c r="C334" s="4780"/>
      <c r="D334" s="4780"/>
      <c r="E334" s="4780"/>
      <c r="G334" s="4776"/>
      <c r="I334" s="4778"/>
    </row>
    <row r="335" spans="1:9">
      <c r="A335" s="4776"/>
      <c r="B335" s="4780"/>
      <c r="C335" s="4566"/>
      <c r="D335" s="4566"/>
      <c r="E335" s="4780"/>
      <c r="G335" s="4776"/>
      <c r="I335" s="4778"/>
    </row>
    <row r="336" spans="1:9">
      <c r="A336" s="4287"/>
      <c r="B336" s="4287"/>
      <c r="C336" s="4287"/>
      <c r="D336" s="4287"/>
      <c r="E336" s="4780"/>
      <c r="G336" s="4776"/>
      <c r="I336" s="4778"/>
    </row>
    <row r="337" spans="1:9">
      <c r="A337" s="4287"/>
      <c r="B337" s="4287"/>
      <c r="C337" s="4287"/>
      <c r="D337" s="4287"/>
      <c r="E337" s="4780"/>
      <c r="G337" s="4776"/>
      <c r="I337" s="4778"/>
    </row>
    <row r="338" spans="1:9">
      <c r="A338" s="4287"/>
      <c r="B338" s="4287"/>
      <c r="C338" s="4287"/>
      <c r="D338" s="4287"/>
      <c r="E338" s="4780"/>
      <c r="G338" s="4776"/>
      <c r="I338" s="4778"/>
    </row>
    <row r="339" spans="1:9">
      <c r="A339" s="4287"/>
      <c r="B339" s="4287"/>
      <c r="C339" s="4287"/>
      <c r="D339" s="4287"/>
      <c r="E339" s="4780"/>
      <c r="G339" s="4776"/>
      <c r="I339" s="4778"/>
    </row>
    <row r="340" spans="1:9">
      <c r="A340" s="4761"/>
      <c r="B340" s="4780"/>
      <c r="C340" s="4761"/>
      <c r="E340" s="4780"/>
      <c r="G340" s="4776"/>
      <c r="I340" s="4778"/>
    </row>
    <row r="341" spans="1:9">
      <c r="A341" s="4788"/>
      <c r="B341" s="4789"/>
      <c r="C341" s="4788"/>
      <c r="E341" s="4780"/>
      <c r="G341" s="4776"/>
      <c r="I341" s="4778"/>
    </row>
    <row r="342" spans="1:9">
      <c r="E342" s="4566"/>
      <c r="G342" s="4776"/>
      <c r="I342" s="4778"/>
    </row>
    <row r="343" spans="1:9">
      <c r="E343" s="4566"/>
      <c r="G343" s="4287"/>
      <c r="I343" s="4566"/>
    </row>
    <row r="344" spans="1:9">
      <c r="E344" s="4566"/>
      <c r="G344" s="4287"/>
      <c r="I344" s="4566"/>
    </row>
    <row r="345" spans="1:9">
      <c r="E345" s="4566"/>
      <c r="G345" s="4287"/>
      <c r="I345" s="4566"/>
    </row>
    <row r="346" spans="1:9">
      <c r="E346" s="4566"/>
      <c r="G346" s="4287"/>
      <c r="I346" s="4566"/>
    </row>
    <row r="347" spans="1:9">
      <c r="E347" s="4566"/>
      <c r="G347" s="4761"/>
      <c r="I347" s="4566"/>
    </row>
    <row r="348" spans="1:9">
      <c r="E348" s="4790"/>
      <c r="G348" s="4788"/>
      <c r="I348" s="4790"/>
    </row>
  </sheetData>
  <sheetProtection algorithmName="SHA-512" hashValue="beddbJ4GiudF4124NcMv38EpAROZsWQOIn+si1OkC/L68pPGz9CYIzya9ssmedgelXug+6VXnGHuAwSI+J6kYQ==" saltValue="STAZgLy3U42sJeRO951jKQ==" spinCount="100000" sheet="1" objects="1" scenarios="1"/>
  <mergeCells count="4">
    <mergeCell ref="A8:I8"/>
    <mergeCell ref="A9:I9"/>
    <mergeCell ref="A36:I36"/>
    <mergeCell ref="A59:I59"/>
  </mergeCells>
  <dataValidations count="1">
    <dataValidation type="whole" operator="greaterThanOrEqual" showInputMessage="1" showErrorMessage="1" errorTitle="Invalid Data Entry" error="Please enter a positive number or press the delete key or enter zero." sqref="I46 I40:I42 I20 I14:I16 I70 I64:I66">
      <formula1>0</formula1>
    </dataValidation>
  </dataValidations>
  <hyperlinks>
    <hyperlink ref="K1" location="Contents!A1" display="Return to Contents page"/>
  </hyperlinks>
  <printOptions horizontalCentered="1"/>
  <pageMargins left="0.5" right="0.5" top="0.5" bottom="0.5" header="0.5" footer="0.5"/>
  <pageSetup scale="85" orientation="portrait" blackAndWhite="1" r:id="rId1"/>
  <headerFooter alignWithMargins="0">
    <oddFooter xml:space="preserve">&amp;L&amp;D     &amp;T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6" tint="-0.249977111117893"/>
    <pageSetUpPr fitToPage="1"/>
  </sheetPr>
  <dimension ref="A1:M361"/>
  <sheetViews>
    <sheetView zoomScaleNormal="100" workbookViewId="0">
      <selection activeCell="I13" sqref="I13"/>
    </sheetView>
  </sheetViews>
  <sheetFormatPr defaultColWidth="11.42578125" defaultRowHeight="12.75"/>
  <cols>
    <col min="1" max="1" width="8" style="4791" customWidth="1"/>
    <col min="2" max="3" width="10.7109375" style="4791" customWidth="1"/>
    <col min="4" max="4" width="30.42578125" style="4791" customWidth="1"/>
    <col min="5" max="5" width="10.7109375" style="4791" customWidth="1"/>
    <col min="6" max="6" width="1.7109375" style="4791" customWidth="1"/>
    <col min="7" max="7" width="13.42578125" style="4791" customWidth="1"/>
    <col min="8" max="8" width="1.7109375" style="4791" customWidth="1"/>
    <col min="9" max="9" width="14.28515625" style="4774" customWidth="1"/>
    <col min="10" max="10" width="3" style="4774" customWidth="1"/>
    <col min="11" max="11" width="20.85546875" style="4774" customWidth="1"/>
    <col min="12" max="16384" width="11.42578125" style="4774"/>
  </cols>
  <sheetData>
    <row r="1" spans="1:12" ht="15">
      <c r="A1" s="4791" t="s">
        <v>2527</v>
      </c>
      <c r="G1" s="4792" t="s">
        <v>987</v>
      </c>
      <c r="I1" s="4793">
        <f>OPEN!$B$4</f>
        <v>270</v>
      </c>
      <c r="J1" s="4794"/>
      <c r="K1" s="4288" t="s">
        <v>866</v>
      </c>
    </row>
    <row r="2" spans="1:12" ht="15">
      <c r="A2" s="4795">
        <f>OPEN!$N$3</f>
        <v>42522</v>
      </c>
      <c r="I2" s="4791"/>
      <c r="J2" s="4794"/>
    </row>
    <row r="3" spans="1:12" s="4794" customFormat="1" ht="15">
      <c r="A3" s="4796"/>
      <c r="B3" s="4796"/>
      <c r="C3" s="4796"/>
      <c r="D3" s="4796"/>
      <c r="E3" s="4796"/>
      <c r="F3" s="4796"/>
      <c r="G3" s="4796"/>
      <c r="H3" s="4796"/>
      <c r="I3" s="4797"/>
    </row>
    <row r="4" spans="1:12" s="4794" customFormat="1" ht="15">
      <c r="A4" s="4798" t="s">
        <v>2276</v>
      </c>
      <c r="B4" s="4796"/>
      <c r="C4" s="4796"/>
      <c r="D4" s="4796"/>
      <c r="E4" s="4796"/>
      <c r="F4" s="4796"/>
      <c r="G4" s="4796"/>
      <c r="H4" s="4796"/>
      <c r="I4" s="4796"/>
    </row>
    <row r="5" spans="1:12" s="4794" customFormat="1" ht="15">
      <c r="A5" s="4798" t="s">
        <v>2277</v>
      </c>
      <c r="B5" s="4796"/>
      <c r="C5" s="4796"/>
      <c r="D5" s="4796"/>
      <c r="E5" s="4796"/>
      <c r="F5" s="4796"/>
      <c r="G5" s="4796"/>
      <c r="H5" s="4796"/>
      <c r="I5" s="4796"/>
    </row>
    <row r="6" spans="1:12" s="4794" customFormat="1" ht="12.75" customHeight="1">
      <c r="A6" s="4798" t="str">
        <f>OPEN!$P$4</f>
        <v>2016-2017</v>
      </c>
      <c r="B6" s="4796"/>
      <c r="C6" s="4796"/>
      <c r="D6" s="4796"/>
      <c r="E6" s="4796"/>
      <c r="F6" s="4796"/>
      <c r="G6" s="4796"/>
      <c r="H6" s="4796"/>
      <c r="I6" s="4796"/>
    </row>
    <row r="7" spans="1:12" s="4794" customFormat="1" ht="12.75" customHeight="1">
      <c r="A7" s="4798" t="s">
        <v>2263</v>
      </c>
      <c r="B7" s="4796"/>
      <c r="C7" s="4796"/>
      <c r="D7" s="4796"/>
      <c r="E7" s="4796"/>
      <c r="F7" s="4796"/>
      <c r="G7" s="4796"/>
      <c r="H7" s="4796"/>
      <c r="I7" s="4796"/>
      <c r="L7" s="4799"/>
    </row>
    <row r="8" spans="1:12" s="4794" customFormat="1" ht="13.5" customHeight="1">
      <c r="A8" s="4796" t="s">
        <v>2264</v>
      </c>
      <c r="B8" s="4796"/>
      <c r="C8" s="4796"/>
      <c r="D8" s="4796"/>
      <c r="E8" s="4796"/>
      <c r="F8" s="4796"/>
      <c r="G8" s="4796"/>
      <c r="H8" s="4796"/>
      <c r="I8" s="4796"/>
    </row>
    <row r="9" spans="1:12" s="4794" customFormat="1" ht="8.25" customHeight="1">
      <c r="A9" s="4796"/>
      <c r="B9" s="4796"/>
      <c r="C9" s="4796"/>
      <c r="D9" s="4796"/>
      <c r="E9" s="4796"/>
      <c r="F9" s="4796"/>
      <c r="G9" s="4796"/>
      <c r="H9" s="4796"/>
      <c r="I9" s="4797"/>
    </row>
    <row r="10" spans="1:12" s="4794" customFormat="1" ht="13.5" customHeight="1">
      <c r="A10" s="4791" t="s">
        <v>2265</v>
      </c>
      <c r="B10" s="4796"/>
      <c r="C10" s="4796"/>
      <c r="D10" s="4796"/>
      <c r="E10" s="4796"/>
      <c r="F10" s="4796"/>
      <c r="G10" s="4796"/>
      <c r="H10" s="4796"/>
      <c r="I10" s="4797"/>
    </row>
    <row r="11" spans="1:12" s="4794" customFormat="1" ht="11.25" customHeight="1">
      <c r="A11" s="4791" t="s">
        <v>2266</v>
      </c>
      <c r="B11" s="4796"/>
      <c r="C11" s="4796"/>
      <c r="D11" s="4796"/>
      <c r="E11" s="4796"/>
      <c r="F11" s="4796"/>
      <c r="G11" s="4796"/>
      <c r="H11" s="4796"/>
      <c r="I11" s="4797"/>
    </row>
    <row r="12" spans="1:12" s="4794" customFormat="1" ht="6" customHeight="1">
      <c r="A12" s="4796"/>
      <c r="B12" s="4796"/>
      <c r="C12" s="4796"/>
      <c r="D12" s="4796"/>
      <c r="E12" s="4796"/>
      <c r="F12" s="4796"/>
      <c r="G12" s="4796"/>
      <c r="H12" s="4796"/>
      <c r="I12" s="4797"/>
    </row>
    <row r="13" spans="1:12" s="4794" customFormat="1" ht="15">
      <c r="A13" s="4791" t="str">
        <f>'F242'!A40</f>
        <v>1.  Estimated 2016-2017 bond and interest fund payments</v>
      </c>
      <c r="B13" s="4791"/>
      <c r="C13" s="4791"/>
      <c r="D13" s="4791"/>
      <c r="E13" s="4791"/>
      <c r="F13" s="4791"/>
      <c r="G13" s="4791"/>
      <c r="H13" s="4791" t="s">
        <v>1166</v>
      </c>
      <c r="I13" s="4800"/>
    </row>
    <row r="14" spans="1:12" s="4794" customFormat="1" ht="6.75" customHeight="1">
      <c r="A14" s="4791"/>
      <c r="B14" s="4791"/>
      <c r="C14" s="4791"/>
      <c r="D14" s="4791"/>
      <c r="E14" s="4791"/>
      <c r="F14" s="4791"/>
      <c r="G14" s="4791"/>
      <c r="H14" s="4791"/>
      <c r="I14" s="4801"/>
    </row>
    <row r="15" spans="1:12" s="4794" customFormat="1" ht="15">
      <c r="A15" s="4791" t="s">
        <v>2267</v>
      </c>
      <c r="B15" s="4791"/>
      <c r="C15" s="4791"/>
      <c r="D15" s="4791"/>
      <c r="E15" s="4791"/>
      <c r="F15" s="4791"/>
      <c r="G15" s="4791"/>
      <c r="H15" s="4791" t="s">
        <v>1166</v>
      </c>
      <c r="I15" s="4800"/>
      <c r="K15" s="4794" t="str">
        <f>IF(I1=113,"USD 113 uses same rate as Form 244-A below","")</f>
        <v/>
      </c>
    </row>
    <row r="16" spans="1:12" s="4794" customFormat="1" ht="6.75" customHeight="1">
      <c r="A16" s="4791"/>
      <c r="B16" s="4791"/>
      <c r="C16" s="4791"/>
      <c r="D16" s="4791"/>
      <c r="E16" s="4791"/>
      <c r="F16" s="4791"/>
      <c r="G16" s="4791"/>
      <c r="H16" s="4791"/>
      <c r="I16" s="4791"/>
    </row>
    <row r="17" spans="1:12" s="4794" customFormat="1" ht="15">
      <c r="A17" s="4791" t="s">
        <v>2278</v>
      </c>
      <c r="B17" s="4791"/>
      <c r="C17" s="4791"/>
      <c r="D17" s="4791"/>
      <c r="E17" s="5174">
        <f>IF(I1&lt;&gt;113,VLOOKUP($I$1,DATA!A3:AT288,26,FALSE),E41)</f>
        <v>0</v>
      </c>
      <c r="F17" s="4791"/>
      <c r="G17" s="4791"/>
      <c r="H17" s="4791" t="s">
        <v>1166</v>
      </c>
      <c r="I17" s="4802">
        <f>(I13-I15)*E17</f>
        <v>0</v>
      </c>
      <c r="K17" s="4803" t="str">
        <f>IF(I1=113,"Old USD 488 bonds aren't entitled to state aid due to assessed valuation per pupil","")</f>
        <v/>
      </c>
      <c r="L17" s="5159"/>
    </row>
    <row r="18" spans="1:12" s="4794" customFormat="1" ht="5.25" customHeight="1">
      <c r="A18" s="4791"/>
      <c r="B18" s="4791"/>
      <c r="C18" s="4791"/>
      <c r="D18" s="4791"/>
      <c r="E18" s="4791"/>
      <c r="F18" s="4791"/>
      <c r="G18" s="4791"/>
      <c r="H18" s="4791"/>
      <c r="I18" s="4791"/>
      <c r="K18" s="4803"/>
    </row>
    <row r="19" spans="1:12" s="4794" customFormat="1" ht="15">
      <c r="A19" s="4774" t="s">
        <v>2269</v>
      </c>
      <c r="B19" s="4791"/>
      <c r="C19" s="4791"/>
      <c r="D19" s="4791"/>
      <c r="E19" s="4791"/>
      <c r="F19" s="4791"/>
      <c r="G19" s="4791"/>
      <c r="H19" s="4804" t="s">
        <v>2270</v>
      </c>
      <c r="I19" s="4805"/>
      <c r="K19" s="4794" t="str">
        <f>IF(I1=113,"After these bonds are paid off, this functionality will change.","")</f>
        <v/>
      </c>
    </row>
    <row r="20" spans="1:12" s="4794" customFormat="1" ht="4.5" customHeight="1">
      <c r="A20" s="4774"/>
      <c r="B20" s="4791"/>
      <c r="C20" s="4791"/>
      <c r="D20" s="4791"/>
      <c r="E20" s="4791"/>
      <c r="F20" s="4791"/>
      <c r="G20" s="4791"/>
      <c r="H20" s="4804"/>
      <c r="I20" s="4806"/>
    </row>
    <row r="21" spans="1:12" s="4794" customFormat="1" ht="15">
      <c r="A21" s="4774" t="s">
        <v>2271</v>
      </c>
      <c r="B21" s="4791"/>
      <c r="C21" s="4791"/>
      <c r="D21" s="4791"/>
      <c r="E21" s="4791"/>
      <c r="F21" s="4791"/>
      <c r="G21" s="4791"/>
      <c r="H21" s="4804" t="s">
        <v>2270</v>
      </c>
      <c r="I21" s="4805"/>
    </row>
    <row r="22" spans="1:12" s="4794" customFormat="1" ht="5.25" customHeight="1">
      <c r="A22" s="4774"/>
      <c r="B22" s="4791"/>
      <c r="C22" s="4791"/>
      <c r="D22" s="4791"/>
      <c r="E22" s="4791"/>
      <c r="F22" s="4791"/>
      <c r="G22" s="4791"/>
      <c r="H22" s="4774"/>
      <c r="I22" s="4774"/>
    </row>
    <row r="23" spans="1:12" s="4794" customFormat="1" ht="15">
      <c r="A23" s="4791" t="s">
        <v>2272</v>
      </c>
      <c r="B23" s="4791"/>
      <c r="C23" s="4791"/>
      <c r="D23" s="4791"/>
      <c r="E23" s="4791"/>
      <c r="F23" s="4791"/>
      <c r="G23" s="4791"/>
      <c r="H23" s="4791" t="s">
        <v>1166</v>
      </c>
      <c r="I23" s="4807">
        <f>IF(I17-(I19+I21)&lt;0,0,I17-(I19+I21))</f>
        <v>0</v>
      </c>
    </row>
    <row r="24" spans="1:12" s="4794" customFormat="1" ht="15">
      <c r="A24" s="4791" t="str">
        <f>'F242'!A51</f>
        <v xml:space="preserve">     (July 1, 2016 through June 30, 2017) (Line 3 - (Line 4 + Line 5))</v>
      </c>
      <c r="B24" s="4791"/>
      <c r="C24" s="4791"/>
      <c r="D24" s="4791"/>
      <c r="E24" s="4791"/>
      <c r="F24" s="4791"/>
      <c r="G24" s="4791"/>
      <c r="H24" s="4791"/>
      <c r="I24" s="4791"/>
    </row>
    <row r="25" spans="1:12" s="4794" customFormat="1" ht="9.75" customHeight="1">
      <c r="A25" s="4796"/>
      <c r="B25" s="4796"/>
      <c r="C25" s="4796"/>
      <c r="D25" s="4796"/>
      <c r="E25" s="4796"/>
      <c r="F25" s="4796"/>
      <c r="G25" s="4796"/>
      <c r="H25" s="4796"/>
      <c r="I25" s="4797"/>
    </row>
    <row r="26" spans="1:12" s="4794" customFormat="1" ht="15">
      <c r="A26" s="5018" t="s">
        <v>2273</v>
      </c>
      <c r="B26" s="4808"/>
      <c r="C26" s="4808"/>
      <c r="D26" s="4808"/>
      <c r="E26" s="4808"/>
      <c r="F26" s="4808"/>
      <c r="G26" s="4808"/>
      <c r="H26" s="4808"/>
      <c r="I26" s="4809"/>
    </row>
    <row r="27" spans="1:12" s="4794" customFormat="1" ht="8.25" customHeight="1">
      <c r="A27" s="4796"/>
      <c r="B27" s="4796"/>
      <c r="C27" s="4796"/>
      <c r="D27" s="4796"/>
      <c r="E27" s="4796"/>
      <c r="F27" s="4796"/>
      <c r="G27" s="4796"/>
      <c r="H27" s="4796"/>
      <c r="I27" s="4797"/>
    </row>
    <row r="28" spans="1:12" ht="12" customHeight="1">
      <c r="A28" s="4798" t="s">
        <v>2279</v>
      </c>
      <c r="B28" s="4796"/>
      <c r="C28" s="4796"/>
      <c r="D28" s="4796"/>
      <c r="E28" s="4796"/>
      <c r="F28" s="4796"/>
      <c r="G28" s="4796"/>
      <c r="H28" s="4796"/>
      <c r="I28" s="4796"/>
      <c r="J28" s="4794"/>
    </row>
    <row r="29" spans="1:12" ht="12" customHeight="1">
      <c r="A29" s="4798" t="s">
        <v>2277</v>
      </c>
      <c r="B29" s="4796"/>
      <c r="C29" s="4796"/>
      <c r="D29" s="4796"/>
      <c r="E29" s="4796"/>
      <c r="F29" s="4796"/>
      <c r="G29" s="4796"/>
      <c r="H29" s="4796"/>
      <c r="I29" s="4796"/>
      <c r="J29" s="4794"/>
    </row>
    <row r="30" spans="1:12" ht="12" customHeight="1">
      <c r="A30" s="4798" t="str">
        <f>OPEN!$P$4</f>
        <v>2016-2017</v>
      </c>
      <c r="B30" s="4796"/>
      <c r="C30" s="4796"/>
      <c r="D30" s="4796"/>
      <c r="E30" s="4796"/>
      <c r="F30" s="4796"/>
      <c r="G30" s="4796"/>
      <c r="H30" s="4796"/>
      <c r="I30" s="4796"/>
      <c r="J30" s="4794"/>
    </row>
    <row r="31" spans="1:12" ht="12" customHeight="1">
      <c r="A31" s="4798" t="s">
        <v>2263</v>
      </c>
      <c r="B31" s="4796"/>
      <c r="C31" s="4796"/>
      <c r="D31" s="4796"/>
      <c r="E31" s="4796"/>
      <c r="F31" s="4796"/>
      <c r="G31" s="4796"/>
      <c r="H31" s="4796"/>
      <c r="I31" s="4796"/>
      <c r="J31" s="4794"/>
    </row>
    <row r="32" spans="1:12" ht="12" customHeight="1">
      <c r="A32" s="4796" t="s">
        <v>2478</v>
      </c>
      <c r="B32" s="4796"/>
      <c r="C32" s="4796"/>
      <c r="D32" s="4796"/>
      <c r="E32" s="4796"/>
      <c r="F32" s="4796"/>
      <c r="G32" s="4796"/>
      <c r="H32" s="4796"/>
      <c r="I32" s="4796"/>
      <c r="J32" s="4794"/>
    </row>
    <row r="33" spans="1:11" ht="12" customHeight="1">
      <c r="I33" s="4791"/>
      <c r="J33" s="4794"/>
    </row>
    <row r="34" spans="1:11" ht="12" customHeight="1">
      <c r="A34" s="4791" t="s">
        <v>2265</v>
      </c>
      <c r="I34" s="4791"/>
      <c r="J34" s="4794"/>
    </row>
    <row r="35" spans="1:11" ht="12" customHeight="1">
      <c r="A35" s="4791" t="s">
        <v>2266</v>
      </c>
      <c r="I35" s="4791"/>
      <c r="J35" s="4794"/>
    </row>
    <row r="36" spans="1:11" ht="5.25" customHeight="1">
      <c r="I36" s="4791"/>
      <c r="J36" s="4794"/>
    </row>
    <row r="37" spans="1:11" ht="12" customHeight="1">
      <c r="A37" s="4791" t="str">
        <f>'F242'!A40</f>
        <v>1.  Estimated 2016-2017 bond and interest fund payments</v>
      </c>
      <c r="H37" s="4791" t="s">
        <v>1166</v>
      </c>
      <c r="I37" s="4800"/>
      <c r="J37" s="4794"/>
    </row>
    <row r="38" spans="1:11" ht="5.25" customHeight="1">
      <c r="I38" s="4801"/>
      <c r="J38" s="4794"/>
    </row>
    <row r="39" spans="1:11" ht="12" customHeight="1">
      <c r="A39" s="4791" t="s">
        <v>2267</v>
      </c>
      <c r="H39" s="4791" t="s">
        <v>1166</v>
      </c>
      <c r="I39" s="4800"/>
      <c r="J39" s="4794"/>
      <c r="K39" s="4810"/>
    </row>
    <row r="40" spans="1:11" ht="6" customHeight="1">
      <c r="I40" s="4791"/>
      <c r="J40" s="4794"/>
    </row>
    <row r="41" spans="1:11" ht="12" customHeight="1">
      <c r="A41" s="4791" t="s">
        <v>2278</v>
      </c>
      <c r="E41" s="5174">
        <f>VLOOKUP(I1,DATA!A2:AT288,27,FALSE)</f>
        <v>0</v>
      </c>
      <c r="H41" s="4791" t="s">
        <v>1166</v>
      </c>
      <c r="I41" s="4802">
        <f>(I37-I39)*E41</f>
        <v>0</v>
      </c>
      <c r="J41" s="4794"/>
      <c r="K41" s="4811"/>
    </row>
    <row r="42" spans="1:11" ht="6.75" customHeight="1">
      <c r="I42" s="4791"/>
      <c r="J42" s="4794"/>
      <c r="K42" s="4811"/>
    </row>
    <row r="43" spans="1:11" ht="12" customHeight="1">
      <c r="A43" s="4774" t="s">
        <v>2269</v>
      </c>
      <c r="H43" s="4804" t="s">
        <v>2270</v>
      </c>
      <c r="I43" s="4805"/>
      <c r="J43" s="4794"/>
      <c r="K43" s="4811"/>
    </row>
    <row r="44" spans="1:11" ht="7.5" customHeight="1">
      <c r="A44" s="4774"/>
      <c r="H44" s="4804"/>
      <c r="I44" s="4806"/>
      <c r="J44" s="4794"/>
    </row>
    <row r="45" spans="1:11" ht="12" customHeight="1">
      <c r="A45" s="4774" t="s">
        <v>2271</v>
      </c>
      <c r="H45" s="4804" t="s">
        <v>2270</v>
      </c>
      <c r="I45" s="4805"/>
      <c r="J45" s="4794"/>
    </row>
    <row r="46" spans="1:11" ht="5.25" customHeight="1">
      <c r="A46" s="4774"/>
      <c r="H46" s="4774"/>
      <c r="J46" s="4794"/>
    </row>
    <row r="47" spans="1:11" ht="12" customHeight="1">
      <c r="A47" s="4791" t="s">
        <v>2272</v>
      </c>
      <c r="H47" s="4791" t="s">
        <v>1166</v>
      </c>
      <c r="I47" s="4807">
        <f>IF(I41-(I43+I45)&lt;0,0,I41-(I43+I45))</f>
        <v>0</v>
      </c>
      <c r="J47" s="4794"/>
    </row>
    <row r="48" spans="1:11" ht="12" customHeight="1">
      <c r="A48" s="4791" t="str">
        <f>'F242'!A51</f>
        <v xml:space="preserve">     (July 1, 2016 through June 30, 2017) (Line 3 - (Line 4 + Line 5))</v>
      </c>
      <c r="I48" s="4791"/>
      <c r="J48" s="4794"/>
    </row>
    <row r="49" spans="1:13" ht="12" customHeight="1">
      <c r="I49" s="4791"/>
      <c r="J49" s="4794"/>
    </row>
    <row r="50" spans="1:13" ht="12" customHeight="1">
      <c r="A50" s="5018" t="s">
        <v>2273</v>
      </c>
      <c r="B50" s="5019"/>
      <c r="C50" s="5019"/>
      <c r="D50" s="5019"/>
      <c r="E50" s="5019"/>
      <c r="F50" s="5019"/>
      <c r="G50" s="5019"/>
      <c r="H50" s="5019"/>
      <c r="I50" s="5019"/>
    </row>
    <row r="51" spans="1:13">
      <c r="A51" s="4796"/>
      <c r="B51" s="4796"/>
      <c r="C51" s="4796"/>
      <c r="D51" s="4796"/>
      <c r="E51" s="4796"/>
      <c r="F51" s="4796"/>
      <c r="G51" s="4796"/>
      <c r="H51" s="4796"/>
      <c r="I51" s="4797"/>
    </row>
    <row r="52" spans="1:13">
      <c r="A52" s="4798" t="s">
        <v>2481</v>
      </c>
      <c r="B52" s="4796"/>
      <c r="C52" s="4796"/>
      <c r="D52" s="4796"/>
      <c r="E52" s="4796"/>
      <c r="F52" s="4796"/>
      <c r="G52" s="4796"/>
      <c r="H52" s="4796"/>
      <c r="I52" s="4796"/>
      <c r="J52" s="4812"/>
      <c r="K52" s="4812"/>
      <c r="L52" s="4812"/>
      <c r="M52" s="4812"/>
    </row>
    <row r="53" spans="1:13">
      <c r="A53" s="4798" t="s">
        <v>2277</v>
      </c>
      <c r="B53" s="4796"/>
      <c r="C53" s="4796"/>
      <c r="D53" s="4796"/>
      <c r="E53" s="4796"/>
      <c r="F53" s="4796"/>
      <c r="G53" s="4796"/>
      <c r="H53" s="4796"/>
      <c r="I53" s="4796"/>
      <c r="J53" s="4812"/>
      <c r="K53" s="4812"/>
      <c r="L53" s="4812"/>
      <c r="M53" s="4812"/>
    </row>
    <row r="54" spans="1:13">
      <c r="A54" s="4798" t="str">
        <f>OPEN!$P$4</f>
        <v>2016-2017</v>
      </c>
      <c r="B54" s="4796"/>
      <c r="C54" s="4796"/>
      <c r="D54" s="4796"/>
      <c r="E54" s="4796"/>
      <c r="F54" s="4796"/>
      <c r="G54" s="4796"/>
      <c r="H54" s="4796"/>
      <c r="I54" s="4796"/>
      <c r="J54" s="4812"/>
      <c r="K54" s="4812"/>
      <c r="L54" s="4812"/>
      <c r="M54" s="4812"/>
    </row>
    <row r="55" spans="1:13" ht="15" customHeight="1">
      <c r="A55" s="4798" t="s">
        <v>2263</v>
      </c>
      <c r="B55" s="4796"/>
      <c r="C55" s="4796"/>
      <c r="D55" s="4796"/>
      <c r="E55" s="4796"/>
      <c r="F55" s="4796"/>
      <c r="G55" s="4796"/>
      <c r="H55" s="4796"/>
      <c r="I55" s="4796"/>
      <c r="J55" s="4812"/>
      <c r="K55" s="4812"/>
      <c r="L55" s="4812"/>
      <c r="M55" s="4812"/>
    </row>
    <row r="56" spans="1:13">
      <c r="A56" s="4796" t="s">
        <v>2480</v>
      </c>
      <c r="B56" s="4796"/>
      <c r="C56" s="4796"/>
      <c r="D56" s="4796"/>
      <c r="E56" s="4796"/>
      <c r="F56" s="4796"/>
      <c r="G56" s="4796"/>
      <c r="H56" s="4796"/>
      <c r="I56" s="4796"/>
      <c r="J56" s="4812"/>
      <c r="K56" s="4812"/>
      <c r="L56" s="4812"/>
      <c r="M56" s="4812"/>
    </row>
    <row r="57" spans="1:13">
      <c r="I57" s="4791"/>
      <c r="J57" s="4813"/>
      <c r="K57" s="4812"/>
      <c r="L57" s="4812"/>
      <c r="M57" s="4812"/>
    </row>
    <row r="58" spans="1:13">
      <c r="A58" s="4791" t="s">
        <v>2265</v>
      </c>
      <c r="I58" s="4791"/>
      <c r="J58" s="4812"/>
      <c r="K58" s="4812"/>
      <c r="L58" s="4812"/>
      <c r="M58" s="4812"/>
    </row>
    <row r="59" spans="1:13">
      <c r="A59" s="4791" t="s">
        <v>2266</v>
      </c>
      <c r="I59" s="4791"/>
      <c r="J59" s="4812"/>
      <c r="K59" s="4812"/>
      <c r="L59" s="4812"/>
      <c r="M59" s="4812"/>
    </row>
    <row r="60" spans="1:13" ht="7.5" customHeight="1">
      <c r="I60" s="4791"/>
      <c r="J60" s="4812"/>
      <c r="K60" s="4814"/>
      <c r="L60" s="4812"/>
      <c r="M60" s="4812"/>
    </row>
    <row r="61" spans="1:13">
      <c r="A61" s="4791" t="str">
        <f>'F242'!A64</f>
        <v>1.  Estimated 2016-2017 bond and interest fund payments</v>
      </c>
      <c r="H61" s="4791" t="s">
        <v>1166</v>
      </c>
      <c r="I61" s="5229"/>
      <c r="J61" s="4812"/>
      <c r="K61" s="4812"/>
      <c r="L61" s="4771" t="s">
        <v>2645</v>
      </c>
      <c r="M61" s="4812"/>
    </row>
    <row r="62" spans="1:13" ht="5.25" customHeight="1">
      <c r="I62" s="4801"/>
      <c r="J62" s="4812"/>
      <c r="K62" s="4812"/>
      <c r="L62" s="4812"/>
      <c r="M62" s="4812"/>
    </row>
    <row r="63" spans="1:13">
      <c r="A63" s="4791" t="s">
        <v>2267</v>
      </c>
      <c r="H63" s="4791" t="s">
        <v>1166</v>
      </c>
      <c r="I63" s="5229"/>
    </row>
    <row r="64" spans="1:13" ht="6.75" customHeight="1">
      <c r="I64" s="4791"/>
    </row>
    <row r="65" spans="1:12">
      <c r="A65" s="4791" t="s">
        <v>2278</v>
      </c>
      <c r="E65" s="5174">
        <f>VLOOKUP(I1,DATA!A2:AT288,27,FALSE)</f>
        <v>0</v>
      </c>
      <c r="G65" s="4791" t="str">
        <f>"Pro-rated " &amp; OPEN!O47</f>
        <v>Pro-rated 100%</v>
      </c>
      <c r="H65" s="4791" t="s">
        <v>1166</v>
      </c>
      <c r="I65" s="4802">
        <f>ROUND((I61-I63)*E65*OPEN!N47,0)</f>
        <v>0</v>
      </c>
      <c r="L65" s="4810" t="s">
        <v>2603</v>
      </c>
    </row>
    <row r="66" spans="1:12" ht="7.5" customHeight="1">
      <c r="I66" s="4791"/>
    </row>
    <row r="67" spans="1:12">
      <c r="A67" s="4774" t="s">
        <v>2269</v>
      </c>
      <c r="H67" s="4804" t="s">
        <v>2270</v>
      </c>
      <c r="I67" s="5230"/>
    </row>
    <row r="68" spans="1:12" ht="8.25" customHeight="1">
      <c r="A68" s="4774"/>
      <c r="H68" s="4804"/>
      <c r="I68" s="4806"/>
    </row>
    <row r="69" spans="1:12">
      <c r="A69" s="4774" t="s">
        <v>2271</v>
      </c>
      <c r="H69" s="4804" t="s">
        <v>2270</v>
      </c>
      <c r="I69" s="5230"/>
    </row>
    <row r="70" spans="1:12" ht="7.5" customHeight="1">
      <c r="A70" s="4774"/>
      <c r="H70" s="4774"/>
    </row>
    <row r="71" spans="1:12">
      <c r="A71" s="4791" t="s">
        <v>2272</v>
      </c>
      <c r="H71" s="4791" t="s">
        <v>1166</v>
      </c>
      <c r="I71" s="4807">
        <f>IF(I65-(I67+I69)&lt;0,0,I65-(I67+I69))</f>
        <v>0</v>
      </c>
    </row>
    <row r="72" spans="1:12">
      <c r="I72" s="4791"/>
    </row>
    <row r="73" spans="1:12">
      <c r="A73" s="4762" t="s">
        <v>2273</v>
      </c>
      <c r="I73" s="4791"/>
    </row>
    <row r="74" spans="1:12">
      <c r="A74" s="4762"/>
      <c r="I74" s="4791"/>
    </row>
    <row r="75" spans="1:12" ht="15">
      <c r="A75" s="4774"/>
      <c r="B75" s="4774"/>
      <c r="C75" s="4776"/>
      <c r="D75" s="4777"/>
      <c r="E75" s="4778"/>
      <c r="F75" s="4777"/>
      <c r="G75" s="4776"/>
      <c r="H75" s="4777"/>
      <c r="I75" s="4778"/>
    </row>
    <row r="76" spans="1:12" ht="15">
      <c r="A76" s="4774"/>
      <c r="B76" s="4774"/>
      <c r="C76" s="4776"/>
      <c r="D76" s="4777"/>
      <c r="E76" s="4778"/>
      <c r="F76" s="4777"/>
      <c r="G76" s="4776"/>
      <c r="H76" s="4777"/>
      <c r="I76" s="4778"/>
    </row>
    <row r="77" spans="1:12" ht="15">
      <c r="A77" s="4774"/>
      <c r="B77" s="4774"/>
      <c r="C77" s="4776"/>
      <c r="D77" s="4777"/>
      <c r="E77" s="4778"/>
      <c r="F77" s="4777"/>
      <c r="G77" s="4776"/>
      <c r="H77" s="4777"/>
      <c r="I77" s="4778"/>
    </row>
    <row r="78" spans="1:12" ht="15">
      <c r="A78" s="4774"/>
      <c r="B78" s="4774"/>
      <c r="C78" s="4776"/>
      <c r="D78" s="4777"/>
      <c r="E78" s="4778"/>
      <c r="F78" s="4777"/>
      <c r="G78" s="4776"/>
      <c r="H78" s="4777"/>
      <c r="I78" s="4778"/>
    </row>
    <row r="79" spans="1:12" ht="15">
      <c r="A79" s="4774"/>
      <c r="B79" s="4774"/>
      <c r="C79" s="4776"/>
      <c r="D79" s="4777"/>
      <c r="E79" s="4778"/>
      <c r="F79" s="4777"/>
      <c r="G79" s="4776"/>
      <c r="H79" s="4777"/>
      <c r="I79" s="5020"/>
    </row>
    <row r="80" spans="1:12" ht="15">
      <c r="A80" s="4774"/>
      <c r="B80" s="4774"/>
      <c r="C80" s="4776"/>
      <c r="D80" s="4777"/>
      <c r="E80" s="4778"/>
      <c r="F80" s="4777"/>
      <c r="G80" s="4776"/>
      <c r="H80" s="4777"/>
      <c r="I80" s="4778"/>
    </row>
    <row r="81" spans="1:9" ht="15">
      <c r="A81" s="4774"/>
      <c r="B81" s="4774"/>
      <c r="C81" s="4776"/>
      <c r="D81" s="4777"/>
      <c r="E81" s="4778"/>
      <c r="F81" s="4777"/>
      <c r="G81" s="4776"/>
      <c r="H81" s="4777"/>
      <c r="I81" s="4778"/>
    </row>
    <row r="82" spans="1:9" ht="15">
      <c r="A82" s="4774"/>
      <c r="B82" s="4774"/>
      <c r="C82" s="4776"/>
      <c r="D82" s="4777"/>
      <c r="E82" s="4778"/>
      <c r="F82" s="4777"/>
      <c r="G82" s="4776"/>
      <c r="H82" s="4777"/>
      <c r="I82" s="4778"/>
    </row>
    <row r="83" spans="1:9" ht="15">
      <c r="A83" s="4774"/>
      <c r="B83" s="4774"/>
      <c r="C83" s="4776"/>
      <c r="D83" s="4777"/>
      <c r="E83" s="4778"/>
      <c r="F83" s="4777"/>
      <c r="G83" s="4776"/>
      <c r="H83" s="4777"/>
      <c r="I83" s="4778"/>
    </row>
    <row r="84" spans="1:9" ht="15">
      <c r="A84" s="4774"/>
      <c r="B84" s="4774"/>
      <c r="C84" s="4776"/>
      <c r="D84" s="4777"/>
      <c r="E84" s="4778"/>
      <c r="F84" s="4777"/>
      <c r="G84" s="4776"/>
      <c r="H84" s="4777"/>
      <c r="I84" s="4778"/>
    </row>
    <row r="85" spans="1:9" ht="15">
      <c r="A85" s="4774"/>
      <c r="B85" s="4774"/>
      <c r="C85" s="4776"/>
      <c r="D85" s="4777"/>
      <c r="E85" s="4778"/>
      <c r="F85" s="4777"/>
      <c r="G85" s="4776"/>
      <c r="H85" s="4777"/>
      <c r="I85" s="4778"/>
    </row>
    <row r="86" spans="1:9" ht="15">
      <c r="A86" s="4774"/>
      <c r="B86" s="4774"/>
      <c r="C86" s="4776"/>
      <c r="D86" s="4777"/>
      <c r="E86" s="4778"/>
      <c r="F86" s="4777"/>
      <c r="G86" s="4776"/>
      <c r="H86" s="4777"/>
      <c r="I86" s="4778"/>
    </row>
    <row r="87" spans="1:9" ht="15">
      <c r="A87" s="4774"/>
      <c r="B87" s="4774"/>
      <c r="C87" s="4776"/>
      <c r="D87" s="4777"/>
      <c r="E87" s="4778"/>
      <c r="F87" s="4777"/>
      <c r="G87" s="4776"/>
      <c r="H87" s="4777"/>
      <c r="I87" s="4778"/>
    </row>
    <row r="88" spans="1:9" ht="15">
      <c r="A88" s="4774"/>
      <c r="B88" s="4774"/>
      <c r="C88" s="4776"/>
      <c r="D88" s="4777"/>
      <c r="E88" s="4778"/>
      <c r="F88" s="4777"/>
      <c r="G88" s="4776"/>
      <c r="H88" s="4777"/>
      <c r="I88" s="4778"/>
    </row>
    <row r="89" spans="1:9" ht="15">
      <c r="A89" s="4774"/>
      <c r="B89" s="4774"/>
      <c r="C89" s="4776"/>
      <c r="D89" s="4777"/>
      <c r="E89" s="4778"/>
      <c r="F89" s="4777"/>
      <c r="G89" s="4776"/>
      <c r="H89" s="4777"/>
      <c r="I89" s="4778"/>
    </row>
    <row r="90" spans="1:9" ht="15">
      <c r="A90" s="4774"/>
      <c r="B90" s="4774"/>
      <c r="C90" s="4776"/>
      <c r="D90" s="4777"/>
      <c r="E90" s="4778"/>
      <c r="F90" s="4777"/>
      <c r="G90" s="4776"/>
      <c r="H90" s="4777"/>
      <c r="I90" s="4778"/>
    </row>
    <row r="91" spans="1:9" ht="15">
      <c r="A91" s="4774"/>
      <c r="B91" s="4774"/>
      <c r="C91" s="4776"/>
      <c r="D91" s="4777"/>
      <c r="E91" s="4778"/>
      <c r="F91" s="4777"/>
      <c r="G91" s="4776"/>
      <c r="H91" s="4777"/>
      <c r="I91" s="4778"/>
    </row>
    <row r="92" spans="1:9" ht="15">
      <c r="A92" s="4774"/>
      <c r="B92" s="4774"/>
      <c r="C92" s="4776"/>
      <c r="D92" s="4777"/>
      <c r="E92" s="4778"/>
      <c r="F92" s="4777"/>
      <c r="G92" s="4776"/>
      <c r="H92" s="4777"/>
      <c r="I92" s="4778"/>
    </row>
    <row r="93" spans="1:9" ht="15">
      <c r="A93" s="4774"/>
      <c r="B93" s="4774"/>
      <c r="C93" s="4776"/>
      <c r="D93" s="4777"/>
      <c r="E93" s="4778"/>
      <c r="F93" s="4777"/>
      <c r="G93" s="4776"/>
      <c r="H93" s="4777"/>
      <c r="I93" s="4778"/>
    </row>
    <row r="94" spans="1:9" ht="15">
      <c r="A94" s="4774"/>
      <c r="B94" s="4774"/>
      <c r="C94" s="4776"/>
      <c r="D94" s="4777"/>
      <c r="E94" s="4778"/>
      <c r="F94" s="4777"/>
      <c r="G94" s="4776"/>
      <c r="H94" s="4777"/>
      <c r="I94" s="4778"/>
    </row>
    <row r="95" spans="1:9" ht="15">
      <c r="A95" s="4774"/>
      <c r="B95" s="4774"/>
      <c r="C95" s="4776"/>
      <c r="D95" s="4777"/>
      <c r="E95" s="4778"/>
      <c r="F95" s="4777"/>
      <c r="G95" s="4776"/>
      <c r="H95" s="4777"/>
      <c r="I95" s="4778"/>
    </row>
    <row r="96" spans="1:9" ht="15">
      <c r="A96" s="4774"/>
      <c r="B96" s="4774"/>
      <c r="C96" s="4776"/>
      <c r="D96" s="4777"/>
      <c r="E96" s="4778"/>
      <c r="F96" s="4777"/>
      <c r="G96" s="4776"/>
      <c r="H96" s="4777"/>
      <c r="I96" s="4778"/>
    </row>
    <row r="97" spans="1:9" ht="15">
      <c r="A97" s="4774"/>
      <c r="B97" s="4774"/>
      <c r="C97" s="4776"/>
      <c r="D97" s="4777"/>
      <c r="E97" s="4778"/>
      <c r="F97" s="4777"/>
      <c r="G97" s="4776"/>
      <c r="H97" s="4777"/>
      <c r="I97" s="4778"/>
    </row>
    <row r="98" spans="1:9" ht="15">
      <c r="A98" s="4774"/>
      <c r="B98" s="4774"/>
      <c r="C98" s="4776"/>
      <c r="D98" s="4777"/>
      <c r="E98" s="4778"/>
      <c r="F98" s="4777"/>
      <c r="G98" s="4776"/>
      <c r="H98" s="4777"/>
      <c r="I98" s="4778"/>
    </row>
    <row r="99" spans="1:9" ht="15">
      <c r="A99" s="4774"/>
      <c r="B99" s="4774"/>
      <c r="C99" s="4776"/>
      <c r="D99" s="4777"/>
      <c r="E99" s="4778"/>
      <c r="F99" s="4777"/>
      <c r="G99" s="4776"/>
      <c r="H99" s="4777"/>
      <c r="I99" s="4778"/>
    </row>
    <row r="100" spans="1:9" ht="15">
      <c r="A100" s="4774"/>
      <c r="B100" s="4774"/>
      <c r="C100" s="4776"/>
      <c r="D100" s="4777"/>
      <c r="E100" s="4778"/>
      <c r="F100" s="4777"/>
      <c r="G100" s="4776"/>
      <c r="H100" s="4777"/>
      <c r="I100" s="4778"/>
    </row>
    <row r="101" spans="1:9" ht="15">
      <c r="A101" s="4774"/>
      <c r="B101" s="4774"/>
      <c r="C101" s="4776"/>
      <c r="D101" s="4777"/>
      <c r="E101" s="4778"/>
      <c r="F101" s="4777"/>
      <c r="G101" s="4776"/>
      <c r="H101" s="4777"/>
      <c r="I101" s="4778"/>
    </row>
    <row r="102" spans="1:9" ht="15">
      <c r="A102" s="4774"/>
      <c r="B102" s="4774"/>
      <c r="C102" s="4776"/>
      <c r="D102" s="4777"/>
      <c r="E102" s="4778"/>
      <c r="F102" s="4777"/>
      <c r="G102" s="4776"/>
      <c r="H102" s="4777"/>
      <c r="I102" s="4778"/>
    </row>
    <row r="103" spans="1:9" ht="15">
      <c r="A103" s="4774"/>
      <c r="B103" s="4774"/>
      <c r="C103" s="4776"/>
      <c r="D103" s="4777"/>
      <c r="E103" s="4778"/>
      <c r="F103" s="4777"/>
      <c r="G103" s="4776"/>
      <c r="H103" s="4777"/>
      <c r="I103" s="4778"/>
    </row>
    <row r="104" spans="1:9" ht="15">
      <c r="A104" s="4774"/>
      <c r="B104" s="4774"/>
      <c r="C104" s="4776"/>
      <c r="D104" s="4777"/>
      <c r="E104" s="4778"/>
      <c r="F104" s="4777"/>
      <c r="G104" s="4776"/>
      <c r="H104" s="4777"/>
      <c r="I104" s="4778"/>
    </row>
    <row r="105" spans="1:9" ht="15">
      <c r="A105" s="4774"/>
      <c r="B105" s="4774"/>
      <c r="C105" s="4776"/>
      <c r="D105" s="4777"/>
      <c r="E105" s="4778"/>
      <c r="F105" s="4777"/>
      <c r="G105" s="4776"/>
      <c r="H105" s="4777"/>
      <c r="I105" s="4778"/>
    </row>
    <row r="106" spans="1:9" ht="15">
      <c r="A106" s="4774"/>
      <c r="B106" s="4774"/>
      <c r="C106" s="4776"/>
      <c r="D106" s="4777"/>
      <c r="E106" s="4778"/>
      <c r="F106" s="4777"/>
      <c r="G106" s="4776"/>
      <c r="H106" s="4777"/>
      <c r="I106" s="4778"/>
    </row>
    <row r="107" spans="1:9" ht="15">
      <c r="A107" s="4774"/>
      <c r="B107" s="4774"/>
      <c r="C107" s="4776"/>
      <c r="D107" s="4777"/>
      <c r="E107" s="4778"/>
      <c r="F107" s="4777"/>
      <c r="G107" s="4776"/>
      <c r="H107" s="4777"/>
      <c r="I107" s="4778"/>
    </row>
    <row r="108" spans="1:9" ht="15">
      <c r="A108" s="4774"/>
      <c r="B108" s="4774"/>
      <c r="C108" s="4776"/>
      <c r="D108" s="4777"/>
      <c r="E108" s="4778"/>
      <c r="F108" s="4777"/>
      <c r="G108" s="4776"/>
      <c r="H108" s="4777"/>
      <c r="I108" s="4778"/>
    </row>
    <row r="109" spans="1:9" ht="15">
      <c r="A109" s="4774"/>
      <c r="B109" s="4774"/>
      <c r="C109" s="4776"/>
      <c r="D109" s="4777"/>
      <c r="E109" s="4778"/>
      <c r="F109" s="4777"/>
      <c r="G109" s="4776"/>
      <c r="H109" s="4777"/>
      <c r="I109" s="4778"/>
    </row>
    <row r="110" spans="1:9" ht="15">
      <c r="A110" s="4774"/>
      <c r="B110" s="4774"/>
      <c r="C110" s="4776"/>
      <c r="D110" s="4777"/>
      <c r="E110" s="4778"/>
      <c r="F110" s="4777"/>
      <c r="G110" s="4776"/>
      <c r="H110" s="4777"/>
      <c r="I110" s="4778"/>
    </row>
    <row r="111" spans="1:9" ht="15">
      <c r="A111" s="4774"/>
      <c r="B111" s="4774"/>
      <c r="C111" s="4776"/>
      <c r="D111" s="4777"/>
      <c r="E111" s="4778"/>
      <c r="F111" s="4777"/>
      <c r="G111" s="4776"/>
      <c r="H111" s="4777"/>
      <c r="I111" s="4778"/>
    </row>
    <row r="112" spans="1:9" ht="15">
      <c r="A112" s="4774"/>
      <c r="B112" s="4774"/>
      <c r="C112" s="4776"/>
      <c r="D112" s="4777"/>
      <c r="E112" s="4778"/>
      <c r="F112" s="4777"/>
      <c r="G112" s="4776"/>
      <c r="H112" s="4777"/>
      <c r="I112" s="4778"/>
    </row>
    <row r="113" spans="1:9" ht="15">
      <c r="A113" s="4774"/>
      <c r="B113" s="4774"/>
      <c r="C113" s="4776"/>
      <c r="D113" s="4777"/>
      <c r="E113" s="4778"/>
      <c r="F113" s="4777"/>
      <c r="G113" s="4776"/>
      <c r="H113" s="4777"/>
      <c r="I113" s="4778"/>
    </row>
    <row r="114" spans="1:9" ht="15">
      <c r="A114" s="4774"/>
      <c r="B114" s="4774"/>
      <c r="C114" s="4776"/>
      <c r="D114" s="4777"/>
      <c r="E114" s="4778"/>
      <c r="F114" s="4777"/>
      <c r="G114" s="4776"/>
      <c r="H114" s="4777"/>
      <c r="I114" s="4778"/>
    </row>
    <row r="115" spans="1:9" ht="15">
      <c r="A115" s="4774"/>
      <c r="B115" s="4774"/>
      <c r="C115" s="4776"/>
      <c r="D115" s="4777"/>
      <c r="E115" s="4778"/>
      <c r="F115" s="4777"/>
      <c r="G115" s="4776"/>
      <c r="H115" s="4777"/>
      <c r="I115" s="4778"/>
    </row>
    <row r="116" spans="1:9" ht="15">
      <c r="A116" s="4774"/>
      <c r="B116" s="4774"/>
      <c r="C116" s="4776"/>
      <c r="D116" s="4777"/>
      <c r="E116" s="4778"/>
      <c r="F116" s="4777"/>
      <c r="G116" s="4776"/>
      <c r="H116" s="4777"/>
      <c r="I116" s="4778"/>
    </row>
    <row r="117" spans="1:9" ht="15">
      <c r="A117" s="4774"/>
      <c r="B117" s="4774"/>
      <c r="C117" s="4776"/>
      <c r="D117" s="4777"/>
      <c r="E117" s="4778"/>
      <c r="F117" s="4777"/>
      <c r="G117" s="4776"/>
      <c r="H117" s="4777"/>
      <c r="I117" s="4778"/>
    </row>
    <row r="118" spans="1:9" ht="15">
      <c r="A118" s="4774"/>
      <c r="B118" s="4774"/>
      <c r="C118" s="4776"/>
      <c r="D118" s="4777"/>
      <c r="E118" s="4778"/>
      <c r="F118" s="4777"/>
      <c r="G118" s="4776"/>
      <c r="H118" s="4777"/>
      <c r="I118" s="4778"/>
    </row>
    <row r="119" spans="1:9" ht="15">
      <c r="A119" s="4774"/>
      <c r="B119" s="4774"/>
      <c r="C119" s="4776"/>
      <c r="D119" s="4777"/>
      <c r="E119" s="4778"/>
      <c r="F119" s="4777"/>
      <c r="G119" s="4776"/>
      <c r="H119" s="4777"/>
      <c r="I119" s="4778"/>
    </row>
    <row r="120" spans="1:9" ht="15">
      <c r="A120" s="4774"/>
      <c r="B120" s="4774"/>
      <c r="C120" s="4776"/>
      <c r="D120" s="4777"/>
      <c r="E120" s="4778"/>
      <c r="F120" s="4777"/>
      <c r="G120" s="4776"/>
      <c r="H120" s="4777"/>
      <c r="I120" s="4778"/>
    </row>
    <row r="121" spans="1:9" ht="15">
      <c r="A121" s="4774"/>
      <c r="B121" s="4774"/>
      <c r="C121" s="4776"/>
      <c r="D121" s="4777"/>
      <c r="E121" s="4778"/>
      <c r="F121" s="4777"/>
      <c r="G121" s="4776"/>
      <c r="H121" s="4777"/>
      <c r="I121" s="4778"/>
    </row>
    <row r="122" spans="1:9" ht="15">
      <c r="A122" s="4774"/>
      <c r="B122" s="4774"/>
      <c r="C122" s="4776"/>
      <c r="D122" s="4777"/>
      <c r="E122" s="4778"/>
      <c r="F122" s="4777"/>
      <c r="G122" s="4776"/>
      <c r="H122" s="4777"/>
      <c r="I122" s="4778"/>
    </row>
    <row r="123" spans="1:9" ht="15">
      <c r="A123" s="4774"/>
      <c r="B123" s="4774"/>
      <c r="C123" s="4776"/>
      <c r="D123" s="4777"/>
      <c r="E123" s="4778"/>
      <c r="F123" s="4777"/>
      <c r="G123" s="4776"/>
      <c r="H123" s="4777"/>
      <c r="I123" s="4778"/>
    </row>
    <row r="124" spans="1:9" ht="15">
      <c r="A124" s="4774"/>
      <c r="B124" s="4774"/>
      <c r="C124" s="4776"/>
      <c r="D124" s="4777"/>
      <c r="E124" s="4778"/>
      <c r="F124" s="4777"/>
      <c r="G124" s="4776"/>
      <c r="H124" s="4777"/>
      <c r="I124" s="4778"/>
    </row>
    <row r="125" spans="1:9" ht="15">
      <c r="A125" s="4774"/>
      <c r="B125" s="4774"/>
      <c r="C125" s="4776"/>
      <c r="D125" s="4777"/>
      <c r="E125" s="4778"/>
      <c r="F125" s="4777"/>
      <c r="G125" s="4776"/>
      <c r="H125" s="4777"/>
      <c r="I125" s="4778"/>
    </row>
    <row r="126" spans="1:9" ht="15">
      <c r="A126" s="4774"/>
      <c r="B126" s="4774"/>
      <c r="C126" s="4776"/>
      <c r="D126" s="4777"/>
      <c r="E126" s="4778"/>
      <c r="F126" s="4777"/>
      <c r="G126" s="4776"/>
      <c r="H126" s="4777"/>
      <c r="I126" s="4778"/>
    </row>
    <row r="127" spans="1:9" ht="15">
      <c r="A127" s="4774"/>
      <c r="B127" s="4774"/>
      <c r="C127" s="4776"/>
      <c r="D127" s="4777"/>
      <c r="E127" s="4778"/>
      <c r="F127" s="4777"/>
      <c r="G127" s="4776"/>
      <c r="H127" s="4777"/>
      <c r="I127" s="4778"/>
    </row>
    <row r="128" spans="1:9" ht="15">
      <c r="A128" s="4774"/>
      <c r="B128" s="4774"/>
      <c r="C128" s="4776"/>
      <c r="D128" s="4777"/>
      <c r="E128" s="4778"/>
      <c r="F128" s="4777"/>
      <c r="G128" s="4776"/>
      <c r="H128" s="4777"/>
      <c r="I128" s="4778"/>
    </row>
    <row r="129" spans="1:9" ht="15">
      <c r="A129" s="4774"/>
      <c r="B129" s="4774"/>
      <c r="C129" s="4776"/>
      <c r="D129" s="4777"/>
      <c r="E129" s="4778"/>
      <c r="F129" s="4777"/>
      <c r="G129" s="4776"/>
      <c r="H129" s="4777"/>
      <c r="I129" s="4778"/>
    </row>
    <row r="130" spans="1:9" ht="15">
      <c r="A130" s="4774"/>
      <c r="B130" s="4774"/>
      <c r="C130" s="4776"/>
      <c r="D130" s="4777"/>
      <c r="E130" s="4778"/>
      <c r="F130" s="4777"/>
      <c r="G130" s="4776"/>
      <c r="H130" s="4777"/>
      <c r="I130" s="4778"/>
    </row>
    <row r="131" spans="1:9" ht="15">
      <c r="A131" s="4774"/>
      <c r="B131" s="4774"/>
      <c r="C131" s="4776"/>
      <c r="D131" s="4777"/>
      <c r="E131" s="4778"/>
      <c r="F131" s="4777"/>
      <c r="G131" s="4776"/>
      <c r="H131" s="4777"/>
      <c r="I131" s="4778"/>
    </row>
    <row r="132" spans="1:9" ht="15">
      <c r="A132" s="4774"/>
      <c r="B132" s="4774"/>
      <c r="C132" s="4776"/>
      <c r="D132" s="4777"/>
      <c r="E132" s="4778"/>
      <c r="F132" s="4777"/>
      <c r="G132" s="4776"/>
      <c r="H132" s="4777"/>
      <c r="I132" s="4778"/>
    </row>
    <row r="133" spans="1:9" ht="15">
      <c r="A133" s="4774"/>
      <c r="B133" s="4774"/>
      <c r="C133" s="4776"/>
      <c r="D133" s="4777"/>
      <c r="E133" s="4778"/>
      <c r="F133" s="4777"/>
      <c r="G133" s="4776"/>
      <c r="H133" s="4777"/>
      <c r="I133" s="4778"/>
    </row>
    <row r="134" spans="1:9" ht="15">
      <c r="A134" s="4774"/>
      <c r="B134" s="4774"/>
      <c r="C134" s="4776"/>
      <c r="D134" s="4777"/>
      <c r="E134" s="4778"/>
      <c r="F134" s="4777"/>
      <c r="G134" s="4776"/>
      <c r="H134" s="4777"/>
      <c r="I134" s="4778"/>
    </row>
    <row r="135" spans="1:9" ht="15">
      <c r="A135" s="4774"/>
      <c r="B135" s="4774"/>
      <c r="C135" s="4776"/>
      <c r="D135" s="4777"/>
      <c r="E135" s="4778"/>
      <c r="F135" s="4777"/>
      <c r="G135" s="4776"/>
      <c r="H135" s="4777"/>
      <c r="I135" s="4778"/>
    </row>
    <row r="136" spans="1:9" ht="15">
      <c r="A136" s="4774"/>
      <c r="B136" s="4774"/>
      <c r="C136" s="4776"/>
      <c r="D136" s="4777"/>
      <c r="E136" s="4778"/>
      <c r="F136" s="4777"/>
      <c r="G136" s="4776"/>
      <c r="H136" s="4777"/>
      <c r="I136" s="4778"/>
    </row>
    <row r="137" spans="1:9" ht="15">
      <c r="A137" s="4774"/>
      <c r="B137" s="4774"/>
      <c r="C137" s="4776"/>
      <c r="D137" s="4777"/>
      <c r="E137" s="4778"/>
      <c r="F137" s="4777"/>
      <c r="G137" s="4776"/>
      <c r="H137" s="4777"/>
      <c r="I137" s="4778"/>
    </row>
    <row r="138" spans="1:9" ht="15">
      <c r="A138" s="4774"/>
      <c r="B138" s="4774"/>
      <c r="C138" s="4776"/>
      <c r="D138" s="4777"/>
      <c r="E138" s="4778"/>
      <c r="F138" s="4777"/>
      <c r="G138" s="4776"/>
      <c r="H138" s="4777"/>
      <c r="I138" s="4778"/>
    </row>
    <row r="139" spans="1:9" ht="15">
      <c r="A139" s="4774"/>
      <c r="B139" s="4774"/>
      <c r="C139" s="4776"/>
      <c r="D139" s="4777"/>
      <c r="E139" s="4778"/>
      <c r="F139" s="4777"/>
      <c r="G139" s="4776"/>
      <c r="H139" s="4777"/>
      <c r="I139" s="4778"/>
    </row>
    <row r="140" spans="1:9" ht="15">
      <c r="A140" s="4774"/>
      <c r="B140" s="4774"/>
      <c r="C140" s="4776"/>
      <c r="D140" s="4777"/>
      <c r="E140" s="4778"/>
      <c r="F140" s="4777"/>
      <c r="G140" s="4776"/>
      <c r="H140" s="4777"/>
      <c r="I140" s="4778"/>
    </row>
    <row r="141" spans="1:9" ht="15">
      <c r="A141" s="4774"/>
      <c r="B141" s="4774"/>
      <c r="C141" s="4776"/>
      <c r="D141" s="4777"/>
      <c r="E141" s="4778"/>
      <c r="F141" s="4777"/>
      <c r="G141" s="4776"/>
      <c r="H141" s="4777"/>
      <c r="I141" s="4778"/>
    </row>
    <row r="142" spans="1:9" ht="15">
      <c r="A142" s="4774"/>
      <c r="B142" s="4774"/>
      <c r="C142" s="4776"/>
      <c r="D142" s="4777"/>
      <c r="E142" s="4778"/>
      <c r="F142" s="4777"/>
      <c r="G142" s="4776"/>
      <c r="H142" s="4777"/>
      <c r="I142" s="4778"/>
    </row>
    <row r="143" spans="1:9" ht="15">
      <c r="A143" s="4774"/>
      <c r="B143" s="4774"/>
      <c r="C143" s="4776"/>
      <c r="D143" s="4777"/>
      <c r="E143" s="4778"/>
      <c r="F143" s="4777"/>
      <c r="G143" s="4776"/>
      <c r="H143" s="4777"/>
      <c r="I143" s="4778"/>
    </row>
    <row r="144" spans="1:9" ht="15">
      <c r="A144" s="4774"/>
      <c r="B144" s="4774"/>
      <c r="C144" s="4776"/>
      <c r="D144" s="4777"/>
      <c r="E144" s="4778"/>
      <c r="F144" s="4777"/>
      <c r="G144" s="4776"/>
      <c r="H144" s="4777"/>
      <c r="I144" s="4778"/>
    </row>
    <row r="145" spans="1:9" ht="15">
      <c r="A145" s="4774"/>
      <c r="B145" s="4774"/>
      <c r="C145" s="4776"/>
      <c r="D145" s="4777"/>
      <c r="E145" s="4778"/>
      <c r="F145" s="4777"/>
      <c r="G145" s="4776"/>
      <c r="H145" s="4777"/>
      <c r="I145" s="4778"/>
    </row>
    <row r="146" spans="1:9" ht="15">
      <c r="A146" s="4774"/>
      <c r="B146" s="4774"/>
      <c r="C146" s="4776"/>
      <c r="D146" s="4777"/>
      <c r="E146" s="4778"/>
      <c r="F146" s="4777"/>
      <c r="G146" s="4776"/>
      <c r="H146" s="4777"/>
      <c r="I146" s="4778"/>
    </row>
    <row r="147" spans="1:9" ht="15">
      <c r="A147" s="4774"/>
      <c r="B147" s="4774"/>
      <c r="C147" s="4776"/>
      <c r="D147" s="4777"/>
      <c r="E147" s="4778"/>
      <c r="F147" s="4777"/>
      <c r="G147" s="4776"/>
      <c r="H147" s="4777"/>
      <c r="I147" s="4778"/>
    </row>
    <row r="148" spans="1:9" ht="15">
      <c r="A148" s="4774"/>
      <c r="B148" s="4774"/>
      <c r="C148" s="4776"/>
      <c r="D148" s="4777"/>
      <c r="E148" s="4778"/>
      <c r="F148" s="4777"/>
      <c r="G148" s="4776"/>
      <c r="H148" s="4777"/>
      <c r="I148" s="4778"/>
    </row>
    <row r="149" spans="1:9" ht="15">
      <c r="A149" s="4774"/>
      <c r="B149" s="4774"/>
      <c r="C149" s="4776"/>
      <c r="D149" s="4777"/>
      <c r="E149" s="4778"/>
      <c r="F149" s="4777"/>
      <c r="G149" s="4776"/>
      <c r="H149" s="4777"/>
      <c r="I149" s="4778"/>
    </row>
    <row r="150" spans="1:9" ht="15">
      <c r="A150" s="4774"/>
      <c r="B150" s="4774"/>
      <c r="C150" s="4776"/>
      <c r="D150" s="4777"/>
      <c r="E150" s="4778"/>
      <c r="F150" s="4777"/>
      <c r="G150" s="4776"/>
      <c r="H150" s="4777"/>
      <c r="I150" s="4778"/>
    </row>
    <row r="151" spans="1:9" ht="15">
      <c r="A151" s="4774"/>
      <c r="B151" s="4774"/>
      <c r="C151" s="4776"/>
      <c r="D151" s="4777"/>
      <c r="E151" s="4778"/>
      <c r="F151" s="4777"/>
      <c r="G151" s="4776"/>
      <c r="H151" s="4777"/>
      <c r="I151" s="4778"/>
    </row>
    <row r="152" spans="1:9" ht="15">
      <c r="A152" s="4774"/>
      <c r="B152" s="4774"/>
      <c r="C152" s="4776"/>
      <c r="D152" s="4777"/>
      <c r="E152" s="4778"/>
      <c r="F152" s="4777"/>
      <c r="G152" s="4776"/>
      <c r="H152" s="4777"/>
      <c r="I152" s="4778"/>
    </row>
    <row r="153" spans="1:9" ht="15">
      <c r="A153" s="4774"/>
      <c r="B153" s="4774"/>
      <c r="C153" s="4776"/>
      <c r="D153" s="4777"/>
      <c r="E153" s="4778"/>
      <c r="F153" s="4777"/>
      <c r="G153" s="4776"/>
      <c r="H153" s="4777"/>
      <c r="I153" s="4778"/>
    </row>
    <row r="154" spans="1:9" ht="15">
      <c r="A154" s="4774"/>
      <c r="B154" s="4774"/>
      <c r="C154" s="4776"/>
      <c r="D154" s="4777"/>
      <c r="E154" s="4778"/>
      <c r="F154" s="4777"/>
      <c r="G154" s="4776"/>
      <c r="H154" s="4777"/>
      <c r="I154" s="4778"/>
    </row>
    <row r="155" spans="1:9" ht="15">
      <c r="A155" s="4774"/>
      <c r="B155" s="4774"/>
      <c r="C155" s="4776"/>
      <c r="D155" s="4777"/>
      <c r="E155" s="4778"/>
      <c r="F155" s="4777"/>
      <c r="G155" s="4776"/>
      <c r="H155" s="4777"/>
      <c r="I155" s="4778"/>
    </row>
    <row r="156" spans="1:9" ht="15">
      <c r="A156" s="4774"/>
      <c r="B156" s="4774"/>
      <c r="C156" s="4776"/>
      <c r="D156" s="4777"/>
      <c r="E156" s="4778"/>
      <c r="F156" s="4777"/>
      <c r="G156" s="4776"/>
      <c r="H156" s="4777"/>
      <c r="I156" s="4778"/>
    </row>
    <row r="157" spans="1:9" ht="15">
      <c r="A157" s="4774"/>
      <c r="B157" s="4774"/>
      <c r="C157" s="4776"/>
      <c r="D157" s="4777"/>
      <c r="E157" s="4778"/>
      <c r="F157" s="4777"/>
      <c r="G157" s="4776"/>
      <c r="H157" s="4777"/>
      <c r="I157" s="4778"/>
    </row>
    <row r="158" spans="1:9" ht="15">
      <c r="A158" s="4774"/>
      <c r="B158" s="4774"/>
      <c r="C158" s="4776"/>
      <c r="D158" s="4777"/>
      <c r="E158" s="4778"/>
      <c r="F158" s="4777"/>
      <c r="G158" s="4776"/>
      <c r="H158" s="4777"/>
      <c r="I158" s="4778"/>
    </row>
    <row r="159" spans="1:9" ht="15">
      <c r="A159" s="4774"/>
      <c r="B159" s="4774"/>
      <c r="C159" s="4776"/>
      <c r="D159" s="4777"/>
      <c r="E159" s="4778"/>
      <c r="F159" s="4777"/>
      <c r="G159" s="4776"/>
      <c r="H159" s="4777"/>
      <c r="I159" s="4778"/>
    </row>
    <row r="160" spans="1:9" ht="15">
      <c r="A160" s="4774"/>
      <c r="B160" s="4774"/>
      <c r="C160" s="4776"/>
      <c r="D160" s="4777"/>
      <c r="E160" s="4778"/>
      <c r="F160" s="4777"/>
      <c r="G160" s="4776"/>
      <c r="H160" s="4777"/>
      <c r="I160" s="4778"/>
    </row>
    <row r="161" spans="1:9" ht="15">
      <c r="A161" s="4774"/>
      <c r="B161" s="4774"/>
      <c r="C161" s="4776"/>
      <c r="D161" s="4777"/>
      <c r="E161" s="4778"/>
      <c r="F161" s="4777"/>
      <c r="G161" s="4776"/>
      <c r="H161" s="4777"/>
      <c r="I161" s="4778"/>
    </row>
    <row r="162" spans="1:9" ht="15">
      <c r="A162" s="4774"/>
      <c r="B162" s="4774"/>
      <c r="C162" s="4776"/>
      <c r="D162" s="4777"/>
      <c r="E162" s="4778"/>
      <c r="F162" s="4777"/>
      <c r="G162" s="4776"/>
      <c r="H162" s="4777"/>
      <c r="I162" s="4778"/>
    </row>
    <row r="163" spans="1:9" ht="15">
      <c r="A163" s="4774"/>
      <c r="B163" s="4774"/>
      <c r="C163" s="4776"/>
      <c r="D163" s="4777"/>
      <c r="E163" s="4778"/>
      <c r="F163" s="4777"/>
      <c r="G163" s="4776"/>
      <c r="H163" s="4777"/>
      <c r="I163" s="4778"/>
    </row>
    <row r="164" spans="1:9" ht="15">
      <c r="A164" s="4774"/>
      <c r="B164" s="4774"/>
      <c r="C164" s="4776"/>
      <c r="D164" s="4777"/>
      <c r="E164" s="4778"/>
      <c r="F164" s="4777"/>
      <c r="G164" s="4776"/>
      <c r="H164" s="4777"/>
      <c r="I164" s="4778"/>
    </row>
    <row r="165" spans="1:9" ht="15">
      <c r="A165" s="4774"/>
      <c r="B165" s="4774"/>
      <c r="C165" s="4776"/>
      <c r="D165" s="4777"/>
      <c r="E165" s="4778"/>
      <c r="F165" s="4777"/>
      <c r="G165" s="4776"/>
      <c r="H165" s="4777"/>
      <c r="I165" s="4778"/>
    </row>
    <row r="166" spans="1:9" ht="15">
      <c r="A166" s="4774"/>
      <c r="B166" s="4774"/>
      <c r="C166" s="4776"/>
      <c r="D166" s="4777"/>
      <c r="E166" s="4778"/>
      <c r="F166" s="4777"/>
      <c r="G166" s="4776"/>
      <c r="H166" s="4777"/>
      <c r="I166" s="4778"/>
    </row>
    <row r="167" spans="1:9" ht="15">
      <c r="A167" s="4774"/>
      <c r="B167" s="4774"/>
      <c r="C167" s="4776"/>
      <c r="D167" s="4777"/>
      <c r="E167" s="4778"/>
      <c r="F167" s="4777"/>
      <c r="G167" s="4776"/>
      <c r="H167" s="4777"/>
      <c r="I167" s="4778"/>
    </row>
    <row r="168" spans="1:9" ht="15">
      <c r="A168" s="4774"/>
      <c r="B168" s="4774"/>
      <c r="C168" s="4776"/>
      <c r="D168" s="4777"/>
      <c r="E168" s="4778"/>
      <c r="F168" s="4777"/>
      <c r="G168" s="4776"/>
      <c r="H168" s="4777"/>
      <c r="I168" s="4778"/>
    </row>
    <row r="169" spans="1:9" ht="15">
      <c r="A169" s="4774"/>
      <c r="B169" s="4774"/>
      <c r="C169" s="4776"/>
      <c r="D169" s="4777"/>
      <c r="E169" s="4778"/>
      <c r="F169" s="4777"/>
      <c r="G169" s="4776"/>
      <c r="H169" s="4777"/>
      <c r="I169" s="4778"/>
    </row>
    <row r="170" spans="1:9" ht="15">
      <c r="A170" s="4774"/>
      <c r="B170" s="4774"/>
      <c r="C170" s="4776"/>
      <c r="D170" s="4777"/>
      <c r="E170" s="4778"/>
      <c r="F170" s="4777"/>
      <c r="G170" s="4776"/>
      <c r="H170" s="4777"/>
      <c r="I170" s="4778"/>
    </row>
    <row r="171" spans="1:9" ht="15">
      <c r="A171" s="4774"/>
      <c r="B171" s="4774"/>
      <c r="C171" s="4776"/>
      <c r="D171" s="4777"/>
      <c r="E171" s="4778"/>
      <c r="F171" s="4777"/>
      <c r="G171" s="4776"/>
      <c r="H171" s="4777"/>
      <c r="I171" s="4778"/>
    </row>
    <row r="172" spans="1:9" ht="15">
      <c r="A172" s="4774"/>
      <c r="B172" s="4774"/>
      <c r="C172" s="4776"/>
      <c r="D172" s="4777"/>
      <c r="E172" s="4778"/>
      <c r="F172" s="4777"/>
      <c r="G172" s="4776"/>
      <c r="H172" s="4777"/>
      <c r="I172" s="4778"/>
    </row>
    <row r="173" spans="1:9" ht="15">
      <c r="A173" s="4774"/>
      <c r="B173" s="4774"/>
      <c r="C173" s="4776"/>
      <c r="D173" s="4777"/>
      <c r="E173" s="4778"/>
      <c r="F173" s="4777"/>
      <c r="G173" s="4776"/>
      <c r="H173" s="4777"/>
      <c r="I173" s="4778"/>
    </row>
    <row r="174" spans="1:9" ht="15">
      <c r="A174" s="4774"/>
      <c r="B174" s="4774"/>
      <c r="C174" s="4776"/>
      <c r="D174" s="4777"/>
      <c r="E174" s="4778"/>
      <c r="F174" s="4777"/>
      <c r="G174" s="4776"/>
      <c r="H174" s="4777"/>
      <c r="I174" s="4778"/>
    </row>
    <row r="175" spans="1:9" ht="15">
      <c r="A175" s="4774"/>
      <c r="B175" s="4774"/>
      <c r="C175" s="4776"/>
      <c r="D175" s="4777"/>
      <c r="E175" s="4778"/>
      <c r="F175" s="4777"/>
      <c r="G175" s="4776"/>
      <c r="H175" s="4777"/>
      <c r="I175" s="4778"/>
    </row>
    <row r="176" spans="1:9" ht="15">
      <c r="A176" s="4774"/>
      <c r="B176" s="4774"/>
      <c r="C176" s="4776"/>
      <c r="D176" s="4777"/>
      <c r="E176" s="4778"/>
      <c r="F176" s="4777"/>
      <c r="G176" s="4776"/>
      <c r="H176" s="4777"/>
      <c r="I176" s="4778"/>
    </row>
    <row r="177" spans="1:9" ht="15">
      <c r="A177" s="4774"/>
      <c r="B177" s="4774"/>
      <c r="C177" s="4776"/>
      <c r="D177" s="4777"/>
      <c r="E177" s="4778"/>
      <c r="F177" s="4777"/>
      <c r="G177" s="4776"/>
      <c r="H177" s="4777"/>
      <c r="I177" s="4778"/>
    </row>
    <row r="178" spans="1:9" ht="15">
      <c r="A178" s="4774"/>
      <c r="B178" s="4774"/>
      <c r="C178" s="4776"/>
      <c r="D178" s="4777"/>
      <c r="E178" s="4778"/>
      <c r="F178" s="4777"/>
      <c r="G178" s="4776"/>
      <c r="H178" s="4777"/>
      <c r="I178" s="4778"/>
    </row>
    <row r="179" spans="1:9" ht="15">
      <c r="A179" s="4774"/>
      <c r="B179" s="4774"/>
      <c r="C179" s="4776"/>
      <c r="D179" s="4777"/>
      <c r="E179" s="4778"/>
      <c r="F179" s="4777"/>
      <c r="G179" s="4776"/>
      <c r="H179" s="4777"/>
      <c r="I179" s="4778"/>
    </row>
    <row r="180" spans="1:9" ht="15">
      <c r="A180" s="4774"/>
      <c r="B180" s="4774"/>
      <c r="C180" s="4776"/>
      <c r="D180" s="4777"/>
      <c r="E180" s="4778"/>
      <c r="F180" s="4777"/>
      <c r="G180" s="4776"/>
      <c r="H180" s="4777"/>
      <c r="I180" s="4778"/>
    </row>
    <row r="181" spans="1:9" ht="15">
      <c r="A181" s="4774"/>
      <c r="B181" s="4774"/>
      <c r="C181" s="4776"/>
      <c r="D181" s="4777"/>
      <c r="E181" s="4778"/>
      <c r="F181" s="4777"/>
      <c r="G181" s="4776"/>
      <c r="H181" s="4777"/>
      <c r="I181" s="4778"/>
    </row>
    <row r="182" spans="1:9" ht="15">
      <c r="A182" s="4774"/>
      <c r="B182" s="4774"/>
      <c r="C182" s="4776"/>
      <c r="D182" s="4777"/>
      <c r="E182" s="4778"/>
      <c r="F182" s="4777"/>
      <c r="G182" s="4776"/>
      <c r="H182" s="4777"/>
      <c r="I182" s="4778"/>
    </row>
    <row r="183" spans="1:9" ht="15">
      <c r="A183" s="4774"/>
      <c r="B183" s="4774"/>
      <c r="C183" s="4776"/>
      <c r="D183" s="4777"/>
      <c r="E183" s="4778"/>
      <c r="F183" s="4777"/>
      <c r="G183" s="4776"/>
      <c r="H183" s="4777"/>
      <c r="I183" s="4778"/>
    </row>
    <row r="184" spans="1:9" ht="15">
      <c r="A184" s="4774"/>
      <c r="B184" s="4774"/>
      <c r="C184" s="4776"/>
      <c r="D184" s="4777"/>
      <c r="E184" s="4778"/>
      <c r="F184" s="4777"/>
      <c r="G184" s="4776"/>
      <c r="H184" s="4777"/>
      <c r="I184" s="4778"/>
    </row>
    <row r="185" spans="1:9" ht="15">
      <c r="A185" s="4774"/>
      <c r="B185" s="4774"/>
      <c r="C185" s="4776"/>
      <c r="D185" s="4777"/>
      <c r="E185" s="4778"/>
      <c r="F185" s="4777"/>
      <c r="G185" s="4776"/>
      <c r="H185" s="4777"/>
      <c r="I185" s="4778"/>
    </row>
    <row r="186" spans="1:9" ht="15">
      <c r="A186" s="4774"/>
      <c r="B186" s="4774"/>
      <c r="C186" s="4776"/>
      <c r="D186" s="4777"/>
      <c r="E186" s="4778"/>
      <c r="F186" s="4777"/>
      <c r="G186" s="4776"/>
      <c r="H186" s="4777"/>
      <c r="I186" s="4778"/>
    </row>
    <row r="187" spans="1:9" ht="15">
      <c r="A187" s="4774"/>
      <c r="B187" s="4774"/>
      <c r="C187" s="4776"/>
      <c r="D187" s="4777"/>
      <c r="E187" s="4778"/>
      <c r="F187" s="4777"/>
      <c r="G187" s="4776"/>
      <c r="H187" s="4777"/>
      <c r="I187" s="4778"/>
    </row>
    <row r="188" spans="1:9" ht="15">
      <c r="A188" s="4774"/>
      <c r="B188" s="4774"/>
      <c r="C188" s="4776"/>
      <c r="D188" s="4777"/>
      <c r="E188" s="4778"/>
      <c r="F188" s="4777"/>
      <c r="G188" s="4776"/>
      <c r="H188" s="4777"/>
      <c r="I188" s="4778"/>
    </row>
    <row r="189" spans="1:9" ht="15">
      <c r="A189" s="4774"/>
      <c r="B189" s="4774"/>
      <c r="C189" s="4776"/>
      <c r="D189" s="4777"/>
      <c r="E189" s="4778"/>
      <c r="F189" s="4777"/>
      <c r="G189" s="4776"/>
      <c r="H189" s="4777"/>
      <c r="I189" s="4778"/>
    </row>
    <row r="190" spans="1:9" ht="15">
      <c r="A190" s="4774"/>
      <c r="B190" s="4774"/>
      <c r="C190" s="4776"/>
      <c r="D190" s="4777"/>
      <c r="E190" s="4778"/>
      <c r="F190" s="4777"/>
      <c r="G190" s="4776"/>
      <c r="H190" s="4777"/>
      <c r="I190" s="4778"/>
    </row>
    <row r="191" spans="1:9" ht="15">
      <c r="A191" s="4774"/>
      <c r="B191" s="4774"/>
      <c r="C191" s="4776"/>
      <c r="D191" s="4777"/>
      <c r="E191" s="4778"/>
      <c r="F191" s="4777"/>
      <c r="G191" s="4776"/>
      <c r="H191" s="4777"/>
      <c r="I191" s="4778"/>
    </row>
    <row r="192" spans="1:9" ht="15">
      <c r="A192" s="4774"/>
      <c r="B192" s="4774"/>
      <c r="C192" s="4776"/>
      <c r="D192" s="4777"/>
      <c r="E192" s="4778"/>
      <c r="F192" s="4777"/>
      <c r="G192" s="4776"/>
      <c r="H192" s="4777"/>
      <c r="I192" s="4778"/>
    </row>
    <row r="193" spans="1:9" ht="15">
      <c r="A193" s="4774"/>
      <c r="B193" s="4774"/>
      <c r="C193" s="4776"/>
      <c r="D193" s="4777"/>
      <c r="E193" s="4778"/>
      <c r="F193" s="4777"/>
      <c r="G193" s="4776"/>
      <c r="H193" s="4777"/>
      <c r="I193" s="4778"/>
    </row>
    <row r="194" spans="1:9" ht="15">
      <c r="A194" s="4774"/>
      <c r="B194" s="4774"/>
      <c r="C194" s="4776"/>
      <c r="D194" s="4777"/>
      <c r="E194" s="4778"/>
      <c r="F194" s="4777"/>
      <c r="G194" s="4776"/>
      <c r="H194" s="4777"/>
      <c r="I194" s="4778"/>
    </row>
    <row r="195" spans="1:9" ht="15">
      <c r="A195" s="4774"/>
      <c r="B195" s="4774"/>
      <c r="C195" s="4776"/>
      <c r="D195" s="4777"/>
      <c r="E195" s="4778"/>
      <c r="F195" s="4777"/>
      <c r="G195" s="4776"/>
      <c r="H195" s="4777"/>
      <c r="I195" s="4778"/>
    </row>
    <row r="196" spans="1:9" ht="15">
      <c r="A196" s="4774"/>
      <c r="B196" s="4774"/>
      <c r="C196" s="4776"/>
      <c r="D196" s="4777"/>
      <c r="E196" s="4778"/>
      <c r="F196" s="4777"/>
      <c r="G196" s="4776"/>
      <c r="H196" s="4777"/>
      <c r="I196" s="4778"/>
    </row>
    <row r="197" spans="1:9" ht="15">
      <c r="A197" s="4774"/>
      <c r="B197" s="4774"/>
      <c r="C197" s="4776"/>
      <c r="D197" s="4777"/>
      <c r="E197" s="4778"/>
      <c r="F197" s="4777"/>
      <c r="G197" s="4776"/>
      <c r="H197" s="4777"/>
      <c r="I197" s="4778"/>
    </row>
    <row r="198" spans="1:9" ht="15">
      <c r="A198" s="4774"/>
      <c r="B198" s="4774"/>
      <c r="C198" s="4776"/>
      <c r="D198" s="4777"/>
      <c r="E198" s="4778"/>
      <c r="F198" s="4777"/>
      <c r="G198" s="4776"/>
      <c r="H198" s="4777"/>
      <c r="I198" s="4778"/>
    </row>
    <row r="199" spans="1:9" ht="15">
      <c r="A199" s="4774"/>
      <c r="B199" s="4774"/>
      <c r="C199" s="4776"/>
      <c r="D199" s="4777"/>
      <c r="E199" s="4778"/>
      <c r="F199" s="4777"/>
      <c r="G199" s="4776"/>
      <c r="H199" s="4777"/>
      <c r="I199" s="4778"/>
    </row>
    <row r="200" spans="1:9" ht="15">
      <c r="A200" s="4774"/>
      <c r="B200" s="4774"/>
      <c r="C200" s="4776"/>
      <c r="D200" s="4777"/>
      <c r="E200" s="4778"/>
      <c r="F200" s="4777"/>
      <c r="G200" s="4776"/>
      <c r="H200" s="4777"/>
      <c r="I200" s="4778"/>
    </row>
    <row r="201" spans="1:9" ht="15">
      <c r="A201" s="4774"/>
      <c r="B201" s="4774"/>
      <c r="C201" s="4776"/>
      <c r="D201" s="4777"/>
      <c r="E201" s="4778"/>
      <c r="F201" s="4777"/>
      <c r="G201" s="4776"/>
      <c r="H201" s="4777"/>
      <c r="I201" s="4778"/>
    </row>
    <row r="202" spans="1:9" ht="15">
      <c r="A202" s="4774"/>
      <c r="B202" s="4774"/>
      <c r="C202" s="4776"/>
      <c r="D202" s="4777"/>
      <c r="E202" s="4778"/>
      <c r="F202" s="4777"/>
      <c r="G202" s="4776"/>
      <c r="H202" s="4777"/>
      <c r="I202" s="4778"/>
    </row>
    <row r="203" spans="1:9" ht="15">
      <c r="A203" s="4774"/>
      <c r="B203" s="4774"/>
      <c r="C203" s="4776"/>
      <c r="D203" s="4777"/>
      <c r="E203" s="4778"/>
      <c r="F203" s="4777"/>
      <c r="G203" s="4776"/>
      <c r="H203" s="4777"/>
      <c r="I203" s="4778"/>
    </row>
    <row r="204" spans="1:9" ht="15">
      <c r="A204" s="4774"/>
      <c r="B204" s="4774"/>
      <c r="C204" s="4776"/>
      <c r="D204" s="4777"/>
      <c r="E204" s="4778"/>
      <c r="F204" s="4777"/>
      <c r="G204" s="4776"/>
      <c r="H204" s="4777"/>
      <c r="I204" s="4778"/>
    </row>
    <row r="205" spans="1:9" ht="15">
      <c r="A205" s="4774"/>
      <c r="B205" s="4774"/>
      <c r="C205" s="4776"/>
      <c r="D205" s="4777"/>
      <c r="E205" s="4778"/>
      <c r="F205" s="4777"/>
      <c r="G205" s="4776"/>
      <c r="H205" s="4777"/>
      <c r="I205" s="4778"/>
    </row>
    <row r="206" spans="1:9" ht="15">
      <c r="A206" s="4774"/>
      <c r="B206" s="4774"/>
      <c r="C206" s="4776"/>
      <c r="D206" s="4777"/>
      <c r="E206" s="4778"/>
      <c r="F206" s="4777"/>
      <c r="G206" s="4776"/>
      <c r="H206" s="4777"/>
      <c r="I206" s="4778"/>
    </row>
    <row r="207" spans="1:9" ht="15">
      <c r="A207" s="4774"/>
      <c r="B207" s="4774"/>
      <c r="C207" s="4776"/>
      <c r="D207" s="4777"/>
      <c r="E207" s="4778"/>
      <c r="F207" s="4777"/>
      <c r="G207" s="4776"/>
      <c r="H207" s="4777"/>
      <c r="I207" s="4778"/>
    </row>
    <row r="208" spans="1:9" ht="15">
      <c r="A208" s="4774"/>
      <c r="B208" s="4774"/>
      <c r="C208" s="4776"/>
      <c r="D208" s="4777"/>
      <c r="E208" s="4778"/>
      <c r="F208" s="4777"/>
      <c r="G208" s="4776"/>
      <c r="H208" s="4777"/>
      <c r="I208" s="4778"/>
    </row>
    <row r="209" spans="1:9" ht="15">
      <c r="A209" s="4774"/>
      <c r="B209" s="4774"/>
      <c r="C209" s="4776"/>
      <c r="D209" s="4777"/>
      <c r="E209" s="4778"/>
      <c r="F209" s="4777"/>
      <c r="G209" s="4776"/>
      <c r="H209" s="4777"/>
      <c r="I209" s="4778"/>
    </row>
    <row r="210" spans="1:9" ht="15">
      <c r="A210" s="4774"/>
      <c r="B210" s="4774"/>
      <c r="C210" s="4776"/>
      <c r="D210" s="4777"/>
      <c r="E210" s="4778"/>
      <c r="F210" s="4777"/>
      <c r="G210" s="4776"/>
      <c r="H210" s="4777"/>
      <c r="I210" s="4778"/>
    </row>
    <row r="211" spans="1:9" ht="15">
      <c r="A211" s="4774"/>
      <c r="B211" s="4774"/>
      <c r="C211" s="4776"/>
      <c r="D211" s="4777"/>
      <c r="E211" s="4778"/>
      <c r="F211" s="4777"/>
      <c r="G211" s="4776"/>
      <c r="H211" s="4777"/>
      <c r="I211" s="4778"/>
    </row>
    <row r="212" spans="1:9" ht="15">
      <c r="A212" s="4774"/>
      <c r="B212" s="4774"/>
      <c r="C212" s="4776"/>
      <c r="D212" s="4777"/>
      <c r="E212" s="4778"/>
      <c r="F212" s="4777"/>
      <c r="G212" s="4776"/>
      <c r="H212" s="4777"/>
      <c r="I212" s="4778"/>
    </row>
    <row r="213" spans="1:9" ht="15">
      <c r="A213" s="4774"/>
      <c r="B213" s="4774"/>
      <c r="C213" s="4776"/>
      <c r="D213" s="4777"/>
      <c r="E213" s="4778"/>
      <c r="F213" s="4777"/>
      <c r="G213" s="4776"/>
      <c r="H213" s="4777"/>
      <c r="I213" s="4778"/>
    </row>
    <row r="214" spans="1:9" ht="15">
      <c r="A214" s="4774"/>
      <c r="B214" s="4774"/>
      <c r="C214" s="4776"/>
      <c r="D214" s="4777"/>
      <c r="E214" s="4778"/>
      <c r="F214" s="4777"/>
      <c r="G214" s="4776"/>
      <c r="H214" s="4777"/>
      <c r="I214" s="4778"/>
    </row>
    <row r="215" spans="1:9" ht="15">
      <c r="A215" s="4774"/>
      <c r="B215" s="4774"/>
      <c r="C215" s="4776"/>
      <c r="D215" s="4777"/>
      <c r="E215" s="4778"/>
      <c r="F215" s="4777"/>
      <c r="G215" s="4776"/>
      <c r="H215" s="4777"/>
      <c r="I215" s="4778"/>
    </row>
    <row r="216" spans="1:9" ht="15">
      <c r="A216" s="4774"/>
      <c r="B216" s="4774"/>
      <c r="C216" s="4776"/>
      <c r="D216" s="4777"/>
      <c r="E216" s="4778"/>
      <c r="F216" s="4777"/>
      <c r="G216" s="4776"/>
      <c r="H216" s="4777"/>
      <c r="I216" s="4778"/>
    </row>
    <row r="217" spans="1:9" ht="15">
      <c r="A217" s="4774"/>
      <c r="B217" s="4774"/>
      <c r="C217" s="4776"/>
      <c r="D217" s="4777"/>
      <c r="E217" s="4778"/>
      <c r="F217" s="4777"/>
      <c r="G217" s="4776"/>
      <c r="H217" s="4777"/>
      <c r="I217" s="4778"/>
    </row>
    <row r="218" spans="1:9" ht="15">
      <c r="A218" s="4774"/>
      <c r="B218" s="4774"/>
      <c r="C218" s="4776"/>
      <c r="D218" s="4777"/>
      <c r="E218" s="4778"/>
      <c r="F218" s="4777"/>
      <c r="G218" s="4776"/>
      <c r="H218" s="4777"/>
      <c r="I218" s="4778"/>
    </row>
    <row r="219" spans="1:9" ht="15">
      <c r="A219" s="4774"/>
      <c r="B219" s="4774"/>
      <c r="C219" s="4776"/>
      <c r="D219" s="4777"/>
      <c r="E219" s="4778"/>
      <c r="F219" s="4777"/>
      <c r="G219" s="4776"/>
      <c r="H219" s="4777"/>
      <c r="I219" s="4778"/>
    </row>
    <row r="220" spans="1:9" ht="15">
      <c r="A220" s="4774"/>
      <c r="B220" s="4774"/>
      <c r="C220" s="4776"/>
      <c r="D220" s="4777"/>
      <c r="E220" s="4778"/>
      <c r="F220" s="4777"/>
      <c r="G220" s="4776"/>
      <c r="H220" s="4777"/>
      <c r="I220" s="4778"/>
    </row>
    <row r="221" spans="1:9" ht="15">
      <c r="A221" s="4774"/>
      <c r="B221" s="4774"/>
      <c r="C221" s="4776"/>
      <c r="D221" s="4777"/>
      <c r="E221" s="4778"/>
      <c r="F221" s="4777"/>
      <c r="G221" s="4776"/>
      <c r="H221" s="4777"/>
      <c r="I221" s="4778"/>
    </row>
    <row r="222" spans="1:9" ht="15">
      <c r="A222" s="4774"/>
      <c r="B222" s="4774"/>
      <c r="C222" s="4776"/>
      <c r="D222" s="4777"/>
      <c r="E222" s="4778"/>
      <c r="F222" s="4777"/>
      <c r="G222" s="4776"/>
      <c r="H222" s="4777"/>
      <c r="I222" s="4778"/>
    </row>
    <row r="223" spans="1:9" ht="15">
      <c r="A223" s="4774"/>
      <c r="B223" s="4774"/>
      <c r="C223" s="4776"/>
      <c r="D223" s="4777"/>
      <c r="E223" s="4778"/>
      <c r="F223" s="4777"/>
      <c r="G223" s="4776"/>
      <c r="H223" s="4777"/>
      <c r="I223" s="4778"/>
    </row>
    <row r="224" spans="1:9" ht="15">
      <c r="A224" s="4774"/>
      <c r="B224" s="4774"/>
      <c r="C224" s="4776"/>
      <c r="D224" s="4777"/>
      <c r="E224" s="4778"/>
      <c r="F224" s="4777"/>
      <c r="G224" s="4776"/>
      <c r="H224" s="4777"/>
      <c r="I224" s="4778"/>
    </row>
    <row r="225" spans="1:9" ht="15">
      <c r="A225" s="4774"/>
      <c r="B225" s="4774"/>
      <c r="C225" s="4776"/>
      <c r="D225" s="4777"/>
      <c r="E225" s="4778"/>
      <c r="F225" s="4777"/>
      <c r="G225" s="4776"/>
      <c r="H225" s="4777"/>
      <c r="I225" s="4778"/>
    </row>
    <row r="226" spans="1:9" ht="15">
      <c r="A226" s="4774"/>
      <c r="B226" s="4774"/>
      <c r="C226" s="4776"/>
      <c r="D226" s="4777"/>
      <c r="E226" s="4778"/>
      <c r="F226" s="4777"/>
      <c r="G226" s="4776"/>
      <c r="H226" s="4777"/>
      <c r="I226" s="4778"/>
    </row>
    <row r="227" spans="1:9" ht="15">
      <c r="A227" s="4774"/>
      <c r="B227" s="4774"/>
      <c r="C227" s="4776"/>
      <c r="D227" s="4777"/>
      <c r="E227" s="4778"/>
      <c r="F227" s="4777"/>
      <c r="G227" s="4776"/>
      <c r="H227" s="4777"/>
      <c r="I227" s="4778"/>
    </row>
    <row r="228" spans="1:9" ht="15">
      <c r="A228" s="4774"/>
      <c r="B228" s="4774"/>
      <c r="C228" s="4776"/>
      <c r="D228" s="4777"/>
      <c r="E228" s="4778"/>
      <c r="F228" s="4777"/>
      <c r="G228" s="4776"/>
      <c r="H228" s="4777"/>
      <c r="I228" s="4778"/>
    </row>
    <row r="229" spans="1:9" ht="15">
      <c r="A229" s="4774"/>
      <c r="B229" s="4774"/>
      <c r="C229" s="4776"/>
      <c r="D229" s="4777"/>
      <c r="E229" s="4778"/>
      <c r="F229" s="4777"/>
      <c r="G229" s="4776"/>
      <c r="H229" s="4777"/>
      <c r="I229" s="4778"/>
    </row>
    <row r="230" spans="1:9" ht="15">
      <c r="A230" s="4774"/>
      <c r="B230" s="4774"/>
      <c r="C230" s="4776"/>
      <c r="D230" s="4777"/>
      <c r="E230" s="4778"/>
      <c r="F230" s="4777"/>
      <c r="G230" s="4776"/>
      <c r="H230" s="4777"/>
      <c r="I230" s="4778"/>
    </row>
    <row r="231" spans="1:9" ht="15">
      <c r="A231" s="4774"/>
      <c r="B231" s="4774"/>
      <c r="C231" s="4776"/>
      <c r="D231" s="4777"/>
      <c r="E231" s="4778"/>
      <c r="F231" s="4777"/>
      <c r="G231" s="4776"/>
      <c r="H231" s="4777"/>
      <c r="I231" s="4778"/>
    </row>
    <row r="232" spans="1:9" ht="15">
      <c r="A232" s="4774"/>
      <c r="B232" s="4774"/>
      <c r="C232" s="4776"/>
      <c r="D232" s="4777"/>
      <c r="E232" s="4778"/>
      <c r="F232" s="4777"/>
      <c r="G232" s="4776"/>
      <c r="H232" s="4777"/>
      <c r="I232" s="4778"/>
    </row>
    <row r="233" spans="1:9" ht="15">
      <c r="A233" s="4774"/>
      <c r="B233" s="4774"/>
      <c r="C233" s="4776"/>
      <c r="D233" s="4777"/>
      <c r="E233" s="4778"/>
      <c r="F233" s="4777"/>
      <c r="G233" s="4776"/>
      <c r="H233" s="4777"/>
      <c r="I233" s="4778"/>
    </row>
    <row r="234" spans="1:9" ht="15">
      <c r="A234" s="4774"/>
      <c r="B234" s="4774"/>
      <c r="C234" s="4776"/>
      <c r="D234" s="4777"/>
      <c r="E234" s="4778"/>
      <c r="F234" s="4777"/>
      <c r="G234" s="4776"/>
      <c r="H234" s="4777"/>
      <c r="I234" s="4778"/>
    </row>
    <row r="235" spans="1:9" ht="15">
      <c r="A235" s="4774"/>
      <c r="B235" s="4774"/>
      <c r="C235" s="4776"/>
      <c r="D235" s="4777"/>
      <c r="E235" s="4778"/>
      <c r="F235" s="4777"/>
      <c r="G235" s="4776"/>
      <c r="H235" s="4777"/>
      <c r="I235" s="4778"/>
    </row>
    <row r="236" spans="1:9" ht="15">
      <c r="A236" s="4774"/>
      <c r="B236" s="4774"/>
      <c r="C236" s="4776"/>
      <c r="D236" s="4777"/>
      <c r="E236" s="4778"/>
      <c r="F236" s="4777"/>
      <c r="G236" s="4776"/>
      <c r="H236" s="4777"/>
      <c r="I236" s="4778"/>
    </row>
    <row r="237" spans="1:9" ht="15">
      <c r="A237" s="4774"/>
      <c r="B237" s="4774"/>
      <c r="C237" s="4776"/>
      <c r="D237" s="4777"/>
      <c r="E237" s="4778"/>
      <c r="F237" s="4777"/>
      <c r="G237" s="4776"/>
      <c r="H237" s="4777"/>
      <c r="I237" s="4778"/>
    </row>
    <row r="238" spans="1:9" ht="15">
      <c r="A238" s="4774"/>
      <c r="B238" s="4774"/>
      <c r="C238" s="4776"/>
      <c r="D238" s="4777"/>
      <c r="E238" s="4778"/>
      <c r="F238" s="4777"/>
      <c r="G238" s="4776"/>
      <c r="H238" s="4777"/>
      <c r="I238" s="4778"/>
    </row>
    <row r="239" spans="1:9" ht="15">
      <c r="A239" s="4774"/>
      <c r="B239" s="4774"/>
      <c r="C239" s="4776"/>
      <c r="D239" s="4777"/>
      <c r="E239" s="4778"/>
      <c r="F239" s="4777"/>
      <c r="G239" s="4776"/>
      <c r="H239" s="4777"/>
      <c r="I239" s="4778"/>
    </row>
    <row r="240" spans="1:9" ht="15">
      <c r="A240" s="4774"/>
      <c r="B240" s="4774"/>
      <c r="C240" s="4776"/>
      <c r="D240" s="4777"/>
      <c r="E240" s="4778"/>
      <c r="F240" s="4777"/>
      <c r="G240" s="4776"/>
      <c r="H240" s="4777"/>
      <c r="I240" s="4778"/>
    </row>
    <row r="241" spans="1:9" ht="15">
      <c r="A241" s="4774"/>
      <c r="B241" s="4774"/>
      <c r="C241" s="4776"/>
      <c r="D241" s="4777"/>
      <c r="E241" s="4778"/>
      <c r="F241" s="4777"/>
      <c r="G241" s="4776"/>
      <c r="H241" s="4777"/>
      <c r="I241" s="4778"/>
    </row>
    <row r="242" spans="1:9" ht="15">
      <c r="A242" s="4774"/>
      <c r="B242" s="4774"/>
      <c r="C242" s="4776"/>
      <c r="D242" s="4777"/>
      <c r="E242" s="4778"/>
      <c r="F242" s="4777"/>
      <c r="G242" s="4776"/>
      <c r="H242" s="4777"/>
      <c r="I242" s="4778"/>
    </row>
    <row r="243" spans="1:9" ht="15">
      <c r="A243" s="4774"/>
      <c r="B243" s="4774"/>
      <c r="C243" s="4776"/>
      <c r="D243" s="4777"/>
      <c r="E243" s="4778"/>
      <c r="F243" s="4777"/>
      <c r="G243" s="4776"/>
      <c r="H243" s="4777"/>
      <c r="I243" s="4778"/>
    </row>
    <row r="244" spans="1:9" ht="15">
      <c r="A244" s="4774"/>
      <c r="B244" s="4774"/>
      <c r="C244" s="4776"/>
      <c r="D244" s="4777"/>
      <c r="E244" s="4778"/>
      <c r="F244" s="4777"/>
      <c r="G244" s="4776"/>
      <c r="H244" s="4777"/>
      <c r="I244" s="4778"/>
    </row>
    <row r="245" spans="1:9" ht="15">
      <c r="A245" s="4774"/>
      <c r="B245" s="4774"/>
      <c r="C245" s="4776"/>
      <c r="D245" s="4777"/>
      <c r="E245" s="4778"/>
      <c r="F245" s="4777"/>
      <c r="G245" s="4776"/>
      <c r="H245" s="4777"/>
      <c r="I245" s="4778"/>
    </row>
    <row r="246" spans="1:9" ht="15">
      <c r="A246" s="4774"/>
      <c r="B246" s="4774"/>
      <c r="C246" s="4776"/>
      <c r="D246" s="4777"/>
      <c r="E246" s="4778"/>
      <c r="F246" s="4777"/>
      <c r="G246" s="4776"/>
      <c r="H246" s="4777"/>
      <c r="I246" s="4778"/>
    </row>
    <row r="247" spans="1:9" ht="15">
      <c r="A247" s="4774"/>
      <c r="B247" s="4774"/>
      <c r="C247" s="4776"/>
      <c r="D247" s="4777"/>
      <c r="E247" s="4778"/>
      <c r="F247" s="4777"/>
      <c r="G247" s="4776"/>
      <c r="H247" s="4777"/>
      <c r="I247" s="4778"/>
    </row>
    <row r="248" spans="1:9" ht="15">
      <c r="A248" s="4774"/>
      <c r="B248" s="4774"/>
      <c r="C248" s="4776"/>
      <c r="D248" s="4777"/>
      <c r="E248" s="4778"/>
      <c r="F248" s="4777"/>
      <c r="G248" s="4776"/>
      <c r="H248" s="4777"/>
      <c r="I248" s="4778"/>
    </row>
    <row r="249" spans="1:9" ht="15">
      <c r="A249" s="4774"/>
      <c r="B249" s="4774"/>
      <c r="C249" s="4776"/>
      <c r="D249" s="4777"/>
      <c r="E249" s="4778"/>
      <c r="F249" s="4777"/>
      <c r="G249" s="4776"/>
      <c r="H249" s="4777"/>
      <c r="I249" s="4778"/>
    </row>
    <row r="250" spans="1:9" ht="15">
      <c r="A250" s="4774"/>
      <c r="B250" s="4774"/>
      <c r="C250" s="4776"/>
      <c r="D250" s="4777"/>
      <c r="E250" s="4778"/>
      <c r="F250" s="4777"/>
      <c r="G250" s="4776"/>
      <c r="H250" s="4777"/>
      <c r="I250" s="4778"/>
    </row>
    <row r="251" spans="1:9" ht="15">
      <c r="A251" s="4774"/>
      <c r="B251" s="4774"/>
      <c r="C251" s="4776"/>
      <c r="D251" s="4777"/>
      <c r="E251" s="4778"/>
      <c r="F251" s="4777"/>
      <c r="G251" s="4776"/>
      <c r="H251" s="4777"/>
      <c r="I251" s="4778"/>
    </row>
    <row r="252" spans="1:9" ht="15">
      <c r="A252" s="4774"/>
      <c r="B252" s="4774"/>
      <c r="C252" s="4776"/>
      <c r="D252" s="4777"/>
      <c r="E252" s="4778"/>
      <c r="F252" s="4777"/>
      <c r="G252" s="4776"/>
      <c r="H252" s="4777"/>
      <c r="I252" s="4778"/>
    </row>
    <row r="253" spans="1:9" ht="15">
      <c r="A253" s="4774"/>
      <c r="B253" s="4774"/>
      <c r="C253" s="4776"/>
      <c r="D253" s="4777"/>
      <c r="E253" s="4778"/>
      <c r="F253" s="4777"/>
      <c r="G253" s="4776"/>
      <c r="H253" s="4777"/>
      <c r="I253" s="4778"/>
    </row>
    <row r="254" spans="1:9" ht="15">
      <c r="A254" s="4774"/>
      <c r="B254" s="4774"/>
      <c r="C254" s="4776"/>
      <c r="D254" s="4777"/>
      <c r="E254" s="4778"/>
      <c r="F254" s="4777"/>
      <c r="G254" s="4776"/>
      <c r="H254" s="4777"/>
      <c r="I254" s="4778"/>
    </row>
    <row r="255" spans="1:9" ht="15">
      <c r="A255" s="4774"/>
      <c r="B255" s="4774"/>
      <c r="C255" s="4776"/>
      <c r="D255" s="4777"/>
      <c r="E255" s="4778"/>
      <c r="F255" s="4777"/>
      <c r="G255" s="4776"/>
      <c r="H255" s="4777"/>
      <c r="I255" s="4778"/>
    </row>
    <row r="256" spans="1:9" ht="15">
      <c r="A256" s="4774"/>
      <c r="B256" s="4774"/>
      <c r="C256" s="4776"/>
      <c r="D256" s="4777"/>
      <c r="E256" s="4778"/>
      <c r="F256" s="4777"/>
      <c r="G256" s="4776"/>
      <c r="H256" s="4777"/>
      <c r="I256" s="4778"/>
    </row>
    <row r="257" spans="1:9" ht="15">
      <c r="A257" s="4774"/>
      <c r="B257" s="4774"/>
      <c r="C257" s="4776"/>
      <c r="D257" s="4777"/>
      <c r="E257" s="4778"/>
      <c r="F257" s="4777"/>
      <c r="G257" s="4776"/>
      <c r="H257" s="4777"/>
      <c r="I257" s="4778"/>
    </row>
    <row r="258" spans="1:9" ht="15">
      <c r="A258" s="4774"/>
      <c r="B258" s="4774"/>
      <c r="C258" s="4776"/>
      <c r="D258" s="4777"/>
      <c r="E258" s="4778"/>
      <c r="F258" s="4777"/>
      <c r="G258" s="4776"/>
      <c r="H258" s="4777"/>
      <c r="I258" s="4778"/>
    </row>
    <row r="259" spans="1:9" ht="15">
      <c r="A259" s="4774"/>
      <c r="B259" s="4774"/>
      <c r="C259" s="4776"/>
      <c r="D259" s="4777"/>
      <c r="E259" s="4778"/>
      <c r="F259" s="4777"/>
      <c r="G259" s="4776"/>
      <c r="H259" s="4777"/>
      <c r="I259" s="4778"/>
    </row>
    <row r="260" spans="1:9" ht="15">
      <c r="A260" s="4774"/>
      <c r="B260" s="4774"/>
      <c r="C260" s="4776"/>
      <c r="D260" s="4777"/>
      <c r="E260" s="4778"/>
      <c r="F260" s="4777"/>
      <c r="G260" s="4776"/>
      <c r="H260" s="4777"/>
      <c r="I260" s="4778"/>
    </row>
    <row r="261" spans="1:9" ht="15">
      <c r="A261" s="4774"/>
      <c r="B261" s="4774"/>
      <c r="C261" s="4776"/>
      <c r="D261" s="4777"/>
      <c r="E261" s="4778"/>
      <c r="F261" s="4777"/>
      <c r="G261" s="4776"/>
      <c r="H261" s="4777"/>
      <c r="I261" s="4778"/>
    </row>
    <row r="262" spans="1:9" ht="15">
      <c r="A262" s="4774"/>
      <c r="B262" s="4774"/>
      <c r="C262" s="4776"/>
      <c r="D262" s="4777"/>
      <c r="E262" s="4778"/>
      <c r="F262" s="4777"/>
      <c r="G262" s="4776"/>
      <c r="H262" s="4777"/>
      <c r="I262" s="4778"/>
    </row>
    <row r="263" spans="1:9" ht="15">
      <c r="A263" s="4774"/>
      <c r="B263" s="4774"/>
      <c r="C263" s="4776"/>
      <c r="D263" s="4777"/>
      <c r="E263" s="4778"/>
      <c r="F263" s="4777"/>
      <c r="G263" s="4776"/>
      <c r="H263" s="4777"/>
      <c r="I263" s="4778"/>
    </row>
    <row r="264" spans="1:9" ht="15">
      <c r="A264" s="4774"/>
      <c r="B264" s="4774"/>
      <c r="C264" s="4776"/>
      <c r="D264" s="4777"/>
      <c r="E264" s="4778"/>
      <c r="F264" s="4777"/>
      <c r="G264" s="4776"/>
      <c r="H264" s="4777"/>
      <c r="I264" s="4778"/>
    </row>
    <row r="265" spans="1:9" ht="15">
      <c r="A265" s="4774"/>
      <c r="B265" s="4774"/>
      <c r="C265" s="4776"/>
      <c r="D265" s="4777"/>
      <c r="E265" s="4778"/>
      <c r="F265" s="4777"/>
      <c r="G265" s="4776"/>
      <c r="H265" s="4777"/>
      <c r="I265" s="4778"/>
    </row>
    <row r="266" spans="1:9" ht="15">
      <c r="A266" s="4774"/>
      <c r="B266" s="4774"/>
      <c r="C266" s="4776"/>
      <c r="D266" s="4777"/>
      <c r="E266" s="4778"/>
      <c r="F266" s="4777"/>
      <c r="G266" s="4776"/>
      <c r="H266" s="4777"/>
      <c r="I266" s="4778"/>
    </row>
    <row r="267" spans="1:9" ht="15">
      <c r="A267" s="4774"/>
      <c r="B267" s="4774"/>
      <c r="C267" s="4776"/>
      <c r="D267" s="4777"/>
      <c r="E267" s="4778"/>
      <c r="F267" s="4777"/>
      <c r="G267" s="4776"/>
      <c r="H267" s="4777"/>
      <c r="I267" s="4778"/>
    </row>
    <row r="268" spans="1:9" ht="15">
      <c r="A268" s="4774"/>
      <c r="B268" s="4774"/>
      <c r="C268" s="4776"/>
      <c r="D268" s="4777"/>
      <c r="E268" s="4778"/>
      <c r="F268" s="4777"/>
      <c r="G268" s="4776"/>
      <c r="H268" s="4777"/>
      <c r="I268" s="4778"/>
    </row>
    <row r="269" spans="1:9" ht="15">
      <c r="A269" s="4774"/>
      <c r="B269" s="4774"/>
      <c r="C269" s="4776"/>
      <c r="D269" s="4777"/>
      <c r="E269" s="4778"/>
      <c r="F269" s="4777"/>
      <c r="G269" s="4776"/>
      <c r="H269" s="4777"/>
      <c r="I269" s="4778"/>
    </row>
    <row r="270" spans="1:9" ht="15">
      <c r="A270" s="4774"/>
      <c r="B270" s="4774"/>
      <c r="C270" s="4776"/>
      <c r="D270" s="4777"/>
      <c r="E270" s="4778"/>
      <c r="F270" s="4777"/>
      <c r="G270" s="4776"/>
      <c r="H270" s="4777"/>
      <c r="I270" s="4778"/>
    </row>
    <row r="271" spans="1:9" ht="15">
      <c r="A271" s="4774"/>
      <c r="B271" s="4774"/>
      <c r="C271" s="4776"/>
      <c r="D271" s="4777"/>
      <c r="E271" s="4778"/>
      <c r="F271" s="4777"/>
      <c r="G271" s="4776"/>
      <c r="H271" s="4777"/>
      <c r="I271" s="4778"/>
    </row>
    <row r="272" spans="1:9" ht="15">
      <c r="A272" s="4774"/>
      <c r="B272" s="4774"/>
      <c r="C272" s="4776"/>
      <c r="D272" s="4777"/>
      <c r="E272" s="4778"/>
      <c r="F272" s="4777"/>
      <c r="G272" s="4776"/>
      <c r="H272" s="4777"/>
      <c r="I272" s="4778"/>
    </row>
    <row r="273" spans="1:9" ht="15">
      <c r="A273" s="4774"/>
      <c r="B273" s="4774"/>
      <c r="C273" s="4776"/>
      <c r="D273" s="4777"/>
      <c r="E273" s="4778"/>
      <c r="F273" s="4777"/>
      <c r="G273" s="4776"/>
      <c r="H273" s="4777"/>
      <c r="I273" s="4778"/>
    </row>
    <row r="274" spans="1:9" ht="15">
      <c r="A274" s="4774"/>
      <c r="B274" s="4774"/>
      <c r="C274" s="4776"/>
      <c r="D274" s="4777"/>
      <c r="E274" s="4778"/>
      <c r="F274" s="4777"/>
      <c r="G274" s="4776"/>
      <c r="H274" s="4777"/>
      <c r="I274" s="4778"/>
    </row>
    <row r="275" spans="1:9" ht="15">
      <c r="A275" s="4774"/>
      <c r="B275" s="4774"/>
      <c r="C275" s="4776"/>
      <c r="D275" s="4777"/>
      <c r="E275" s="4778"/>
      <c r="F275" s="4777"/>
      <c r="G275" s="4776"/>
      <c r="H275" s="4777"/>
      <c r="I275" s="4778"/>
    </row>
    <row r="276" spans="1:9" ht="15">
      <c r="A276" s="4774"/>
      <c r="B276" s="4774"/>
      <c r="C276" s="4776"/>
      <c r="D276" s="4777"/>
      <c r="E276" s="4778"/>
      <c r="F276" s="4777"/>
      <c r="G276" s="4776"/>
      <c r="H276" s="4777"/>
      <c r="I276" s="4778"/>
    </row>
    <row r="277" spans="1:9" ht="15">
      <c r="A277" s="4774"/>
      <c r="B277" s="4774"/>
      <c r="C277" s="4776"/>
      <c r="D277" s="4777"/>
      <c r="E277" s="4778"/>
      <c r="F277" s="4777"/>
      <c r="G277" s="4776"/>
      <c r="H277" s="4777"/>
      <c r="I277" s="4778"/>
    </row>
    <row r="278" spans="1:9" ht="15">
      <c r="A278" s="4774"/>
      <c r="B278" s="4774"/>
      <c r="C278" s="4776"/>
      <c r="D278" s="4777"/>
      <c r="E278" s="4778"/>
      <c r="F278" s="4777"/>
      <c r="G278" s="4776"/>
      <c r="H278" s="4777"/>
      <c r="I278" s="4778"/>
    </row>
    <row r="279" spans="1:9" ht="15">
      <c r="A279" s="4774"/>
      <c r="B279" s="4774"/>
      <c r="C279" s="4776"/>
      <c r="D279" s="4777"/>
      <c r="E279" s="4778"/>
      <c r="F279" s="4777"/>
      <c r="G279" s="4776"/>
      <c r="H279" s="4777"/>
      <c r="I279" s="4778"/>
    </row>
    <row r="280" spans="1:9" ht="15">
      <c r="A280" s="4774"/>
      <c r="B280" s="4774"/>
      <c r="C280" s="4776"/>
      <c r="D280" s="4777"/>
      <c r="E280" s="4778"/>
      <c r="F280" s="4777"/>
      <c r="G280" s="4776"/>
      <c r="H280" s="4777"/>
      <c r="I280" s="4778"/>
    </row>
    <row r="281" spans="1:9" ht="15">
      <c r="A281" s="4774"/>
      <c r="B281" s="4774"/>
      <c r="C281" s="4776"/>
      <c r="D281" s="4777"/>
      <c r="E281" s="4778"/>
      <c r="F281" s="4777"/>
      <c r="G281" s="4776"/>
      <c r="H281" s="4777"/>
      <c r="I281" s="4778"/>
    </row>
    <row r="282" spans="1:9" ht="15">
      <c r="A282" s="4774"/>
      <c r="B282" s="4774"/>
      <c r="C282" s="4776"/>
      <c r="D282" s="4777"/>
      <c r="E282" s="4778"/>
      <c r="F282" s="4777"/>
      <c r="G282" s="4776"/>
      <c r="H282" s="4777"/>
      <c r="I282" s="4778"/>
    </row>
    <row r="283" spans="1:9" ht="15">
      <c r="A283" s="4774"/>
      <c r="B283" s="4774"/>
      <c r="C283" s="4776"/>
      <c r="D283" s="4777"/>
      <c r="E283" s="4778"/>
      <c r="F283" s="4777"/>
      <c r="G283" s="4776"/>
      <c r="H283" s="4777"/>
      <c r="I283" s="4778"/>
    </row>
    <row r="284" spans="1:9" ht="15">
      <c r="A284" s="4774"/>
      <c r="B284" s="4774"/>
      <c r="C284" s="4776"/>
      <c r="D284" s="4777"/>
      <c r="E284" s="4778"/>
      <c r="F284" s="4777"/>
      <c r="G284" s="4776"/>
      <c r="H284" s="4777"/>
      <c r="I284" s="4778"/>
    </row>
    <row r="285" spans="1:9" ht="15">
      <c r="A285" s="4774"/>
      <c r="B285" s="4774"/>
      <c r="C285" s="4776"/>
      <c r="D285" s="4777"/>
      <c r="E285" s="4778"/>
      <c r="F285" s="4777"/>
      <c r="G285" s="4776"/>
      <c r="H285" s="4777"/>
      <c r="I285" s="4778"/>
    </row>
    <row r="286" spans="1:9" ht="15">
      <c r="A286" s="4774"/>
      <c r="B286" s="4774"/>
      <c r="C286" s="4776"/>
      <c r="D286" s="4777"/>
      <c r="E286" s="4778"/>
      <c r="F286" s="4777"/>
      <c r="G286" s="4776"/>
      <c r="H286" s="4777"/>
      <c r="I286" s="4778"/>
    </row>
    <row r="287" spans="1:9" ht="15">
      <c r="A287" s="4774"/>
      <c r="B287" s="4774"/>
      <c r="C287" s="4776"/>
      <c r="D287" s="4777"/>
      <c r="E287" s="4778"/>
      <c r="F287" s="4777"/>
      <c r="G287" s="4776"/>
      <c r="H287" s="4777"/>
      <c r="I287" s="4778"/>
    </row>
    <row r="288" spans="1:9" ht="15">
      <c r="A288" s="4774"/>
      <c r="B288" s="4774"/>
      <c r="C288" s="4776"/>
      <c r="D288" s="4777"/>
      <c r="E288" s="4778"/>
      <c r="F288" s="4777"/>
      <c r="G288" s="4776"/>
      <c r="H288" s="4777"/>
      <c r="I288" s="4778"/>
    </row>
    <row r="289" spans="1:9" ht="15">
      <c r="A289" s="4774"/>
      <c r="B289" s="4774"/>
      <c r="C289" s="4776"/>
      <c r="D289" s="4777"/>
      <c r="E289" s="4778"/>
      <c r="F289" s="4777"/>
      <c r="G289" s="4776"/>
      <c r="H289" s="4777"/>
      <c r="I289" s="4778"/>
    </row>
    <row r="290" spans="1:9" ht="15">
      <c r="A290" s="4774"/>
      <c r="B290" s="4774"/>
      <c r="C290" s="4776"/>
      <c r="D290" s="4777"/>
      <c r="E290" s="4778"/>
      <c r="F290" s="4777"/>
      <c r="G290" s="4776"/>
      <c r="H290" s="4777"/>
      <c r="I290" s="4778"/>
    </row>
    <row r="291" spans="1:9" ht="15">
      <c r="A291" s="4774"/>
      <c r="B291" s="4774"/>
      <c r="C291" s="4776"/>
      <c r="D291" s="4777"/>
      <c r="E291" s="4778"/>
      <c r="F291" s="4777"/>
      <c r="G291" s="4776"/>
      <c r="H291" s="4777"/>
      <c r="I291" s="4778"/>
    </row>
    <row r="292" spans="1:9" ht="15">
      <c r="A292" s="4774"/>
      <c r="B292" s="4774"/>
      <c r="C292" s="4776"/>
      <c r="D292" s="4777"/>
      <c r="E292" s="4778"/>
      <c r="F292" s="4777"/>
      <c r="G292" s="4776"/>
      <c r="H292" s="4777"/>
      <c r="I292" s="4778"/>
    </row>
    <row r="293" spans="1:9" ht="15">
      <c r="A293" s="4774"/>
      <c r="B293" s="4774"/>
      <c r="C293" s="4776"/>
      <c r="D293" s="4777"/>
      <c r="E293" s="4778"/>
      <c r="F293" s="4777"/>
      <c r="G293" s="4776"/>
      <c r="H293" s="4777"/>
      <c r="I293" s="4778"/>
    </row>
    <row r="294" spans="1:9" ht="15">
      <c r="A294" s="4774"/>
      <c r="B294" s="4774"/>
      <c r="C294" s="4776"/>
      <c r="D294" s="4777"/>
      <c r="E294" s="4778"/>
      <c r="F294" s="4777"/>
      <c r="G294" s="4776"/>
      <c r="H294" s="4777"/>
      <c r="I294" s="4778"/>
    </row>
    <row r="295" spans="1:9" ht="15">
      <c r="A295" s="4774"/>
      <c r="B295" s="4774"/>
      <c r="C295" s="4776"/>
      <c r="D295" s="4777"/>
      <c r="E295" s="4778"/>
      <c r="F295" s="4777"/>
      <c r="G295" s="4776"/>
      <c r="H295" s="4777"/>
      <c r="I295" s="4778"/>
    </row>
    <row r="296" spans="1:9" ht="15">
      <c r="A296" s="4774"/>
      <c r="B296" s="4774"/>
      <c r="C296" s="4776"/>
      <c r="D296" s="4777"/>
      <c r="E296" s="4778"/>
      <c r="F296" s="4777"/>
      <c r="G296" s="4776"/>
      <c r="H296" s="4777"/>
      <c r="I296" s="4778"/>
    </row>
    <row r="297" spans="1:9" ht="15">
      <c r="A297" s="4774"/>
      <c r="B297" s="4774"/>
      <c r="C297" s="4776"/>
      <c r="D297" s="4777"/>
      <c r="E297" s="4778"/>
      <c r="F297" s="4777"/>
      <c r="G297" s="4776"/>
      <c r="H297" s="4777"/>
      <c r="I297" s="4778"/>
    </row>
    <row r="298" spans="1:9" ht="15">
      <c r="A298" s="4774"/>
      <c r="B298" s="4774"/>
      <c r="C298" s="4776"/>
      <c r="D298" s="4777"/>
      <c r="E298" s="4778"/>
      <c r="F298" s="4777"/>
      <c r="G298" s="4776"/>
      <c r="H298" s="4777"/>
      <c r="I298" s="4778"/>
    </row>
    <row r="299" spans="1:9" ht="15">
      <c r="A299" s="4774"/>
      <c r="B299" s="4774"/>
      <c r="C299" s="4776"/>
      <c r="D299" s="4777"/>
      <c r="E299" s="4778"/>
      <c r="F299" s="4777"/>
      <c r="G299" s="4776"/>
      <c r="H299" s="4777"/>
      <c r="I299" s="4778"/>
    </row>
    <row r="300" spans="1:9" ht="15">
      <c r="A300" s="4774"/>
      <c r="B300" s="4774"/>
      <c r="C300" s="4776"/>
      <c r="D300" s="4777"/>
      <c r="E300" s="4778"/>
      <c r="F300" s="4777"/>
      <c r="G300" s="4776"/>
      <c r="H300" s="4777"/>
      <c r="I300" s="4778"/>
    </row>
    <row r="301" spans="1:9" ht="15">
      <c r="A301" s="4774"/>
      <c r="B301" s="4774"/>
      <c r="C301" s="4776"/>
      <c r="D301" s="4777"/>
      <c r="E301" s="4778"/>
      <c r="F301" s="4777"/>
      <c r="G301" s="4776"/>
      <c r="H301" s="4777"/>
      <c r="I301" s="4778"/>
    </row>
    <row r="302" spans="1:9" ht="15">
      <c r="A302" s="4774"/>
      <c r="B302" s="4774"/>
      <c r="C302" s="4776"/>
      <c r="D302" s="4777"/>
      <c r="E302" s="4778"/>
      <c r="F302" s="4777"/>
      <c r="G302" s="4776"/>
      <c r="H302" s="4777"/>
      <c r="I302" s="4778"/>
    </row>
    <row r="303" spans="1:9" ht="15">
      <c r="A303" s="4774"/>
      <c r="B303" s="4774"/>
      <c r="C303" s="4776"/>
      <c r="D303" s="4777"/>
      <c r="E303" s="4778"/>
      <c r="F303" s="4777"/>
      <c r="G303" s="4776"/>
      <c r="H303" s="4777"/>
      <c r="I303" s="4778"/>
    </row>
    <row r="304" spans="1:9" ht="15">
      <c r="A304" s="4774"/>
      <c r="B304" s="4774"/>
      <c r="C304" s="4776"/>
      <c r="D304" s="4777"/>
      <c r="E304" s="4778"/>
      <c r="F304" s="4777"/>
      <c r="G304" s="4776"/>
      <c r="H304" s="4777"/>
      <c r="I304" s="4778"/>
    </row>
    <row r="305" spans="1:9" ht="15">
      <c r="A305" s="4774"/>
      <c r="B305" s="4774"/>
      <c r="C305" s="4776"/>
      <c r="D305" s="4777"/>
      <c r="E305" s="4778"/>
      <c r="F305" s="4777"/>
      <c r="G305" s="4776"/>
      <c r="H305" s="4777"/>
      <c r="I305" s="4778"/>
    </row>
    <row r="306" spans="1:9" ht="15">
      <c r="A306" s="4774"/>
      <c r="B306" s="4774"/>
      <c r="C306" s="4776"/>
      <c r="D306" s="4777"/>
      <c r="E306" s="4778"/>
      <c r="F306" s="4777"/>
      <c r="G306" s="4776"/>
      <c r="H306" s="4777"/>
      <c r="I306" s="4778"/>
    </row>
    <row r="307" spans="1:9" ht="15">
      <c r="A307" s="4774"/>
      <c r="B307" s="4774"/>
      <c r="C307" s="4776"/>
      <c r="D307" s="4777"/>
      <c r="E307" s="4778"/>
      <c r="F307" s="4777"/>
      <c r="G307" s="4776"/>
      <c r="H307" s="4777"/>
      <c r="I307" s="4778"/>
    </row>
    <row r="308" spans="1:9" ht="15">
      <c r="A308" s="4774"/>
      <c r="B308" s="4774"/>
      <c r="C308" s="4776"/>
      <c r="D308" s="4777"/>
      <c r="E308" s="4778"/>
      <c r="F308" s="4777"/>
      <c r="G308" s="4776"/>
      <c r="H308" s="4777"/>
      <c r="I308" s="4778"/>
    </row>
    <row r="309" spans="1:9" ht="15">
      <c r="A309" s="4774"/>
      <c r="B309" s="4774"/>
      <c r="C309" s="4776"/>
      <c r="D309" s="4777"/>
      <c r="E309" s="4778"/>
      <c r="F309" s="4777"/>
      <c r="G309" s="4776"/>
      <c r="H309" s="4777"/>
      <c r="I309" s="4778"/>
    </row>
    <row r="310" spans="1:9" ht="15">
      <c r="A310" s="4774"/>
      <c r="B310" s="4774"/>
      <c r="C310" s="4776"/>
      <c r="D310" s="4777"/>
      <c r="E310" s="4778"/>
      <c r="F310" s="4777"/>
      <c r="G310" s="4776"/>
      <c r="H310" s="4777"/>
      <c r="I310" s="4778"/>
    </row>
    <row r="311" spans="1:9" ht="15">
      <c r="A311" s="4774"/>
      <c r="B311" s="4774"/>
      <c r="C311" s="4776"/>
      <c r="D311" s="4777"/>
      <c r="E311" s="4778"/>
      <c r="F311" s="4777"/>
      <c r="G311" s="4776"/>
      <c r="H311" s="4777"/>
      <c r="I311" s="4778"/>
    </row>
    <row r="312" spans="1:9" ht="15">
      <c r="A312" s="4774"/>
      <c r="B312" s="4774"/>
      <c r="C312" s="4776"/>
      <c r="D312" s="4777"/>
      <c r="E312" s="4778"/>
      <c r="F312" s="4777"/>
      <c r="G312" s="4776"/>
      <c r="H312" s="4777"/>
      <c r="I312" s="4778"/>
    </row>
    <row r="313" spans="1:9" ht="15">
      <c r="A313" s="4774"/>
      <c r="B313" s="4774"/>
      <c r="C313" s="4776"/>
      <c r="D313" s="4777"/>
      <c r="E313" s="4778"/>
      <c r="F313" s="4777"/>
      <c r="G313" s="4776"/>
      <c r="H313" s="4777"/>
      <c r="I313" s="4778"/>
    </row>
    <row r="314" spans="1:9" ht="15">
      <c r="A314" s="4774"/>
      <c r="B314" s="4774"/>
      <c r="C314" s="4776"/>
      <c r="D314" s="4777"/>
      <c r="E314" s="4778"/>
      <c r="F314" s="4777"/>
      <c r="G314" s="4776"/>
      <c r="H314" s="4777"/>
      <c r="I314" s="4778"/>
    </row>
    <row r="315" spans="1:9" ht="15">
      <c r="A315" s="4774"/>
      <c r="B315" s="4774"/>
      <c r="C315" s="4776"/>
      <c r="D315" s="4777"/>
      <c r="E315" s="4778"/>
      <c r="F315" s="4777"/>
      <c r="G315" s="4776"/>
      <c r="H315" s="4777"/>
      <c r="I315" s="4778"/>
    </row>
    <row r="316" spans="1:9" ht="15">
      <c r="A316" s="4774"/>
      <c r="B316" s="4774"/>
      <c r="C316" s="4776"/>
      <c r="D316" s="4777"/>
      <c r="E316" s="4778"/>
      <c r="F316" s="4777"/>
      <c r="G316" s="4776"/>
      <c r="H316" s="4777"/>
      <c r="I316" s="4778"/>
    </row>
    <row r="317" spans="1:9" ht="15">
      <c r="A317" s="4774"/>
      <c r="B317" s="4774"/>
      <c r="C317" s="4776"/>
      <c r="D317" s="4777"/>
      <c r="E317" s="4778"/>
      <c r="F317" s="4777"/>
      <c r="G317" s="4776"/>
      <c r="H317" s="4777"/>
      <c r="I317" s="4778"/>
    </row>
    <row r="318" spans="1:9" ht="15">
      <c r="A318" s="4774"/>
      <c r="B318" s="4774"/>
      <c r="C318" s="4776"/>
      <c r="D318" s="4777"/>
      <c r="E318" s="4778"/>
      <c r="F318" s="4777"/>
      <c r="G318" s="4776"/>
      <c r="H318" s="4777"/>
      <c r="I318" s="4778"/>
    </row>
    <row r="319" spans="1:9" ht="15">
      <c r="A319" s="4774"/>
      <c r="B319" s="4774"/>
      <c r="C319" s="4776"/>
      <c r="D319" s="4777"/>
      <c r="E319" s="4778"/>
      <c r="F319" s="4777"/>
      <c r="G319" s="4776"/>
      <c r="H319" s="4777"/>
      <c r="I319" s="4778"/>
    </row>
    <row r="320" spans="1:9" ht="15">
      <c r="A320" s="4774"/>
      <c r="B320" s="4774"/>
      <c r="C320" s="4776"/>
      <c r="D320" s="4777"/>
      <c r="E320" s="4778"/>
      <c r="F320" s="4777"/>
      <c r="G320" s="4776"/>
      <c r="H320" s="4777"/>
      <c r="I320" s="4778"/>
    </row>
    <row r="321" spans="1:9" ht="15">
      <c r="A321" s="4774"/>
      <c r="B321" s="4774"/>
      <c r="C321" s="4776"/>
      <c r="D321" s="4777"/>
      <c r="E321" s="4778"/>
      <c r="F321" s="4777"/>
      <c r="G321" s="4776"/>
      <c r="H321" s="4777"/>
      <c r="I321" s="4778"/>
    </row>
    <row r="322" spans="1:9" ht="15">
      <c r="A322" s="4774"/>
      <c r="B322" s="4774"/>
      <c r="C322" s="4776"/>
      <c r="D322" s="4777"/>
      <c r="E322" s="4778"/>
      <c r="F322" s="4777"/>
      <c r="G322" s="4776"/>
      <c r="H322" s="4777"/>
      <c r="I322" s="4778"/>
    </row>
    <row r="323" spans="1:9" ht="15">
      <c r="A323" s="4774"/>
      <c r="B323" s="4774"/>
      <c r="C323" s="4776"/>
      <c r="D323" s="4777"/>
      <c r="E323" s="4778"/>
      <c r="F323" s="4777"/>
      <c r="G323" s="4776"/>
      <c r="H323" s="4777"/>
      <c r="I323" s="4778"/>
    </row>
    <row r="324" spans="1:9" ht="15">
      <c r="A324" s="4774"/>
      <c r="B324" s="4774"/>
      <c r="C324" s="4776"/>
      <c r="D324" s="4777"/>
      <c r="E324" s="4778"/>
      <c r="F324" s="4777"/>
      <c r="G324" s="4776"/>
      <c r="H324" s="4777"/>
      <c r="I324" s="4778"/>
    </row>
    <row r="325" spans="1:9" ht="15">
      <c r="A325" s="4774"/>
      <c r="B325" s="4774"/>
      <c r="C325" s="4776"/>
      <c r="D325" s="4777"/>
      <c r="E325" s="4778"/>
      <c r="F325" s="4777"/>
      <c r="G325" s="4776"/>
      <c r="H325" s="4777"/>
      <c r="I325" s="4778"/>
    </row>
    <row r="326" spans="1:9" ht="15">
      <c r="A326" s="4774"/>
      <c r="B326" s="4774"/>
      <c r="C326" s="4776"/>
      <c r="D326" s="4777"/>
      <c r="E326" s="4778"/>
      <c r="F326" s="4777"/>
      <c r="G326" s="4776"/>
      <c r="H326" s="4777"/>
      <c r="I326" s="4778"/>
    </row>
    <row r="327" spans="1:9" ht="15">
      <c r="A327" s="4774"/>
      <c r="B327" s="4774"/>
      <c r="C327" s="4776"/>
      <c r="D327" s="4777"/>
      <c r="E327" s="4778"/>
      <c r="F327" s="4777"/>
      <c r="G327" s="4776"/>
      <c r="H327" s="4777"/>
      <c r="I327" s="4778"/>
    </row>
    <row r="328" spans="1:9" ht="15">
      <c r="A328" s="4774"/>
      <c r="B328" s="4774"/>
      <c r="C328" s="4776"/>
      <c r="D328" s="4777"/>
      <c r="E328" s="4778"/>
      <c r="F328" s="4777"/>
      <c r="G328" s="4776"/>
      <c r="H328" s="4777"/>
      <c r="I328" s="4778"/>
    </row>
    <row r="329" spans="1:9" ht="15">
      <c r="A329" s="4774"/>
      <c r="B329" s="4774"/>
      <c r="C329" s="4776"/>
      <c r="D329" s="4777"/>
      <c r="E329" s="4778"/>
      <c r="F329" s="4777"/>
      <c r="G329" s="4776"/>
      <c r="H329" s="4777"/>
      <c r="I329" s="4778"/>
    </row>
    <row r="330" spans="1:9" ht="15">
      <c r="A330" s="4774"/>
      <c r="B330" s="4774"/>
      <c r="C330" s="4776"/>
      <c r="D330" s="4777"/>
      <c r="E330" s="4778"/>
      <c r="F330" s="4777"/>
      <c r="G330" s="4776"/>
      <c r="H330" s="4777"/>
      <c r="I330" s="4778"/>
    </row>
    <row r="331" spans="1:9" ht="15">
      <c r="A331" s="4774"/>
      <c r="B331" s="4774"/>
      <c r="C331" s="4776"/>
      <c r="D331" s="4777"/>
      <c r="E331" s="4778"/>
      <c r="F331" s="4777"/>
      <c r="G331" s="4776"/>
      <c r="H331" s="4777"/>
      <c r="I331" s="4778"/>
    </row>
    <row r="332" spans="1:9" ht="15">
      <c r="A332" s="4774"/>
      <c r="B332" s="4774"/>
      <c r="C332" s="4776"/>
      <c r="D332" s="4777"/>
      <c r="E332" s="4778"/>
      <c r="F332" s="4777"/>
      <c r="G332" s="4776"/>
      <c r="H332" s="4777"/>
      <c r="I332" s="4778"/>
    </row>
    <row r="333" spans="1:9" ht="15">
      <c r="A333" s="4774"/>
      <c r="B333" s="4774"/>
      <c r="C333" s="4776"/>
      <c r="D333" s="4777"/>
      <c r="E333" s="4778"/>
      <c r="F333" s="4777"/>
      <c r="G333" s="4776"/>
      <c r="H333" s="4777"/>
      <c r="I333" s="4778"/>
    </row>
    <row r="334" spans="1:9" ht="15">
      <c r="A334" s="4774"/>
      <c r="B334" s="4774"/>
      <c r="C334" s="4776"/>
      <c r="D334" s="4777"/>
      <c r="E334" s="4778"/>
      <c r="F334" s="4777"/>
      <c r="G334" s="4776"/>
      <c r="H334" s="4777"/>
      <c r="I334" s="4778"/>
    </row>
    <row r="335" spans="1:9" ht="15">
      <c r="A335" s="4774"/>
      <c r="B335" s="4774"/>
      <c r="C335" s="4776"/>
      <c r="D335" s="4777"/>
      <c r="E335" s="4778"/>
      <c r="F335" s="4777"/>
      <c r="G335" s="4776"/>
      <c r="H335" s="4777"/>
      <c r="I335" s="4778"/>
    </row>
    <row r="336" spans="1:9" ht="15">
      <c r="A336" s="4774"/>
      <c r="B336" s="4774"/>
      <c r="C336" s="4776"/>
      <c r="D336" s="4777"/>
      <c r="E336" s="4778"/>
      <c r="F336" s="4777"/>
      <c r="G336" s="4776"/>
      <c r="H336" s="4777"/>
      <c r="I336" s="4778"/>
    </row>
    <row r="337" spans="1:9" ht="15">
      <c r="A337" s="4774"/>
      <c r="B337" s="4774"/>
      <c r="C337" s="4776"/>
      <c r="D337" s="4777"/>
      <c r="E337" s="4778"/>
      <c r="F337" s="4777"/>
      <c r="G337" s="4776"/>
      <c r="H337" s="4777"/>
      <c r="I337" s="4778"/>
    </row>
    <row r="338" spans="1:9" ht="15">
      <c r="A338" s="4774"/>
      <c r="B338" s="4774"/>
      <c r="C338" s="4776"/>
      <c r="D338" s="4777"/>
      <c r="E338" s="4778"/>
      <c r="F338" s="4777"/>
      <c r="G338" s="4776"/>
      <c r="H338" s="4777"/>
      <c r="I338" s="4778"/>
    </row>
    <row r="339" spans="1:9" ht="15">
      <c r="A339" s="4774"/>
      <c r="B339" s="4774"/>
      <c r="C339" s="4776"/>
      <c r="D339" s="4777"/>
      <c r="E339" s="4778"/>
      <c r="F339" s="4777"/>
      <c r="G339" s="4776"/>
      <c r="H339" s="4777"/>
      <c r="I339" s="4778"/>
    </row>
    <row r="340" spans="1:9" ht="15">
      <c r="A340" s="4774"/>
      <c r="B340" s="4774"/>
      <c r="C340" s="4776"/>
      <c r="D340" s="4777"/>
      <c r="E340" s="4778"/>
      <c r="F340" s="4777"/>
      <c r="G340" s="4776"/>
      <c r="H340" s="4777"/>
      <c r="I340" s="4778"/>
    </row>
    <row r="341" spans="1:9" ht="15">
      <c r="A341" s="4774"/>
      <c r="B341" s="4774"/>
      <c r="C341" s="4776"/>
      <c r="D341" s="4777"/>
      <c r="E341" s="4778"/>
      <c r="F341" s="4777"/>
      <c r="G341" s="4776"/>
      <c r="H341" s="4777"/>
      <c r="I341" s="4778"/>
    </row>
    <row r="342" spans="1:9" ht="15">
      <c r="A342" s="4774"/>
      <c r="B342" s="4774"/>
      <c r="C342" s="4776"/>
      <c r="D342" s="4777"/>
      <c r="E342" s="4778"/>
      <c r="F342" s="4777"/>
      <c r="G342" s="4776"/>
      <c r="H342" s="4777"/>
      <c r="I342" s="4778"/>
    </row>
    <row r="343" spans="1:9" ht="15">
      <c r="A343" s="4774"/>
      <c r="B343" s="4774"/>
      <c r="C343" s="4776"/>
      <c r="D343" s="4777"/>
      <c r="E343" s="4778"/>
      <c r="F343" s="4777"/>
      <c r="G343" s="4776"/>
      <c r="H343" s="4777"/>
      <c r="I343" s="4778"/>
    </row>
    <row r="344" spans="1:9" ht="15">
      <c r="A344" s="4774"/>
      <c r="B344" s="4774"/>
      <c r="C344" s="4776"/>
      <c r="D344" s="4777"/>
      <c r="E344" s="4778"/>
      <c r="F344" s="4777"/>
      <c r="G344" s="4776"/>
      <c r="H344" s="4777"/>
      <c r="I344" s="4778"/>
    </row>
    <row r="345" spans="1:9" ht="15">
      <c r="A345" s="4774"/>
      <c r="B345" s="4774"/>
      <c r="C345" s="4776"/>
      <c r="D345" s="4777"/>
      <c r="E345" s="4778"/>
      <c r="F345" s="4777"/>
      <c r="G345" s="4776"/>
      <c r="H345" s="4777"/>
      <c r="I345" s="4778"/>
    </row>
    <row r="346" spans="1:9" ht="15">
      <c r="A346" s="4774"/>
      <c r="B346" s="4774"/>
      <c r="C346" s="4776"/>
      <c r="D346" s="4777"/>
      <c r="E346" s="4778"/>
      <c r="F346" s="4777"/>
      <c r="G346" s="4776"/>
      <c r="H346" s="4777"/>
      <c r="I346" s="4778"/>
    </row>
    <row r="347" spans="1:9" ht="15">
      <c r="A347" s="4774"/>
      <c r="B347" s="4774"/>
      <c r="C347" s="4776"/>
      <c r="D347" s="4777"/>
      <c r="E347" s="4778"/>
      <c r="F347" s="4777"/>
      <c r="G347" s="4776"/>
      <c r="H347" s="4777"/>
      <c r="I347" s="4778"/>
    </row>
    <row r="348" spans="1:9" ht="15">
      <c r="A348" s="4774"/>
      <c r="B348" s="4774"/>
      <c r="C348" s="4776"/>
      <c r="D348" s="4777"/>
      <c r="E348" s="4778"/>
      <c r="F348" s="4777"/>
      <c r="G348" s="4776"/>
      <c r="H348" s="4777"/>
      <c r="I348" s="4778"/>
    </row>
    <row r="349" spans="1:9" ht="15">
      <c r="A349" s="4774"/>
      <c r="B349" s="4774"/>
      <c r="C349" s="4776"/>
      <c r="D349" s="4777"/>
      <c r="E349" s="4778"/>
      <c r="F349" s="4777"/>
      <c r="G349" s="4776"/>
      <c r="H349" s="4777"/>
      <c r="I349" s="4778"/>
    </row>
    <row r="350" spans="1:9" ht="15">
      <c r="A350" s="4774"/>
      <c r="B350" s="4774"/>
      <c r="C350" s="4776"/>
      <c r="D350" s="4777"/>
      <c r="E350" s="4778"/>
      <c r="F350" s="4777"/>
      <c r="G350" s="4776"/>
      <c r="H350" s="4777"/>
      <c r="I350" s="4778"/>
    </row>
    <row r="351" spans="1:9" ht="15">
      <c r="A351" s="4774"/>
      <c r="B351" s="4774"/>
      <c r="C351" s="4776"/>
      <c r="D351" s="4777"/>
      <c r="E351" s="4778"/>
      <c r="F351" s="4777"/>
      <c r="G351" s="4776"/>
      <c r="H351" s="4777"/>
      <c r="I351" s="4778"/>
    </row>
    <row r="352" spans="1:9" ht="15">
      <c r="A352" s="4774"/>
      <c r="B352" s="4774"/>
      <c r="C352" s="4776"/>
      <c r="D352" s="4777"/>
      <c r="E352" s="4778"/>
      <c r="F352" s="4777"/>
      <c r="G352" s="4776"/>
      <c r="H352" s="4777"/>
      <c r="I352" s="4778"/>
    </row>
    <row r="353" spans="1:9" ht="15">
      <c r="A353" s="4774"/>
      <c r="B353" s="4774"/>
      <c r="C353" s="4776"/>
      <c r="D353" s="4777"/>
      <c r="E353" s="4778"/>
      <c r="F353" s="4777"/>
      <c r="G353" s="4776"/>
      <c r="H353" s="4777"/>
      <c r="I353" s="4778"/>
    </row>
    <row r="354" spans="1:9" ht="15">
      <c r="A354" s="4774"/>
      <c r="B354" s="4774"/>
      <c r="C354" s="4287"/>
      <c r="D354" s="4777"/>
      <c r="E354" s="4566"/>
      <c r="F354" s="4777"/>
      <c r="G354" s="4287"/>
      <c r="H354" s="4777"/>
      <c r="I354" s="4566"/>
    </row>
    <row r="355" spans="1:9" ht="15">
      <c r="A355" s="4774"/>
      <c r="B355" s="4774"/>
      <c r="C355" s="4287"/>
      <c r="D355" s="4777"/>
      <c r="E355" s="4566"/>
      <c r="F355" s="4777"/>
      <c r="G355" s="4287"/>
      <c r="H355" s="4777"/>
      <c r="I355" s="4566"/>
    </row>
    <row r="356" spans="1:9" ht="15">
      <c r="A356" s="4774"/>
      <c r="B356" s="4774"/>
      <c r="C356" s="4287"/>
      <c r="D356" s="4777"/>
      <c r="E356" s="4566"/>
      <c r="F356" s="4777"/>
      <c r="G356" s="4287"/>
      <c r="H356" s="4777"/>
      <c r="I356" s="4566"/>
    </row>
    <row r="357" spans="1:9" ht="15">
      <c r="A357" s="4774"/>
      <c r="B357" s="4774"/>
      <c r="C357" s="4287"/>
      <c r="D357" s="4777"/>
      <c r="E357" s="4566"/>
      <c r="F357" s="4777"/>
      <c r="G357" s="4287"/>
      <c r="H357" s="4777"/>
      <c r="I357" s="4566"/>
    </row>
    <row r="358" spans="1:9" ht="15">
      <c r="A358" s="4774"/>
      <c r="B358" s="4774"/>
      <c r="C358" s="4287"/>
      <c r="D358" s="4777"/>
      <c r="E358" s="4566"/>
      <c r="F358" s="4777"/>
      <c r="G358" s="4287"/>
      <c r="H358" s="4777"/>
      <c r="I358" s="4566"/>
    </row>
    <row r="359" spans="1:9" ht="15">
      <c r="A359" s="4774"/>
      <c r="B359" s="4774"/>
      <c r="C359" s="4287"/>
      <c r="D359" s="4777"/>
      <c r="E359" s="4566"/>
      <c r="F359" s="4777"/>
      <c r="G359" s="4287"/>
      <c r="H359" s="4777"/>
      <c r="I359" s="4566"/>
    </row>
    <row r="360" spans="1:9" ht="15">
      <c r="A360" s="4774"/>
      <c r="B360" s="4774"/>
      <c r="C360" s="4287"/>
      <c r="D360" s="4777"/>
      <c r="E360" s="4566"/>
      <c r="F360" s="4777"/>
      <c r="G360" s="4287"/>
      <c r="H360" s="4777"/>
      <c r="I360" s="4566"/>
    </row>
    <row r="361" spans="1:9" ht="15">
      <c r="A361" s="4815"/>
      <c r="B361" s="4816"/>
      <c r="C361" s="4815"/>
      <c r="D361" s="4777"/>
      <c r="E361" s="4817"/>
      <c r="F361" s="4777"/>
      <c r="G361" s="4815"/>
      <c r="H361" s="4777"/>
      <c r="I361" s="4817"/>
    </row>
  </sheetData>
  <sheetProtection algorithmName="SHA-512" hashValue="/rN4Ts6JDBN8AFrHvqgE7vd+lqRJHS1qQotwLAocmq8PJbd8DFxjuKFZOUmLjC4GnrtdZTa+BRTWK1Hx6NXyrw==" saltValue="8/GG26zT4j/IBIs4untz6A==" spinCount="100000" sheet="1" objects="1" scenarios="1"/>
  <dataValidations count="1">
    <dataValidation type="whole" operator="greaterThanOrEqual" showInputMessage="1" showErrorMessage="1" errorTitle="Invalid Data Entry" error="Please enter a positive number or press the delete key or enter zero." sqref="I37:I39 I43:I45 I13:I15 I19:I21 I61:I63 I67:I69">
      <formula1>0</formula1>
    </dataValidation>
  </dataValidations>
  <hyperlinks>
    <hyperlink ref="K1" location="Contents!A1" display="Return to Contents page"/>
  </hyperlinks>
  <printOptions horizontalCentered="1"/>
  <pageMargins left="0.5" right="0.5" top="0.75" bottom="1" header="0.5" footer="0.5"/>
  <pageSetup scale="83" orientation="portrait" blackAndWhite="1" r:id="rId1"/>
  <headerFooter alignWithMargins="0">
    <oddFooter>&amp;L&amp;D     &amp;T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6" tint="-0.249977111117893"/>
  </sheetPr>
  <dimension ref="A1:I37"/>
  <sheetViews>
    <sheetView zoomScaleNormal="100" workbookViewId="0">
      <selection activeCell="A11" sqref="A11"/>
    </sheetView>
  </sheetViews>
  <sheetFormatPr defaultColWidth="8.85546875" defaultRowHeight="12.75"/>
  <cols>
    <col min="1" max="1" width="8.85546875" style="4464" customWidth="1"/>
    <col min="2" max="2" width="43" style="4464" customWidth="1"/>
    <col min="3" max="3" width="14.140625" style="4464" customWidth="1"/>
    <col min="4" max="4" width="13.7109375" style="4464" customWidth="1"/>
    <col min="5" max="5" width="12.5703125" style="4464" customWidth="1"/>
    <col min="6" max="6" width="13.140625" style="4464" customWidth="1"/>
    <col min="7" max="7" width="12.85546875" style="4464" customWidth="1"/>
    <col min="8" max="8" width="3.140625" style="4464" customWidth="1"/>
    <col min="9" max="9" width="21.5703125" style="4464" customWidth="1"/>
    <col min="10" max="16384" width="8.85546875" style="4464"/>
  </cols>
  <sheetData>
    <row r="1" spans="1:9">
      <c r="A1" s="4464" t="s">
        <v>2280</v>
      </c>
      <c r="I1" s="4288" t="s">
        <v>866</v>
      </c>
    </row>
    <row r="2" spans="1:9" ht="13.5" thickBot="1">
      <c r="A2" s="4818" t="s">
        <v>2281</v>
      </c>
      <c r="B2" s="4818"/>
      <c r="D2" s="4819" t="s">
        <v>2282</v>
      </c>
      <c r="E2" s="4820">
        <f>OPEN!$B$4</f>
        <v>270</v>
      </c>
    </row>
    <row r="3" spans="1:9">
      <c r="A3" s="4818"/>
      <c r="B3" s="4818"/>
      <c r="D3" s="4819"/>
      <c r="E3" s="4469"/>
      <c r="F3" s="4433"/>
    </row>
    <row r="4" spans="1:9">
      <c r="A4" s="4821"/>
      <c r="B4" s="4822"/>
      <c r="C4" s="4823"/>
      <c r="D4" s="4824"/>
      <c r="E4" s="4823"/>
      <c r="F4" s="4823"/>
      <c r="G4" s="4825"/>
    </row>
    <row r="5" spans="1:9">
      <c r="A5" s="4826" t="s">
        <v>2283</v>
      </c>
      <c r="B5" s="4827"/>
      <c r="C5" s="4827"/>
      <c r="D5" s="4827"/>
      <c r="E5" s="4827"/>
      <c r="F5" s="4827"/>
      <c r="G5" s="4828"/>
    </row>
    <row r="6" spans="1:9">
      <c r="A6" s="4826"/>
      <c r="B6" s="4827"/>
      <c r="C6" s="4827"/>
      <c r="D6" s="4827"/>
      <c r="E6" s="4827"/>
      <c r="F6" s="4827"/>
      <c r="G6" s="4828"/>
    </row>
    <row r="7" spans="1:9">
      <c r="A7" s="4829"/>
      <c r="B7" s="4830"/>
      <c r="C7" s="4829"/>
      <c r="D7" s="4830"/>
      <c r="E7" s="4829"/>
      <c r="F7" s="4831" t="s">
        <v>2284</v>
      </c>
      <c r="G7" s="4832" t="s">
        <v>2284</v>
      </c>
    </row>
    <row r="8" spans="1:9">
      <c r="A8" s="4833"/>
      <c r="B8" s="4834"/>
      <c r="C8" s="4835" t="str">
        <f>OPEN!$N$4</f>
        <v>2014-2015</v>
      </c>
      <c r="D8" s="4836" t="str">
        <f>OPEN!$O$4</f>
        <v>2015-2016</v>
      </c>
      <c r="E8" s="4835" t="str">
        <f>OPEN!$P$4</f>
        <v>2016-2017</v>
      </c>
      <c r="F8" s="4837" t="str">
        <f>"9/20/"&amp;OPEN!$Q$5</f>
        <v>9/20/2016</v>
      </c>
      <c r="G8" s="4835" t="str">
        <f>OPEN!$P$4</f>
        <v>2016-2017</v>
      </c>
    </row>
    <row r="9" spans="1:9">
      <c r="A9" s="4833"/>
      <c r="B9" s="4834"/>
      <c r="C9" s="4835" t="s">
        <v>2285</v>
      </c>
      <c r="D9" s="4836" t="s">
        <v>2285</v>
      </c>
      <c r="E9" s="4835" t="s">
        <v>2285</v>
      </c>
      <c r="F9" s="4837" t="s">
        <v>2285</v>
      </c>
      <c r="G9" s="4835" t="s">
        <v>1048</v>
      </c>
    </row>
    <row r="10" spans="1:9">
      <c r="A10" s="4838" t="s">
        <v>2286</v>
      </c>
      <c r="B10" s="4839" t="s">
        <v>2287</v>
      </c>
      <c r="C10" s="4838" t="s">
        <v>1048</v>
      </c>
      <c r="D10" s="4839" t="s">
        <v>1048</v>
      </c>
      <c r="E10" s="4838" t="s">
        <v>1215</v>
      </c>
      <c r="F10" s="4839" t="s">
        <v>2053</v>
      </c>
      <c r="G10" s="4838" t="s">
        <v>2288</v>
      </c>
    </row>
    <row r="11" spans="1:9">
      <c r="A11" s="4840"/>
      <c r="B11" s="4840"/>
      <c r="C11" s="4841"/>
      <c r="D11" s="4841"/>
      <c r="E11" s="4841"/>
      <c r="F11" s="4841"/>
      <c r="G11" s="4842" t="str">
        <f t="shared" ref="G11:G37" si="0">IF(F11=0,"",E11/F11)</f>
        <v/>
      </c>
    </row>
    <row r="12" spans="1:9">
      <c r="A12" s="4843"/>
      <c r="B12" s="4843"/>
      <c r="C12" s="4844"/>
      <c r="D12" s="4844"/>
      <c r="E12" s="4844"/>
      <c r="F12" s="4844"/>
      <c r="G12" s="4845" t="str">
        <f t="shared" si="0"/>
        <v/>
      </c>
    </row>
    <row r="13" spans="1:9">
      <c r="A13" s="4843"/>
      <c r="B13" s="4843"/>
      <c r="C13" s="4844"/>
      <c r="D13" s="4844"/>
      <c r="E13" s="4844"/>
      <c r="F13" s="4844"/>
      <c r="G13" s="4845" t="str">
        <f t="shared" si="0"/>
        <v/>
      </c>
    </row>
    <row r="14" spans="1:9">
      <c r="A14" s="4843"/>
      <c r="B14" s="4843"/>
      <c r="C14" s="4844"/>
      <c r="D14" s="4844"/>
      <c r="E14" s="4844"/>
      <c r="F14" s="4844"/>
      <c r="G14" s="4845" t="str">
        <f t="shared" si="0"/>
        <v/>
      </c>
    </row>
    <row r="15" spans="1:9">
      <c r="A15" s="4843"/>
      <c r="B15" s="4843"/>
      <c r="C15" s="4844"/>
      <c r="D15" s="4844"/>
      <c r="E15" s="4844"/>
      <c r="F15" s="4844"/>
      <c r="G15" s="4845" t="str">
        <f t="shared" si="0"/>
        <v/>
      </c>
    </row>
    <row r="16" spans="1:9">
      <c r="A16" s="4843"/>
      <c r="B16" s="4843"/>
      <c r="C16" s="4844"/>
      <c r="D16" s="4844"/>
      <c r="E16" s="4844"/>
      <c r="F16" s="4844"/>
      <c r="G16" s="4845" t="str">
        <f t="shared" si="0"/>
        <v/>
      </c>
    </row>
    <row r="17" spans="1:7">
      <c r="A17" s="4843"/>
      <c r="B17" s="4843"/>
      <c r="C17" s="4844"/>
      <c r="D17" s="4844"/>
      <c r="E17" s="4844"/>
      <c r="F17" s="4844"/>
      <c r="G17" s="4845" t="str">
        <f t="shared" si="0"/>
        <v/>
      </c>
    </row>
    <row r="18" spans="1:7">
      <c r="A18" s="4843"/>
      <c r="B18" s="4843"/>
      <c r="C18" s="4844"/>
      <c r="D18" s="4844"/>
      <c r="E18" s="4844"/>
      <c r="F18" s="4844"/>
      <c r="G18" s="4845" t="str">
        <f t="shared" si="0"/>
        <v/>
      </c>
    </row>
    <row r="19" spans="1:7">
      <c r="A19" s="4843"/>
      <c r="B19" s="4843"/>
      <c r="C19" s="4844"/>
      <c r="D19" s="4844"/>
      <c r="E19" s="4844"/>
      <c r="F19" s="4844"/>
      <c r="G19" s="4845" t="str">
        <f t="shared" si="0"/>
        <v/>
      </c>
    </row>
    <row r="20" spans="1:7">
      <c r="A20" s="4843"/>
      <c r="B20" s="4843"/>
      <c r="C20" s="4844"/>
      <c r="D20" s="4844"/>
      <c r="E20" s="4844"/>
      <c r="F20" s="4844"/>
      <c r="G20" s="4845" t="str">
        <f t="shared" si="0"/>
        <v/>
      </c>
    </row>
    <row r="21" spans="1:7">
      <c r="A21" s="4843"/>
      <c r="B21" s="4843"/>
      <c r="C21" s="4844"/>
      <c r="D21" s="4844"/>
      <c r="E21" s="4844"/>
      <c r="F21" s="4844"/>
      <c r="G21" s="4845" t="str">
        <f t="shared" si="0"/>
        <v/>
      </c>
    </row>
    <row r="22" spans="1:7">
      <c r="A22" s="4843"/>
      <c r="B22" s="4843"/>
      <c r="C22" s="4844"/>
      <c r="D22" s="4844"/>
      <c r="E22" s="4844"/>
      <c r="F22" s="4844"/>
      <c r="G22" s="4845" t="str">
        <f t="shared" si="0"/>
        <v/>
      </c>
    </row>
    <row r="23" spans="1:7">
      <c r="A23" s="4843"/>
      <c r="B23" s="4843"/>
      <c r="C23" s="4844"/>
      <c r="D23" s="4844"/>
      <c r="E23" s="4844"/>
      <c r="F23" s="4844"/>
      <c r="G23" s="4845" t="str">
        <f t="shared" si="0"/>
        <v/>
      </c>
    </row>
    <row r="24" spans="1:7">
      <c r="A24" s="4843"/>
      <c r="B24" s="4843"/>
      <c r="C24" s="4844"/>
      <c r="D24" s="4844"/>
      <c r="E24" s="4844"/>
      <c r="F24" s="4844"/>
      <c r="G24" s="4845" t="str">
        <f t="shared" si="0"/>
        <v/>
      </c>
    </row>
    <row r="25" spans="1:7">
      <c r="A25" s="4843"/>
      <c r="B25" s="4843"/>
      <c r="C25" s="4844"/>
      <c r="D25" s="4844"/>
      <c r="E25" s="4844"/>
      <c r="F25" s="4844"/>
      <c r="G25" s="4845" t="str">
        <f t="shared" si="0"/>
        <v/>
      </c>
    </row>
    <row r="26" spans="1:7">
      <c r="A26" s="4843"/>
      <c r="B26" s="4843"/>
      <c r="C26" s="4844"/>
      <c r="D26" s="4844"/>
      <c r="E26" s="4844"/>
      <c r="F26" s="4844"/>
      <c r="G26" s="4845" t="str">
        <f t="shared" si="0"/>
        <v/>
      </c>
    </row>
    <row r="27" spans="1:7">
      <c r="A27" s="4843"/>
      <c r="B27" s="4843"/>
      <c r="C27" s="4844"/>
      <c r="D27" s="4844"/>
      <c r="E27" s="4844"/>
      <c r="F27" s="4844"/>
      <c r="G27" s="4845" t="str">
        <f t="shared" si="0"/>
        <v/>
      </c>
    </row>
    <row r="28" spans="1:7">
      <c r="A28" s="4843"/>
      <c r="B28" s="4843"/>
      <c r="C28" s="4844"/>
      <c r="D28" s="4844"/>
      <c r="E28" s="4844"/>
      <c r="F28" s="4844"/>
      <c r="G28" s="4845" t="str">
        <f t="shared" si="0"/>
        <v/>
      </c>
    </row>
    <row r="29" spans="1:7">
      <c r="A29" s="4843"/>
      <c r="B29" s="4843"/>
      <c r="C29" s="4844"/>
      <c r="D29" s="4844"/>
      <c r="E29" s="4844"/>
      <c r="F29" s="4844"/>
      <c r="G29" s="4845" t="str">
        <f t="shared" si="0"/>
        <v/>
      </c>
    </row>
    <row r="30" spans="1:7">
      <c r="A30" s="4843"/>
      <c r="B30" s="4843"/>
      <c r="C30" s="4844"/>
      <c r="D30" s="4844"/>
      <c r="E30" s="4844"/>
      <c r="F30" s="4844"/>
      <c r="G30" s="4845" t="str">
        <f t="shared" si="0"/>
        <v/>
      </c>
    </row>
    <row r="31" spans="1:7">
      <c r="A31" s="4843"/>
      <c r="B31" s="4843"/>
      <c r="C31" s="4844"/>
      <c r="D31" s="4844"/>
      <c r="E31" s="4844"/>
      <c r="F31" s="4844"/>
      <c r="G31" s="4845" t="str">
        <f t="shared" si="0"/>
        <v/>
      </c>
    </row>
    <row r="32" spans="1:7">
      <c r="A32" s="4843"/>
      <c r="B32" s="4843"/>
      <c r="C32" s="4844"/>
      <c r="D32" s="4844"/>
      <c r="E32" s="4844"/>
      <c r="F32" s="4844"/>
      <c r="G32" s="4845" t="str">
        <f t="shared" si="0"/>
        <v/>
      </c>
    </row>
    <row r="33" spans="1:7">
      <c r="A33" s="4843"/>
      <c r="B33" s="4843"/>
      <c r="C33" s="4844"/>
      <c r="D33" s="4844"/>
      <c r="E33" s="4844"/>
      <c r="F33" s="4844"/>
      <c r="G33" s="4845" t="str">
        <f t="shared" si="0"/>
        <v/>
      </c>
    </row>
    <row r="34" spans="1:7">
      <c r="A34" s="4843"/>
      <c r="B34" s="4843"/>
      <c r="C34" s="4844"/>
      <c r="D34" s="4844"/>
      <c r="E34" s="4844"/>
      <c r="F34" s="4844"/>
      <c r="G34" s="4845" t="str">
        <f t="shared" si="0"/>
        <v/>
      </c>
    </row>
    <row r="35" spans="1:7">
      <c r="A35" s="4843"/>
      <c r="B35" s="4843"/>
      <c r="C35" s="4844"/>
      <c r="D35" s="4844"/>
      <c r="E35" s="4844"/>
      <c r="F35" s="4844"/>
      <c r="G35" s="4845" t="str">
        <f t="shared" si="0"/>
        <v/>
      </c>
    </row>
    <row r="36" spans="1:7">
      <c r="A36" s="4843"/>
      <c r="B36" s="4843"/>
      <c r="C36" s="4844"/>
      <c r="D36" s="4844"/>
      <c r="E36" s="4844"/>
      <c r="F36" s="4844"/>
      <c r="G36" s="4845" t="str">
        <f t="shared" si="0"/>
        <v/>
      </c>
    </row>
    <row r="37" spans="1:7">
      <c r="A37" s="4843"/>
      <c r="B37" s="4843"/>
      <c r="C37" s="4844"/>
      <c r="D37" s="4844"/>
      <c r="E37" s="4844"/>
      <c r="F37" s="4844"/>
      <c r="G37" s="4845" t="str">
        <f t="shared" si="0"/>
        <v/>
      </c>
    </row>
  </sheetData>
  <sheetProtection algorithmName="SHA-512" hashValue="Wp/0kS2h+AWjJHn6+QKYu976At4PytDqysDthHv3atAolMuFmc7WTXF1biNe4Uc5BBNOaZrVu8aHWe/eVsvtMA==" saltValue="Emt4BCw+giBfixIcHZMmlw==" spinCount="100000" sheet="1" objects="1" scenarios="1"/>
  <hyperlinks>
    <hyperlink ref="I1" location="Contents!A1" display="Return to Contents page"/>
  </hyperlinks>
  <printOptions horizontalCentered="1"/>
  <pageMargins left="0.75" right="0.75" top="1" bottom="1" header="0.5" footer="0.5"/>
  <pageSetup orientation="landscape" blackAndWhite="1" r:id="rId1"/>
  <headerFooter alignWithMargins="0">
    <oddFooter>&amp;L&amp;"Geneva,Regular"&amp;D     &amp;T &amp;CForm 250&amp;RPage &amp;P</oddFooter>
  </headerFooter>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4" tint="0.39997558519241921"/>
  </sheetPr>
  <dimension ref="A1:T122"/>
  <sheetViews>
    <sheetView zoomScaleNormal="100" workbookViewId="0">
      <selection activeCell="H11" sqref="H11"/>
    </sheetView>
  </sheetViews>
  <sheetFormatPr defaultColWidth="10.7109375" defaultRowHeight="12.6" customHeight="1"/>
  <cols>
    <col min="1" max="1" width="35.28515625" style="40" customWidth="1"/>
    <col min="2" max="2" width="14.42578125" style="40" customWidth="1"/>
    <col min="3" max="3" width="8.140625" style="40" customWidth="1"/>
    <col min="4" max="4" width="13.7109375" style="44" customWidth="1"/>
    <col min="5" max="5" width="13.28515625" style="44" customWidth="1"/>
    <col min="6" max="6" width="12.7109375" style="44" customWidth="1"/>
    <col min="7" max="7" width="2.85546875" style="44" customWidth="1"/>
    <col min="8" max="8" width="21" style="44" customWidth="1"/>
    <col min="9" max="9" width="1.28515625" style="44" customWidth="1"/>
    <col min="10" max="10" width="10.7109375" style="44" customWidth="1"/>
    <col min="11" max="11" width="12.7109375" style="44" customWidth="1"/>
    <col min="12" max="16384" width="10.7109375" style="44"/>
  </cols>
  <sheetData>
    <row r="1" spans="1:20" s="40" customFormat="1" ht="12" customHeight="1">
      <c r="A1" s="38"/>
      <c r="B1" s="38" t="s">
        <v>1019</v>
      </c>
      <c r="C1" s="98">
        <f>OPEN!$B$4</f>
        <v>270</v>
      </c>
      <c r="D1" s="39"/>
      <c r="E1" s="39"/>
      <c r="F1" s="38" t="s">
        <v>1020</v>
      </c>
      <c r="G1" s="39"/>
      <c r="H1" s="3012" t="s">
        <v>866</v>
      </c>
      <c r="I1" s="39"/>
      <c r="J1" s="3012"/>
      <c r="K1" s="39"/>
      <c r="L1" s="39"/>
      <c r="M1" s="39"/>
      <c r="N1" s="39"/>
      <c r="O1" s="39"/>
      <c r="P1" s="39"/>
      <c r="Q1" s="39"/>
      <c r="R1" s="39"/>
      <c r="S1" s="39"/>
      <c r="T1" s="39"/>
    </row>
    <row r="2" spans="1:20" s="40" customFormat="1" ht="12" customHeight="1">
      <c r="A2" s="39"/>
      <c r="B2" s="39"/>
      <c r="C2" s="39"/>
      <c r="D2" s="39"/>
      <c r="E2" s="39"/>
      <c r="F2" s="38" t="s">
        <v>1021</v>
      </c>
      <c r="G2" s="39"/>
      <c r="H2" s="39"/>
      <c r="I2" s="39"/>
      <c r="J2" s="39"/>
      <c r="K2" s="39"/>
      <c r="L2" s="39"/>
      <c r="M2" s="39"/>
      <c r="N2" s="39"/>
      <c r="O2" s="39"/>
      <c r="P2" s="39"/>
      <c r="Q2" s="39"/>
      <c r="R2" s="39"/>
      <c r="S2" s="39"/>
      <c r="T2" s="39"/>
    </row>
    <row r="3" spans="1:20" s="40" customFormat="1" ht="12.6" customHeight="1">
      <c r="A3" s="39"/>
      <c r="B3" s="3021" t="s">
        <v>705</v>
      </c>
      <c r="C3" s="39"/>
      <c r="D3" s="39"/>
      <c r="E3" s="39"/>
      <c r="F3" s="38" t="str">
        <f>OPEN!N2</f>
        <v>2016-2017</v>
      </c>
      <c r="G3" s="39"/>
      <c r="H3" s="39"/>
      <c r="I3" s="39"/>
      <c r="J3" s="39"/>
      <c r="K3" s="39"/>
      <c r="L3" s="39"/>
      <c r="M3" s="39"/>
      <c r="N3" s="39"/>
      <c r="O3" s="39"/>
      <c r="P3" s="39"/>
      <c r="Q3" s="39"/>
      <c r="R3" s="39"/>
      <c r="S3" s="39"/>
      <c r="T3" s="39"/>
    </row>
    <row r="4" spans="1:20" ht="12.6" customHeight="1">
      <c r="A4" s="3023" t="str">
        <f>"    TO THE CLERK OF "&amp;Headings!B6&amp;" COUNTY, STATE OF KANSAS"</f>
        <v xml:space="preserve">    TO THE CLERK OF ROOKS COUNTY, STATE OF KANSAS</v>
      </c>
      <c r="B4" s="41"/>
      <c r="C4" s="41"/>
      <c r="D4" s="41"/>
      <c r="E4" s="41"/>
      <c r="F4" s="41"/>
      <c r="G4" s="42"/>
      <c r="H4" s="39"/>
      <c r="I4" s="43"/>
      <c r="J4" s="43"/>
      <c r="K4" s="43"/>
      <c r="L4" s="43"/>
      <c r="M4" s="43"/>
      <c r="N4" s="43"/>
      <c r="O4" s="43"/>
      <c r="P4" s="43"/>
      <c r="Q4" s="43"/>
      <c r="R4" s="43"/>
      <c r="S4" s="43"/>
      <c r="T4" s="43"/>
    </row>
    <row r="5" spans="1:20" s="40" customFormat="1" ht="14.1" customHeight="1">
      <c r="A5" s="45" t="s">
        <v>1023</v>
      </c>
      <c r="B5" s="45"/>
      <c r="C5" s="45"/>
      <c r="D5" s="45"/>
      <c r="E5" s="45"/>
      <c r="F5" s="45"/>
      <c r="G5" s="39"/>
      <c r="H5" s="39"/>
      <c r="I5" s="39"/>
      <c r="J5" s="39"/>
      <c r="K5" s="39"/>
      <c r="L5" s="39"/>
      <c r="M5" s="39"/>
      <c r="N5" s="39"/>
      <c r="O5" s="39"/>
      <c r="P5" s="39"/>
      <c r="Q5" s="39"/>
      <c r="R5" s="39"/>
      <c r="S5" s="39"/>
      <c r="T5" s="39"/>
    </row>
    <row r="6" spans="1:20" ht="18.75" customHeight="1">
      <c r="A6" s="45" t="str">
        <f>Headings!B7</f>
        <v>UNIFIED SCHOOL DISTRICT 270</v>
      </c>
      <c r="B6" s="41"/>
      <c r="C6" s="41"/>
      <c r="D6" s="41"/>
      <c r="E6" s="41"/>
      <c r="F6" s="41"/>
      <c r="G6" s="39"/>
      <c r="H6" s="39"/>
      <c r="I6" s="43"/>
      <c r="J6" s="43"/>
      <c r="K6" s="43"/>
      <c r="L6" s="43"/>
      <c r="M6" s="43"/>
      <c r="N6" s="43"/>
      <c r="O6" s="43"/>
      <c r="P6" s="43"/>
      <c r="Q6" s="43"/>
      <c r="R6" s="43"/>
      <c r="S6" s="43"/>
      <c r="T6" s="43"/>
    </row>
    <row r="7" spans="1:20" s="40" customFormat="1" ht="5.0999999999999996" customHeight="1">
      <c r="A7" s="39"/>
      <c r="B7" s="39"/>
      <c r="C7" s="39"/>
      <c r="D7" s="39"/>
      <c r="E7" s="39"/>
      <c r="F7" s="39"/>
      <c r="G7" s="39"/>
      <c r="H7" s="39"/>
      <c r="I7" s="39"/>
      <c r="J7" s="39"/>
      <c r="K7" s="39"/>
      <c r="L7" s="39"/>
      <c r="M7" s="39"/>
      <c r="N7" s="39"/>
      <c r="O7" s="39"/>
      <c r="P7" s="39"/>
      <c r="Q7" s="39"/>
      <c r="R7" s="39"/>
      <c r="S7" s="39"/>
      <c r="T7" s="39"/>
    </row>
    <row r="8" spans="1:20" s="40" customFormat="1" ht="12.75" customHeight="1">
      <c r="A8" s="39" t="s">
        <v>1024</v>
      </c>
      <c r="B8" s="39"/>
      <c r="C8" s="39"/>
      <c r="D8" s="39"/>
      <c r="E8" s="39"/>
      <c r="F8" s="39"/>
      <c r="G8" s="39"/>
      <c r="H8" s="39"/>
      <c r="I8" s="39"/>
      <c r="J8" s="39"/>
      <c r="K8" s="39"/>
      <c r="L8" s="39"/>
      <c r="M8" s="39"/>
      <c r="N8" s="39"/>
      <c r="O8" s="39"/>
      <c r="P8" s="39"/>
      <c r="Q8" s="39"/>
      <c r="R8" s="39"/>
      <c r="S8" s="39"/>
      <c r="T8" s="39"/>
    </row>
    <row r="9" spans="1:20" s="40" customFormat="1" ht="12.75" customHeight="1">
      <c r="A9" s="39" t="s">
        <v>1042</v>
      </c>
      <c r="B9" s="39"/>
      <c r="C9" s="39"/>
      <c r="D9" s="39"/>
      <c r="E9" s="39"/>
      <c r="F9" s="39"/>
      <c r="G9" s="39"/>
      <c r="H9" s="39"/>
      <c r="I9" s="39"/>
      <c r="J9" s="39"/>
      <c r="K9" s="39"/>
      <c r="L9" s="39"/>
      <c r="M9" s="39"/>
      <c r="N9" s="39"/>
      <c r="O9" s="39"/>
      <c r="P9" s="39"/>
      <c r="Q9" s="39"/>
      <c r="R9" s="39"/>
      <c r="S9" s="39"/>
      <c r="T9" s="39"/>
    </row>
    <row r="10" spans="1:20" s="40" customFormat="1" ht="12.75" customHeight="1">
      <c r="A10" s="39" t="str">
        <f>" year " &amp;OPEN!N2&amp; "; and (3) the Amount(s) of "&amp;OPEN!Q5&amp; " Tax to be Levied are within statutory limitations."</f>
        <v xml:space="preserve"> year 2016-2017; and (3) the Amount(s) of 2016 Tax to be Levied are within statutory limitations.</v>
      </c>
      <c r="B10" s="39"/>
      <c r="C10" s="39"/>
      <c r="D10" s="39"/>
      <c r="E10" s="39"/>
      <c r="F10" s="39"/>
      <c r="G10" s="39"/>
      <c r="H10" s="39"/>
      <c r="I10" s="39"/>
      <c r="J10" s="39"/>
      <c r="K10" s="39"/>
      <c r="L10" s="39"/>
      <c r="M10" s="39"/>
      <c r="N10" s="39"/>
      <c r="O10" s="39"/>
      <c r="P10" s="39"/>
      <c r="Q10" s="39"/>
      <c r="R10" s="39"/>
      <c r="S10" s="39"/>
      <c r="T10" s="39"/>
    </row>
    <row r="11" spans="1:20" s="40" customFormat="1" ht="12.75" customHeight="1">
      <c r="A11" s="39"/>
      <c r="B11" s="39"/>
      <c r="C11" s="39"/>
      <c r="D11" s="39"/>
      <c r="E11" s="39"/>
      <c r="F11" s="39"/>
      <c r="G11" s="39"/>
      <c r="H11" s="39"/>
      <c r="I11" s="39"/>
      <c r="J11" s="39"/>
      <c r="K11" s="39"/>
      <c r="L11" s="39"/>
      <c r="M11" s="39"/>
      <c r="N11" s="39"/>
      <c r="O11" s="39"/>
      <c r="P11" s="39"/>
      <c r="Q11" s="39"/>
      <c r="R11" s="39"/>
      <c r="S11" s="39"/>
      <c r="T11" s="39"/>
    </row>
    <row r="12" spans="1:20" s="40" customFormat="1" ht="12" customHeight="1">
      <c r="A12" s="46" t="s">
        <v>1043</v>
      </c>
      <c r="B12" s="46"/>
      <c r="C12" s="46"/>
      <c r="D12" s="47" t="str">
        <f>OPEN!N2&amp; " ADOPTED BUDGET"</f>
        <v>2016-2017 ADOPTED BUDGET</v>
      </c>
      <c r="E12" s="48"/>
      <c r="F12" s="49"/>
      <c r="G12" s="39"/>
      <c r="H12" s="39"/>
      <c r="I12" s="39"/>
      <c r="J12" s="50"/>
      <c r="K12" s="50"/>
      <c r="L12" s="50"/>
      <c r="M12" s="50"/>
      <c r="N12" s="50"/>
      <c r="O12" s="50"/>
      <c r="P12" s="39"/>
      <c r="Q12" s="39"/>
      <c r="R12" s="39"/>
      <c r="S12" s="39"/>
      <c r="T12" s="39"/>
    </row>
    <row r="13" spans="1:20" s="40" customFormat="1" ht="12" customHeight="1">
      <c r="A13" s="46"/>
      <c r="B13" s="46"/>
      <c r="C13" s="46"/>
      <c r="D13" s="51"/>
      <c r="E13" s="51" t="s">
        <v>1044</v>
      </c>
      <c r="F13" s="52"/>
      <c r="G13" s="39"/>
      <c r="H13" s="45"/>
      <c r="I13" s="39"/>
      <c r="J13" s="53"/>
      <c r="K13" s="50"/>
      <c r="L13" s="54"/>
      <c r="M13" s="53"/>
      <c r="N13" s="53"/>
      <c r="O13" s="50"/>
      <c r="P13" s="39"/>
      <c r="Q13" s="39"/>
      <c r="R13" s="39"/>
      <c r="S13" s="39"/>
      <c r="T13" s="39"/>
    </row>
    <row r="14" spans="1:20" s="40" customFormat="1" ht="12" customHeight="1">
      <c r="A14" s="55"/>
      <c r="B14" s="56"/>
      <c r="C14" s="51" t="s">
        <v>1045</v>
      </c>
      <c r="D14" s="57"/>
      <c r="E14" s="57" t="str">
        <f>OPEN!Q5 &amp; " Tax to"</f>
        <v>2016 Tax to</v>
      </c>
      <c r="F14" s="51" t="s">
        <v>1046</v>
      </c>
      <c r="G14" s="39"/>
      <c r="H14" s="39"/>
      <c r="I14" s="39"/>
      <c r="J14" s="50"/>
      <c r="K14" s="50"/>
      <c r="L14" s="50"/>
      <c r="M14" s="50"/>
      <c r="N14" s="50"/>
      <c r="O14" s="50"/>
      <c r="P14" s="39"/>
      <c r="Q14" s="39"/>
      <c r="R14" s="39"/>
      <c r="S14" s="39"/>
      <c r="T14" s="39"/>
    </row>
    <row r="15" spans="1:20" s="40" customFormat="1" ht="15" customHeight="1">
      <c r="A15" s="58" t="s">
        <v>1047</v>
      </c>
      <c r="B15" s="59"/>
      <c r="C15" s="60">
        <v>1</v>
      </c>
      <c r="D15" s="57" t="s">
        <v>1048</v>
      </c>
      <c r="E15" s="57" t="s">
        <v>1049</v>
      </c>
      <c r="F15" s="57" t="s">
        <v>1050</v>
      </c>
      <c r="G15" s="39"/>
      <c r="H15" s="39"/>
      <c r="I15" s="39"/>
      <c r="J15" s="50"/>
      <c r="K15" s="61"/>
      <c r="L15" s="61"/>
      <c r="M15" s="61"/>
      <c r="N15" s="50"/>
      <c r="O15" s="50"/>
      <c r="P15" s="39"/>
      <c r="Q15" s="39"/>
      <c r="R15" s="39"/>
      <c r="S15" s="39"/>
      <c r="T15" s="39"/>
    </row>
    <row r="16" spans="1:20" s="40" customFormat="1" ht="12" customHeight="1">
      <c r="A16" s="62"/>
      <c r="B16" s="63"/>
      <c r="C16" s="64" t="s">
        <v>1051</v>
      </c>
      <c r="D16" s="65">
        <v>1</v>
      </c>
      <c r="E16" s="65">
        <v>2</v>
      </c>
      <c r="F16" s="65">
        <v>3</v>
      </c>
      <c r="G16" s="50"/>
      <c r="H16" s="39"/>
      <c r="I16" s="39"/>
      <c r="J16" s="61"/>
      <c r="K16" s="61"/>
      <c r="L16" s="61"/>
      <c r="M16" s="61"/>
      <c r="N16" s="61"/>
      <c r="O16" s="61"/>
      <c r="P16" s="39"/>
      <c r="Q16" s="39"/>
      <c r="R16" s="39"/>
      <c r="S16" s="39"/>
      <c r="T16" s="39"/>
    </row>
    <row r="17" spans="1:20" s="70" customFormat="1" ht="12" customHeight="1">
      <c r="A17" s="66" t="s">
        <v>1052</v>
      </c>
      <c r="B17" s="67"/>
      <c r="C17" s="68">
        <v>4</v>
      </c>
      <c r="D17" s="69"/>
      <c r="E17" s="69"/>
      <c r="F17" s="69"/>
      <c r="G17" s="46"/>
      <c r="H17" s="46"/>
      <c r="I17" s="46"/>
      <c r="J17" s="50"/>
      <c r="K17" s="61"/>
      <c r="L17" s="61"/>
      <c r="M17" s="61"/>
      <c r="N17" s="61"/>
      <c r="O17" s="61"/>
      <c r="P17" s="46"/>
      <c r="Q17" s="46"/>
      <c r="R17" s="46"/>
      <c r="S17" s="46"/>
      <c r="T17" s="46"/>
    </row>
    <row r="18" spans="1:20" s="70" customFormat="1" ht="12" customHeight="1">
      <c r="A18" s="71" t="s">
        <v>1053</v>
      </c>
      <c r="B18" s="71"/>
      <c r="C18" s="68">
        <v>5</v>
      </c>
      <c r="D18" s="72"/>
      <c r="E18" s="72"/>
      <c r="F18" s="72"/>
      <c r="G18" s="46"/>
      <c r="H18" s="46"/>
      <c r="I18" s="46"/>
      <c r="J18" s="50"/>
      <c r="K18" s="50"/>
      <c r="L18" s="50"/>
      <c r="M18" s="50"/>
      <c r="N18" s="50"/>
      <c r="O18" s="50"/>
      <c r="P18" s="46"/>
      <c r="Q18" s="46"/>
      <c r="R18" s="46"/>
      <c r="S18" s="46"/>
      <c r="T18" s="46"/>
    </row>
    <row r="19" spans="1:20" s="70" customFormat="1" ht="12" customHeight="1">
      <c r="A19" s="68" t="s">
        <v>1054</v>
      </c>
      <c r="B19" s="71" t="s">
        <v>1055</v>
      </c>
      <c r="C19" s="68"/>
      <c r="D19" s="72"/>
      <c r="E19" s="72"/>
      <c r="F19" s="72"/>
      <c r="G19" s="46"/>
      <c r="H19" s="46"/>
      <c r="I19" s="46"/>
      <c r="J19" s="50"/>
      <c r="K19" s="50"/>
      <c r="L19" s="50"/>
      <c r="M19" s="50"/>
      <c r="N19" s="50"/>
      <c r="O19" s="50"/>
      <c r="P19" s="46"/>
      <c r="Q19" s="46"/>
      <c r="R19" s="46"/>
      <c r="S19" s="46"/>
      <c r="T19" s="46"/>
    </row>
    <row r="20" spans="1:20" s="77" customFormat="1" ht="12" customHeight="1">
      <c r="A20" s="71" t="s">
        <v>1056</v>
      </c>
      <c r="B20" s="71" t="s">
        <v>2498</v>
      </c>
      <c r="C20" s="68">
        <v>6</v>
      </c>
      <c r="D20" s="73">
        <f>IF(ISERROR('C06'!$E$49),0,'C06'!$E$49)</f>
        <v>3131576</v>
      </c>
      <c r="E20" s="73">
        <f>OPEN!A16*(20/1000)</f>
        <v>583599</v>
      </c>
      <c r="F20" s="74" t="s">
        <v>1057</v>
      </c>
      <c r="G20" s="75"/>
      <c r="H20" s="75"/>
      <c r="I20" s="75"/>
      <c r="J20" s="3014"/>
      <c r="K20" s="3934"/>
      <c r="L20" s="76"/>
      <c r="M20" s="76"/>
      <c r="N20" s="76"/>
      <c r="O20" s="76"/>
      <c r="P20" s="75"/>
      <c r="Q20" s="75"/>
      <c r="R20" s="75"/>
      <c r="S20" s="75"/>
      <c r="T20" s="75"/>
    </row>
    <row r="21" spans="1:20" s="77" customFormat="1" ht="12" customHeight="1">
      <c r="A21" s="71" t="s">
        <v>1058</v>
      </c>
      <c r="B21" s="71" t="s">
        <v>2499</v>
      </c>
      <c r="C21" s="68">
        <v>8</v>
      </c>
      <c r="D21" s="78">
        <f>IF(ISERROR('C08'!E33),0,'C08'!E33)</f>
        <v>962024</v>
      </c>
      <c r="E21" s="78">
        <f>IF(OR(ISERROR('C08'!E39),'C08'!E39="ERROR"),0,'C08'!E39)</f>
        <v>552511</v>
      </c>
      <c r="F21" s="79"/>
      <c r="G21" s="75"/>
      <c r="H21" s="75"/>
      <c r="I21" s="75"/>
      <c r="J21" s="76"/>
      <c r="K21" s="76"/>
      <c r="L21" s="76"/>
      <c r="M21" s="76"/>
      <c r="N21" s="76"/>
      <c r="O21" s="76"/>
      <c r="P21" s="75"/>
      <c r="Q21" s="75"/>
      <c r="R21" s="75"/>
      <c r="S21" s="75"/>
      <c r="T21" s="80"/>
    </row>
    <row r="22" spans="1:20" s="77" customFormat="1" ht="12" customHeight="1">
      <c r="A22" s="71" t="s">
        <v>1059</v>
      </c>
      <c r="B22" s="71" t="s">
        <v>1060</v>
      </c>
      <c r="C22" s="68">
        <v>10</v>
      </c>
      <c r="D22" s="78">
        <f>IF(ISERROR('C010'!E50),0,'C010'!E50)</f>
        <v>0</v>
      </c>
      <c r="E22" s="78">
        <f>IF(ISERROR('C010'!F17),0,'C010'!F17)</f>
        <v>0</v>
      </c>
      <c r="F22" s="79"/>
      <c r="G22" s="75"/>
      <c r="H22" s="75"/>
      <c r="I22" s="75"/>
      <c r="J22" s="76"/>
      <c r="K22" s="76"/>
      <c r="L22" s="76"/>
      <c r="M22" s="76"/>
      <c r="N22" s="76"/>
      <c r="O22" s="76"/>
      <c r="P22" s="75"/>
      <c r="Q22" s="75"/>
      <c r="R22" s="75"/>
      <c r="S22" s="75"/>
      <c r="T22" s="75"/>
    </row>
    <row r="23" spans="1:20" s="77" customFormat="1" ht="12" customHeight="1">
      <c r="A23" s="71" t="s">
        <v>1061</v>
      </c>
      <c r="B23" s="71" t="s">
        <v>1062</v>
      </c>
      <c r="C23" s="68">
        <v>12</v>
      </c>
      <c r="D23" s="78">
        <f>IF(ISERROR('C012'!E24),0,'C012'!E24)</f>
        <v>0</v>
      </c>
      <c r="E23" s="69"/>
      <c r="F23" s="81"/>
      <c r="G23" s="75"/>
      <c r="H23" s="75"/>
      <c r="I23" s="75"/>
      <c r="J23" s="76"/>
      <c r="K23" s="76"/>
      <c r="L23" s="76"/>
      <c r="M23" s="76"/>
      <c r="N23" s="76"/>
      <c r="O23" s="76"/>
      <c r="P23" s="75"/>
      <c r="Q23" s="75"/>
      <c r="R23" s="75"/>
      <c r="S23" s="75"/>
      <c r="T23" s="75"/>
    </row>
    <row r="24" spans="1:20" s="77" customFormat="1" ht="12" customHeight="1">
      <c r="A24" s="71" t="s">
        <v>1063</v>
      </c>
      <c r="B24" s="71" t="s">
        <v>2500</v>
      </c>
      <c r="C24" s="68">
        <v>14</v>
      </c>
      <c r="D24" s="78">
        <f>IF(ISERROR('C014'!E23),0,'C014'!E23)</f>
        <v>0</v>
      </c>
      <c r="E24" s="72"/>
      <c r="F24" s="82"/>
      <c r="G24" s="75"/>
      <c r="H24" s="75"/>
      <c r="I24" s="75"/>
      <c r="J24" s="76"/>
      <c r="K24" s="76"/>
      <c r="L24" s="76"/>
      <c r="M24" s="76"/>
      <c r="N24" s="76"/>
      <c r="O24" s="76"/>
      <c r="P24" s="75"/>
      <c r="Q24" s="75"/>
      <c r="R24" s="75"/>
      <c r="S24" s="75"/>
      <c r="T24" s="75"/>
    </row>
    <row r="25" spans="1:20" s="77" customFormat="1" ht="12" customHeight="1">
      <c r="A25" s="71" t="s">
        <v>1147</v>
      </c>
      <c r="B25" s="71" t="s">
        <v>2501</v>
      </c>
      <c r="C25" s="68">
        <v>15</v>
      </c>
      <c r="D25" s="78">
        <f>IF(ISERROR('C015'!E24),0,'C015'!E24)</f>
        <v>0</v>
      </c>
      <c r="E25" s="72"/>
      <c r="F25" s="82"/>
      <c r="G25" s="75"/>
      <c r="H25" s="75"/>
      <c r="I25" s="75"/>
      <c r="J25" s="76"/>
      <c r="K25" s="76"/>
      <c r="L25" s="76"/>
      <c r="M25" s="76"/>
      <c r="N25" s="76"/>
      <c r="O25" s="76"/>
      <c r="P25" s="75"/>
      <c r="Q25" s="75"/>
      <c r="R25" s="75"/>
      <c r="S25" s="75"/>
      <c r="T25" s="75"/>
    </row>
    <row r="26" spans="1:20" s="77" customFormat="1" ht="12" customHeight="1">
      <c r="A26" s="71" t="s">
        <v>1064</v>
      </c>
      <c r="B26" s="71" t="s">
        <v>1065</v>
      </c>
      <c r="C26" s="68">
        <v>16</v>
      </c>
      <c r="D26" s="78">
        <f>IF(ISERROR('C016'!E43),0,'C016'!E43)</f>
        <v>701990</v>
      </c>
      <c r="E26" s="72">
        <f>IF(ISERROR('C016'!F17),0,'C016'!F17)</f>
        <v>253049</v>
      </c>
      <c r="F26" s="83"/>
      <c r="G26" s="75"/>
      <c r="H26" s="75"/>
      <c r="I26" s="75"/>
      <c r="J26" s="76"/>
      <c r="K26" s="76"/>
      <c r="L26" s="76"/>
      <c r="M26" s="76"/>
      <c r="N26" s="76"/>
      <c r="O26" s="76"/>
      <c r="P26" s="75"/>
      <c r="Q26" s="75"/>
      <c r="R26" s="75"/>
      <c r="S26" s="75"/>
      <c r="T26" s="75"/>
    </row>
    <row r="27" spans="1:20" s="77" customFormat="1" ht="12" customHeight="1">
      <c r="A27" s="71" t="s">
        <v>1066</v>
      </c>
      <c r="B27" s="71" t="s">
        <v>1970</v>
      </c>
      <c r="C27" s="68">
        <v>18</v>
      </c>
      <c r="D27" s="2590">
        <f>IF(ISERROR('C018'!E24),0,'C018'!E24)</f>
        <v>11760</v>
      </c>
      <c r="E27" s="69"/>
      <c r="F27" s="2591"/>
      <c r="G27" s="75"/>
      <c r="H27" s="75"/>
      <c r="I27" s="75"/>
      <c r="J27" s="84"/>
      <c r="K27" s="76"/>
      <c r="L27" s="76"/>
      <c r="M27" s="76"/>
      <c r="N27" s="76"/>
      <c r="O27" s="76"/>
      <c r="P27" s="75"/>
      <c r="Q27" s="75"/>
      <c r="R27" s="75"/>
      <c r="S27" s="75"/>
      <c r="T27" s="75"/>
    </row>
    <row r="28" spans="1:20" s="77" customFormat="1" ht="12" customHeight="1">
      <c r="A28" s="71" t="s">
        <v>1067</v>
      </c>
      <c r="B28" s="71" t="s">
        <v>1068</v>
      </c>
      <c r="C28" s="68">
        <v>22</v>
      </c>
      <c r="D28" s="2590">
        <f>IF(ISERROR('C022'!E23),0,'C022'!E23)</f>
        <v>0</v>
      </c>
      <c r="E28" s="72"/>
      <c r="F28" s="2592"/>
      <c r="G28" s="75"/>
      <c r="H28" s="75"/>
      <c r="I28" s="75"/>
      <c r="J28" s="76"/>
      <c r="K28" s="76"/>
      <c r="L28" s="76"/>
      <c r="M28" s="76"/>
      <c r="N28" s="76"/>
      <c r="O28" s="76"/>
      <c r="P28" s="75"/>
      <c r="Q28" s="75"/>
      <c r="R28" s="75"/>
      <c r="S28" s="75"/>
      <c r="T28" s="75"/>
    </row>
    <row r="29" spans="1:20" s="77" customFormat="1" ht="12" customHeight="1">
      <c r="A29" s="71" t="s">
        <v>1069</v>
      </c>
      <c r="B29" s="71" t="s">
        <v>1070</v>
      </c>
      <c r="C29" s="68">
        <v>24</v>
      </c>
      <c r="D29" s="2590">
        <f>IF(ISERROR('C024'!E32),0,'C024'!E32)</f>
        <v>307550</v>
      </c>
      <c r="E29" s="72"/>
      <c r="F29" s="2592"/>
      <c r="G29" s="75"/>
      <c r="H29" s="75"/>
      <c r="I29" s="75"/>
      <c r="J29" s="76"/>
      <c r="K29" s="76"/>
      <c r="L29" s="76"/>
      <c r="M29" s="76"/>
      <c r="N29" s="76"/>
      <c r="O29" s="76"/>
      <c r="P29" s="75"/>
      <c r="Q29" s="75"/>
      <c r="R29" s="75"/>
      <c r="S29" s="75"/>
      <c r="T29" s="75"/>
    </row>
    <row r="30" spans="1:20" s="77" customFormat="1" ht="12" customHeight="1">
      <c r="A30" s="71" t="s">
        <v>749</v>
      </c>
      <c r="B30" s="71" t="s">
        <v>2502</v>
      </c>
      <c r="C30" s="68">
        <v>26</v>
      </c>
      <c r="D30" s="2590">
        <f>IF(ISERROR('C026'!E80),0,'C026'!E80)</f>
        <v>24000</v>
      </c>
      <c r="E30" s="72"/>
      <c r="F30" s="2592"/>
      <c r="G30" s="75"/>
      <c r="H30" s="75"/>
      <c r="I30" s="75"/>
      <c r="J30" s="76"/>
      <c r="K30" s="76"/>
      <c r="L30" s="76"/>
      <c r="M30" s="76"/>
      <c r="N30" s="76"/>
      <c r="O30" s="76"/>
      <c r="P30" s="75"/>
      <c r="Q30" s="75"/>
      <c r="R30" s="75"/>
      <c r="S30" s="75"/>
      <c r="T30" s="75"/>
    </row>
    <row r="31" spans="1:20" s="77" customFormat="1" ht="12" customHeight="1">
      <c r="A31" s="71" t="s">
        <v>1071</v>
      </c>
      <c r="B31" s="71" t="s">
        <v>2503</v>
      </c>
      <c r="C31" s="68">
        <v>28</v>
      </c>
      <c r="D31" s="2590">
        <f>IF(ISERROR('C028'!E25),0,'C028'!E25)</f>
        <v>1261</v>
      </c>
      <c r="E31" s="72"/>
      <c r="F31" s="2592"/>
      <c r="G31" s="75"/>
      <c r="H31" s="75"/>
      <c r="I31" s="75"/>
      <c r="J31" s="76"/>
      <c r="K31" s="76"/>
      <c r="L31" s="76"/>
      <c r="M31" s="76"/>
      <c r="N31" s="76"/>
      <c r="O31" s="76"/>
      <c r="P31" s="75"/>
      <c r="Q31" s="75"/>
      <c r="R31" s="75"/>
      <c r="S31" s="75"/>
      <c r="T31" s="75"/>
    </row>
    <row r="32" spans="1:20" s="77" customFormat="1" ht="12" customHeight="1">
      <c r="A32" s="71" t="s">
        <v>1072</v>
      </c>
      <c r="B32" s="71" t="s">
        <v>2504</v>
      </c>
      <c r="C32" s="68">
        <v>29</v>
      </c>
      <c r="D32" s="2590">
        <f>IF(ISERROR('C029'!$E$27),0,'C029'!$E$27)</f>
        <v>17060</v>
      </c>
      <c r="E32" s="72"/>
      <c r="F32" s="2592"/>
      <c r="G32" s="75"/>
      <c r="H32" s="75"/>
      <c r="I32" s="75"/>
      <c r="J32" s="76"/>
      <c r="K32" s="76"/>
      <c r="L32" s="76"/>
      <c r="M32" s="76"/>
      <c r="N32" s="76"/>
      <c r="O32" s="76"/>
      <c r="P32" s="75"/>
      <c r="Q32" s="75"/>
      <c r="R32" s="75"/>
      <c r="S32" s="75"/>
      <c r="T32" s="75"/>
    </row>
    <row r="33" spans="1:20" s="77" customFormat="1" ht="12" customHeight="1">
      <c r="A33" s="71" t="s">
        <v>1073</v>
      </c>
      <c r="B33" s="71" t="s">
        <v>2505</v>
      </c>
      <c r="C33" s="68">
        <v>30</v>
      </c>
      <c r="D33" s="2590">
        <f>IF(ISERROR('C030'!E28),0,'C030'!E28)</f>
        <v>728437</v>
      </c>
      <c r="E33" s="72"/>
      <c r="F33" s="2592"/>
      <c r="G33" s="75"/>
      <c r="H33" s="75"/>
      <c r="I33" s="75"/>
      <c r="J33" s="76"/>
      <c r="K33" s="76"/>
      <c r="L33" s="76"/>
      <c r="M33" s="76"/>
      <c r="N33" s="76"/>
      <c r="O33" s="76"/>
      <c r="P33" s="75"/>
      <c r="Q33" s="75"/>
      <c r="R33" s="75"/>
      <c r="S33" s="75"/>
      <c r="T33" s="75"/>
    </row>
    <row r="34" spans="1:20" s="77" customFormat="1" ht="12" customHeight="1">
      <c r="A34" s="71" t="s">
        <v>1074</v>
      </c>
      <c r="B34" s="71" t="s">
        <v>1970</v>
      </c>
      <c r="C34" s="68">
        <v>34</v>
      </c>
      <c r="D34" s="2590">
        <f>IF(ISERROR('C034'!E35),0,'C034'!E35)</f>
        <v>316500</v>
      </c>
      <c r="E34" s="72"/>
      <c r="F34" s="2592"/>
      <c r="G34" s="75"/>
      <c r="H34" s="75"/>
      <c r="I34" s="75"/>
      <c r="J34" s="75"/>
      <c r="K34" s="75"/>
      <c r="L34" s="75"/>
      <c r="M34" s="75"/>
      <c r="N34" s="75"/>
      <c r="O34" s="75"/>
      <c r="P34" s="75"/>
      <c r="Q34" s="75"/>
      <c r="R34" s="75"/>
      <c r="S34" s="75"/>
      <c r="T34" s="75"/>
    </row>
    <row r="35" spans="1:20" s="77" customFormat="1" ht="12" customHeight="1">
      <c r="A35" s="71" t="s">
        <v>159</v>
      </c>
      <c r="B35" s="2598" t="s">
        <v>936</v>
      </c>
      <c r="C35" s="2589">
        <v>42</v>
      </c>
      <c r="D35" s="92">
        <f>IF(ISERROR('C042'!E46),0,'C042'!E46)</f>
        <v>0</v>
      </c>
      <c r="E35" s="73">
        <f>IF(ISERROR('C042'!F52),0,'C042'!F52)</f>
        <v>0</v>
      </c>
      <c r="F35" s="2593"/>
      <c r="G35" s="75"/>
      <c r="H35" s="75"/>
      <c r="I35" s="75"/>
      <c r="J35" s="75"/>
      <c r="K35" s="75"/>
      <c r="L35" s="75"/>
      <c r="M35" s="75"/>
      <c r="N35" s="75"/>
      <c r="O35" s="75"/>
      <c r="P35" s="75"/>
      <c r="Q35" s="75"/>
      <c r="R35" s="75"/>
      <c r="S35" s="75"/>
      <c r="T35" s="75"/>
    </row>
    <row r="36" spans="1:20" s="77" customFormat="1" ht="12" customHeight="1">
      <c r="A36" s="71" t="s">
        <v>867</v>
      </c>
      <c r="B36" s="71" t="s">
        <v>1075</v>
      </c>
      <c r="C36" s="68">
        <v>44</v>
      </c>
      <c r="D36" s="73">
        <f>IF(ISERROR('C044'!E34),0,'C044'!E34)</f>
        <v>0</v>
      </c>
      <c r="E36" s="73">
        <f>IF(ISERROR('C044'!F40),0,'C044'!F40)</f>
        <v>0</v>
      </c>
      <c r="F36" s="79"/>
      <c r="G36" s="75"/>
      <c r="H36" s="75"/>
      <c r="I36" s="75"/>
      <c r="J36" s="3942"/>
      <c r="K36" s="75"/>
      <c r="L36" s="75"/>
      <c r="M36" s="75"/>
      <c r="N36" s="75"/>
      <c r="O36" s="75"/>
      <c r="P36" s="75"/>
      <c r="Q36" s="75"/>
      <c r="R36" s="75"/>
      <c r="S36" s="75"/>
      <c r="T36" s="75"/>
    </row>
    <row r="37" spans="1:20" s="77" customFormat="1" ht="12" customHeight="1">
      <c r="A37" s="71" t="s">
        <v>868</v>
      </c>
      <c r="B37" s="71" t="s">
        <v>2506</v>
      </c>
      <c r="C37" s="68">
        <v>45</v>
      </c>
      <c r="D37" s="78">
        <f>IF(ISERROR('C045'!$E$29),0,('C045'!$E$29))</f>
        <v>0</v>
      </c>
      <c r="E37" s="69">
        <f>IF(ISERROR('C045'!$E$33),0,('C045'!$E$33))</f>
        <v>0</v>
      </c>
      <c r="F37" s="2980"/>
      <c r="G37" s="75"/>
      <c r="H37" s="75"/>
      <c r="I37" s="75"/>
      <c r="J37" s="75"/>
      <c r="K37" s="75"/>
      <c r="L37" s="75"/>
      <c r="M37" s="75"/>
      <c r="N37" s="75"/>
      <c r="O37" s="75"/>
      <c r="P37" s="75"/>
      <c r="Q37" s="75"/>
      <c r="R37" s="75"/>
      <c r="S37" s="75"/>
      <c r="T37" s="75"/>
    </row>
    <row r="38" spans="1:20" s="77" customFormat="1" ht="12" customHeight="1">
      <c r="A38" s="71" t="s">
        <v>160</v>
      </c>
      <c r="B38" s="71" t="s">
        <v>2507</v>
      </c>
      <c r="C38" s="2654">
        <v>47</v>
      </c>
      <c r="D38" s="2979"/>
      <c r="E38" s="2979"/>
      <c r="F38" s="85"/>
      <c r="G38" s="75"/>
      <c r="H38" s="75"/>
      <c r="I38" s="75"/>
      <c r="J38" s="75"/>
      <c r="K38" s="75"/>
      <c r="L38" s="75"/>
      <c r="M38" s="75"/>
      <c r="N38" s="75"/>
      <c r="O38" s="75"/>
      <c r="P38" s="75"/>
      <c r="Q38" s="75"/>
      <c r="R38" s="75"/>
      <c r="S38" s="75"/>
      <c r="T38" s="75"/>
    </row>
    <row r="39" spans="1:20" s="77" customFormat="1" ht="12" customHeight="1">
      <c r="A39" s="71" t="s">
        <v>1076</v>
      </c>
      <c r="B39" s="71" t="s">
        <v>1077</v>
      </c>
      <c r="C39" s="2438">
        <v>7</v>
      </c>
      <c r="D39" s="92">
        <f>'C07'!$E$20</f>
        <v>98000</v>
      </c>
      <c r="E39" s="87"/>
      <c r="F39" s="2437"/>
      <c r="G39" s="75"/>
      <c r="H39" s="75"/>
      <c r="I39" s="75"/>
      <c r="J39" s="75"/>
      <c r="K39" s="75"/>
      <c r="L39" s="75"/>
      <c r="M39" s="75"/>
      <c r="N39" s="75"/>
      <c r="O39" s="75"/>
      <c r="P39" s="75"/>
      <c r="Q39" s="75"/>
      <c r="R39" s="75"/>
      <c r="S39" s="75"/>
      <c r="T39" s="75"/>
    </row>
    <row r="40" spans="1:20" s="77" customFormat="1" ht="12" customHeight="1">
      <c r="A40" s="71" t="s">
        <v>161</v>
      </c>
      <c r="B40" s="2598" t="s">
        <v>935</v>
      </c>
      <c r="C40" s="2438">
        <v>35</v>
      </c>
      <c r="D40" s="2590">
        <f>'C035'!E21</f>
        <v>50000</v>
      </c>
      <c r="E40" s="87"/>
      <c r="F40" s="2437"/>
      <c r="G40" s="75"/>
      <c r="H40" s="75"/>
      <c r="I40" s="75"/>
      <c r="J40" s="75"/>
      <c r="K40" s="75"/>
      <c r="L40" s="75"/>
      <c r="M40" s="75"/>
      <c r="N40" s="75"/>
      <c r="O40" s="75"/>
      <c r="P40" s="75"/>
      <c r="Q40" s="75"/>
      <c r="R40" s="75"/>
      <c r="S40" s="75"/>
      <c r="T40" s="75"/>
    </row>
    <row r="41" spans="1:20" s="77" customFormat="1" ht="12" customHeight="1">
      <c r="A41" s="71" t="s">
        <v>29</v>
      </c>
      <c r="B41" s="71" t="s">
        <v>2508</v>
      </c>
      <c r="C41" s="2438">
        <v>51</v>
      </c>
      <c r="D41" s="92">
        <f>'C051'!E38</f>
        <v>266624</v>
      </c>
      <c r="E41" s="87"/>
      <c r="F41" s="2437"/>
      <c r="G41" s="75"/>
      <c r="H41" s="75"/>
      <c r="I41" s="75"/>
      <c r="J41" s="75"/>
      <c r="K41" s="75"/>
      <c r="L41" s="75"/>
      <c r="M41" s="75"/>
      <c r="N41" s="75"/>
      <c r="O41" s="75"/>
      <c r="P41" s="75"/>
      <c r="Q41" s="75"/>
      <c r="R41" s="75"/>
      <c r="S41" s="75"/>
      <c r="T41" s="75"/>
    </row>
    <row r="42" spans="1:20" s="77" customFormat="1" ht="12" customHeight="1">
      <c r="A42" s="71" t="s">
        <v>953</v>
      </c>
      <c r="B42" s="71" t="s">
        <v>1970</v>
      </c>
      <c r="C42" s="68">
        <v>53</v>
      </c>
      <c r="D42" s="87"/>
      <c r="E42" s="87"/>
      <c r="F42" s="82"/>
      <c r="G42" s="75"/>
      <c r="H42" s="75"/>
      <c r="I42" s="75"/>
      <c r="J42" s="75"/>
      <c r="K42" s="75"/>
      <c r="L42" s="75"/>
      <c r="M42" s="75"/>
      <c r="N42" s="75"/>
      <c r="O42" s="75"/>
      <c r="P42" s="75"/>
      <c r="Q42" s="75"/>
      <c r="R42" s="75"/>
      <c r="S42" s="75"/>
      <c r="T42" s="75"/>
    </row>
    <row r="43" spans="1:20" s="77" customFormat="1" ht="12" customHeight="1">
      <c r="A43" s="71" t="s">
        <v>162</v>
      </c>
      <c r="B43" s="71" t="s">
        <v>2509</v>
      </c>
      <c r="C43" s="2589">
        <v>55</v>
      </c>
      <c r="D43" s="87"/>
      <c r="E43" s="87"/>
      <c r="F43" s="82"/>
      <c r="G43" s="75"/>
      <c r="H43" s="75"/>
      <c r="I43" s="75"/>
      <c r="J43" s="75"/>
      <c r="K43" s="75"/>
      <c r="L43" s="75"/>
      <c r="M43" s="75"/>
      <c r="N43" s="75"/>
      <c r="O43" s="75"/>
      <c r="P43" s="75"/>
      <c r="Q43" s="75"/>
      <c r="R43" s="75"/>
      <c r="S43" s="75"/>
      <c r="T43" s="75"/>
    </row>
    <row r="44" spans="1:20" s="77" customFormat="1" ht="12" customHeight="1">
      <c r="A44" s="88" t="s">
        <v>980</v>
      </c>
      <c r="B44" s="88" t="s">
        <v>1970</v>
      </c>
      <c r="C44" s="2873">
        <v>11</v>
      </c>
      <c r="D44" s="92">
        <f>'C011'!E28</f>
        <v>0</v>
      </c>
      <c r="E44" s="87"/>
      <c r="F44" s="82"/>
      <c r="G44" s="75"/>
      <c r="H44" s="75"/>
      <c r="I44" s="75"/>
      <c r="J44" s="75"/>
      <c r="K44" s="75"/>
      <c r="L44" s="75"/>
      <c r="M44" s="75"/>
      <c r="N44" s="75"/>
      <c r="O44" s="75"/>
      <c r="P44" s="75"/>
      <c r="Q44" s="75"/>
      <c r="R44" s="75"/>
      <c r="S44" s="75"/>
      <c r="T44" s="75"/>
    </row>
    <row r="45" spans="1:20" s="77" customFormat="1" ht="12" customHeight="1">
      <c r="A45" s="88" t="s">
        <v>985</v>
      </c>
      <c r="B45" s="88" t="s">
        <v>1970</v>
      </c>
      <c r="C45" s="2873">
        <v>13</v>
      </c>
      <c r="D45" s="2979">
        <f>'C013'!E28</f>
        <v>174497</v>
      </c>
      <c r="E45" s="87"/>
      <c r="F45" s="82"/>
      <c r="G45" s="75"/>
      <c r="H45" s="75"/>
      <c r="I45" s="75"/>
      <c r="J45" s="75"/>
      <c r="K45" s="75"/>
      <c r="L45" s="75"/>
      <c r="M45" s="75"/>
      <c r="N45" s="75"/>
      <c r="O45" s="75"/>
      <c r="P45" s="75"/>
      <c r="Q45" s="75"/>
      <c r="R45" s="75"/>
      <c r="S45" s="75"/>
      <c r="T45" s="75"/>
    </row>
    <row r="46" spans="1:20" s="77" customFormat="1" ht="12" customHeight="1">
      <c r="A46" s="88" t="s">
        <v>8</v>
      </c>
      <c r="B46" s="88" t="s">
        <v>2510</v>
      </c>
      <c r="C46" s="2873">
        <v>33</v>
      </c>
      <c r="D46" s="2590">
        <f>IF(ISERROR('C033'!$E$29),0,('C033'!$E$29))</f>
        <v>0</v>
      </c>
      <c r="E46" s="92">
        <f>IF(ISERROR('C033'!$E$33),0,('C033'!$E$33))</f>
        <v>0</v>
      </c>
      <c r="F46" s="2981"/>
      <c r="G46" s="75"/>
      <c r="H46" s="75"/>
      <c r="I46" s="75"/>
      <c r="J46" s="75"/>
      <c r="K46" s="75"/>
      <c r="L46" s="75"/>
      <c r="M46" s="75"/>
      <c r="N46" s="75"/>
      <c r="O46" s="75"/>
      <c r="P46" s="75"/>
      <c r="Q46" s="75"/>
      <c r="R46" s="75"/>
      <c r="S46" s="75"/>
      <c r="T46" s="75"/>
    </row>
    <row r="47" spans="1:20" s="77" customFormat="1" ht="12" customHeight="1">
      <c r="A47" s="88" t="s">
        <v>362</v>
      </c>
      <c r="B47" s="88" t="s">
        <v>2511</v>
      </c>
      <c r="C47" s="2873">
        <v>19</v>
      </c>
      <c r="D47" s="2590">
        <f>IF(ISERROR('C019'!$E$31),0,('C019'!$E$31))</f>
        <v>0</v>
      </c>
      <c r="E47" s="92">
        <f>IF(ISERROR('C019'!$E$35),0,('C019'!$E$35))</f>
        <v>0</v>
      </c>
      <c r="F47" s="2981"/>
      <c r="G47" s="75"/>
      <c r="H47" s="75"/>
      <c r="I47" s="75"/>
      <c r="J47" s="75"/>
      <c r="K47" s="75"/>
      <c r="L47" s="75"/>
      <c r="M47" s="75"/>
      <c r="N47" s="75"/>
      <c r="O47" s="75"/>
      <c r="P47" s="75"/>
      <c r="Q47" s="75"/>
      <c r="R47" s="75"/>
      <c r="S47" s="75"/>
      <c r="T47" s="75"/>
    </row>
    <row r="48" spans="1:20" s="77" customFormat="1" ht="12" customHeight="1">
      <c r="A48" s="3063" t="s">
        <v>1495</v>
      </c>
      <c r="B48" s="3063" t="s">
        <v>1496</v>
      </c>
      <c r="C48" s="2873">
        <v>56</v>
      </c>
      <c r="D48" s="87"/>
      <c r="E48" s="87"/>
      <c r="F48" s="82"/>
      <c r="G48" s="75"/>
      <c r="H48" s="75"/>
      <c r="I48" s="75"/>
      <c r="J48" s="75"/>
      <c r="K48" s="75"/>
      <c r="L48" s="75"/>
      <c r="M48" s="75"/>
      <c r="N48" s="75"/>
      <c r="O48" s="75"/>
      <c r="P48" s="75"/>
      <c r="Q48" s="75"/>
      <c r="R48" s="75"/>
      <c r="S48" s="75"/>
      <c r="T48" s="75"/>
    </row>
    <row r="49" spans="1:20" s="77" customFormat="1" ht="12" customHeight="1">
      <c r="A49" s="88" t="s">
        <v>1078</v>
      </c>
      <c r="B49" s="88"/>
      <c r="C49" s="89"/>
      <c r="D49" s="87"/>
      <c r="E49" s="72"/>
      <c r="F49" s="82"/>
      <c r="G49" s="75"/>
      <c r="H49" s="75"/>
      <c r="I49" s="75"/>
      <c r="J49" s="75"/>
      <c r="K49" s="75"/>
      <c r="L49" s="75"/>
      <c r="M49" s="75"/>
      <c r="N49" s="75"/>
      <c r="O49" s="75"/>
      <c r="P49" s="75"/>
      <c r="Q49" s="75"/>
      <c r="R49" s="75"/>
      <c r="S49" s="75"/>
      <c r="T49" s="75"/>
    </row>
    <row r="50" spans="1:20" s="77" customFormat="1" ht="12" customHeight="1">
      <c r="A50" s="90" t="str">
        <f>"  " &amp; OPEN!O44</f>
        <v xml:space="preserve">  Bond and Interest #1</v>
      </c>
      <c r="B50" s="90" t="s">
        <v>1079</v>
      </c>
      <c r="C50" s="91">
        <v>62</v>
      </c>
      <c r="D50" s="92">
        <f>IF(ISERROR('C062'!E47),0,'C062'!E47)</f>
        <v>250713</v>
      </c>
      <c r="E50" s="73">
        <f>IF(ISERROR('C062'!F56),0,'C062'!F56)</f>
        <v>236580</v>
      </c>
      <c r="F50" s="83"/>
      <c r="G50" s="75"/>
      <c r="H50" s="75"/>
      <c r="I50" s="75"/>
      <c r="J50" s="75"/>
      <c r="K50" s="75"/>
      <c r="L50" s="75"/>
      <c r="M50" s="75"/>
      <c r="N50" s="75"/>
      <c r="O50" s="75"/>
      <c r="P50" s="75"/>
      <c r="Q50" s="75"/>
      <c r="R50" s="75"/>
      <c r="S50" s="75"/>
      <c r="T50" s="75"/>
    </row>
    <row r="51" spans="1:20" s="77" customFormat="1" ht="12" customHeight="1">
      <c r="A51" s="71" t="str">
        <f>"  " &amp; OPEN!O45</f>
        <v xml:space="preserve">  Bond and Interest #2</v>
      </c>
      <c r="B51" s="71" t="s">
        <v>1079</v>
      </c>
      <c r="C51" s="68">
        <v>63</v>
      </c>
      <c r="D51" s="78">
        <f>IF(ISERROR('C063'!E47),0,'C063'!E47)</f>
        <v>0</v>
      </c>
      <c r="E51" s="78">
        <f>IF(ISERROR('C063'!F56),0,'C063'!F56)</f>
        <v>0</v>
      </c>
      <c r="F51" s="79"/>
      <c r="G51" s="75"/>
      <c r="H51" s="93"/>
      <c r="I51" s="75"/>
      <c r="J51" s="75"/>
      <c r="K51" s="75"/>
      <c r="L51" s="75"/>
      <c r="M51" s="75"/>
      <c r="N51" s="75"/>
      <c r="O51" s="75"/>
      <c r="P51" s="75"/>
      <c r="Q51" s="75"/>
      <c r="R51" s="75"/>
      <c r="S51" s="75"/>
      <c r="T51" s="75"/>
    </row>
    <row r="52" spans="1:20" s="77" customFormat="1" ht="12" customHeight="1">
      <c r="A52" s="71" t="s">
        <v>1473</v>
      </c>
      <c r="B52" s="71" t="s">
        <v>1080</v>
      </c>
      <c r="C52" s="68">
        <v>66</v>
      </c>
      <c r="D52" s="78">
        <f>IF(ISERROR('C066'!E34),0,'C066'!E34)</f>
        <v>0</v>
      </c>
      <c r="E52" s="78">
        <f>IF(ISERROR('C066'!F41),0,'C066'!F41)</f>
        <v>0</v>
      </c>
      <c r="F52" s="79"/>
      <c r="G52" s="75"/>
      <c r="H52" s="75"/>
      <c r="I52" s="75"/>
      <c r="J52" s="75"/>
      <c r="K52" s="75"/>
      <c r="L52" s="75"/>
      <c r="M52" s="75"/>
      <c r="N52" s="75"/>
      <c r="O52" s="75"/>
      <c r="P52" s="75"/>
      <c r="Q52" s="75"/>
      <c r="R52" s="75"/>
      <c r="S52" s="75"/>
      <c r="T52" s="75"/>
    </row>
    <row r="53" spans="1:20" s="77" customFormat="1" ht="12" customHeight="1">
      <c r="A53" s="71" t="s">
        <v>1474</v>
      </c>
      <c r="B53" s="71" t="s">
        <v>1081</v>
      </c>
      <c r="C53" s="68">
        <v>67</v>
      </c>
      <c r="D53" s="78">
        <f>'C067'!E33</f>
        <v>0</v>
      </c>
      <c r="E53" s="78">
        <f>IF(ISERROR('C067'!F39),0,'C067'!F39)</f>
        <v>0</v>
      </c>
      <c r="F53" s="79"/>
      <c r="G53" s="75"/>
      <c r="H53" s="75"/>
      <c r="I53" s="75"/>
      <c r="J53" s="75"/>
      <c r="K53" s="75"/>
      <c r="L53" s="75"/>
      <c r="M53" s="75"/>
      <c r="N53" s="75"/>
      <c r="O53" s="75"/>
      <c r="P53" s="75"/>
      <c r="Q53" s="75"/>
      <c r="R53" s="75"/>
      <c r="S53" s="75"/>
      <c r="T53" s="75"/>
    </row>
    <row r="54" spans="1:20" s="77" customFormat="1" ht="12" customHeight="1">
      <c r="A54" s="71" t="s">
        <v>1475</v>
      </c>
      <c r="B54" s="71" t="s">
        <v>777</v>
      </c>
      <c r="C54" s="68">
        <v>68</v>
      </c>
      <c r="D54" s="73">
        <f>IF(ISERROR('C068'!E35),0,'C068'!E35)</f>
        <v>0</v>
      </c>
      <c r="E54" s="78">
        <f>IF(ISERROR('C068'!F42),0,'C068'!F42)</f>
        <v>0</v>
      </c>
      <c r="F54" s="79"/>
      <c r="G54" s="75"/>
      <c r="H54" s="75"/>
      <c r="I54" s="75"/>
      <c r="J54" s="75"/>
      <c r="K54" s="75"/>
      <c r="L54" s="75"/>
      <c r="M54" s="75"/>
      <c r="N54" s="75"/>
      <c r="O54" s="75"/>
      <c r="P54" s="75"/>
      <c r="Q54" s="75"/>
      <c r="R54" s="75"/>
      <c r="S54" s="75"/>
      <c r="T54" s="75"/>
    </row>
    <row r="55" spans="1:20" s="77" customFormat="1" ht="12" customHeight="1">
      <c r="A55" s="46"/>
      <c r="B55" s="46"/>
      <c r="C55" s="46"/>
      <c r="D55" s="46"/>
      <c r="E55" s="46"/>
      <c r="F55" s="46"/>
      <c r="G55" s="46"/>
      <c r="H55" s="75"/>
      <c r="I55" s="75"/>
      <c r="J55" s="75"/>
      <c r="K55" s="75"/>
      <c r="L55" s="75"/>
      <c r="M55" s="75"/>
      <c r="N55" s="75"/>
      <c r="O55" s="75"/>
      <c r="P55" s="75"/>
      <c r="Q55" s="75"/>
      <c r="R55" s="75"/>
      <c r="S55" s="75"/>
      <c r="T55" s="75"/>
    </row>
    <row r="56" spans="1:20" s="77" customFormat="1" ht="12" customHeight="1">
      <c r="A56" s="46" t="str">
        <f>"(a)  The amount computed on Form 151 is the limit of the " &amp;OPEN!N2&amp; " Expenditures."</f>
        <v>(a)  The amount computed on Form 151 is the limit of the 2016-2017 Expenditures.</v>
      </c>
      <c r="B56" s="46"/>
      <c r="C56" s="46"/>
      <c r="D56" s="46"/>
      <c r="E56" s="46"/>
      <c r="F56" s="46"/>
      <c r="G56" s="46"/>
      <c r="H56" s="75"/>
      <c r="I56" s="75"/>
      <c r="J56" s="75"/>
      <c r="K56" s="75"/>
      <c r="L56" s="75"/>
      <c r="M56" s="75"/>
      <c r="N56" s="75"/>
      <c r="O56" s="75"/>
      <c r="P56" s="75"/>
      <c r="Q56" s="75"/>
      <c r="R56" s="75"/>
      <c r="S56" s="75"/>
      <c r="T56" s="75"/>
    </row>
    <row r="57" spans="1:20" s="77" customFormat="1" ht="12" customHeight="1">
      <c r="A57" s="75" t="s">
        <v>1083</v>
      </c>
      <c r="B57" s="75"/>
      <c r="C57" s="75"/>
      <c r="D57" s="46"/>
      <c r="E57" s="46"/>
      <c r="F57" s="46"/>
      <c r="G57" s="46"/>
      <c r="H57" s="75"/>
      <c r="I57" s="75"/>
      <c r="J57" s="75"/>
      <c r="K57" s="75"/>
      <c r="L57" s="75"/>
      <c r="M57" s="75"/>
      <c r="N57" s="75"/>
      <c r="O57" s="75"/>
      <c r="P57" s="75"/>
      <c r="Q57" s="75"/>
      <c r="R57" s="75"/>
      <c r="S57" s="75"/>
      <c r="T57" s="75"/>
    </row>
    <row r="58" spans="1:20" s="77" customFormat="1" ht="12" customHeight="1">
      <c r="A58" s="46" t="s">
        <v>1084</v>
      </c>
      <c r="B58" s="46"/>
      <c r="C58" s="46"/>
      <c r="D58" s="4088"/>
      <c r="E58" s="46"/>
      <c r="F58" s="4088"/>
      <c r="G58" s="46"/>
      <c r="H58" s="75"/>
      <c r="I58" s="75"/>
      <c r="J58" s="75"/>
      <c r="K58" s="75"/>
      <c r="L58" s="75"/>
      <c r="M58" s="75"/>
      <c r="N58" s="75"/>
      <c r="O58" s="75"/>
      <c r="P58" s="75"/>
      <c r="Q58" s="75"/>
      <c r="R58" s="75"/>
      <c r="S58" s="75"/>
      <c r="T58" s="75"/>
    </row>
    <row r="59" spans="1:20" s="77" customFormat="1" ht="12" customHeight="1">
      <c r="A59" s="46" t="s">
        <v>1886</v>
      </c>
      <c r="B59" s="5182" t="str">
        <f>IF(OPEN!$A$98=0," ",OPEN!$A$98)</f>
        <v xml:space="preserve"> </v>
      </c>
      <c r="C59" s="94" t="s">
        <v>1085</v>
      </c>
      <c r="D59" s="5183">
        <f>OPEN!J99/100</f>
        <v>0</v>
      </c>
      <c r="E59" s="5184" t="s">
        <v>1885</v>
      </c>
      <c r="F59" s="5185" t="str">
        <f>IF(OPEN!A100=0,"",OPEN!A100)</f>
        <v/>
      </c>
      <c r="G59" s="94"/>
      <c r="H59" s="75"/>
      <c r="I59" s="75"/>
      <c r="J59" s="75"/>
      <c r="K59" s="75"/>
      <c r="L59" s="75"/>
      <c r="M59" s="75"/>
      <c r="N59" s="75"/>
      <c r="O59" s="75"/>
      <c r="P59" s="75"/>
      <c r="Q59" s="75"/>
      <c r="R59" s="75"/>
      <c r="S59" s="75"/>
      <c r="T59" s="75"/>
    </row>
    <row r="60" spans="1:20" s="77" customFormat="1" ht="12" customHeight="1">
      <c r="A60" s="46"/>
      <c r="B60" s="5186"/>
      <c r="C60" s="94"/>
      <c r="D60" s="5187"/>
      <c r="E60" s="52"/>
      <c r="F60" s="5188"/>
      <c r="G60" s="94"/>
      <c r="H60" s="75"/>
      <c r="I60" s="75"/>
      <c r="J60" s="75"/>
      <c r="K60" s="75"/>
      <c r="L60" s="75"/>
      <c r="M60" s="75"/>
      <c r="N60" s="75"/>
      <c r="O60" s="75"/>
      <c r="P60" s="75"/>
      <c r="Q60" s="75"/>
      <c r="R60" s="75"/>
      <c r="S60" s="75"/>
      <c r="T60" s="75"/>
    </row>
    <row r="61" spans="1:20" s="77" customFormat="1" ht="13.5" customHeight="1">
      <c r="A61" s="46" t="s">
        <v>1801</v>
      </c>
      <c r="B61" s="46"/>
      <c r="C61" s="46"/>
      <c r="D61" s="46"/>
      <c r="E61" s="46"/>
      <c r="F61" s="46"/>
      <c r="G61" s="39"/>
      <c r="H61" s="75"/>
      <c r="I61" s="75"/>
      <c r="J61" s="75"/>
      <c r="K61" s="75"/>
      <c r="L61" s="75"/>
      <c r="M61" s="75"/>
      <c r="N61" s="75"/>
      <c r="O61" s="75"/>
      <c r="P61" s="75"/>
      <c r="Q61" s="75"/>
      <c r="R61" s="75"/>
      <c r="S61" s="75"/>
      <c r="T61" s="75"/>
    </row>
    <row r="62" spans="1:20" s="77" customFormat="1" ht="12" customHeight="1">
      <c r="A62" s="3780"/>
      <c r="B62" s="3780"/>
      <c r="C62" s="3780"/>
      <c r="D62" s="3780"/>
      <c r="E62" s="3780"/>
      <c r="F62" s="3780"/>
      <c r="G62" s="46"/>
      <c r="H62" s="75"/>
      <c r="I62" s="75"/>
      <c r="J62" s="75"/>
      <c r="K62" s="75"/>
      <c r="L62" s="86"/>
      <c r="M62" s="75"/>
      <c r="N62" s="75"/>
      <c r="O62" s="75"/>
      <c r="P62" s="75"/>
      <c r="Q62" s="75"/>
      <c r="R62" s="75"/>
      <c r="S62" s="75"/>
      <c r="T62" s="75"/>
    </row>
    <row r="63" spans="1:20" s="77" customFormat="1" ht="12.75" customHeight="1">
      <c r="A63" s="46"/>
      <c r="B63" s="39"/>
      <c r="C63" s="39"/>
      <c r="D63" s="39"/>
      <c r="E63" s="39"/>
      <c r="F63" s="38" t="s">
        <v>1020</v>
      </c>
      <c r="G63" s="39"/>
      <c r="H63" s="75"/>
      <c r="I63" s="75"/>
      <c r="J63" s="75"/>
      <c r="K63" s="75"/>
      <c r="L63" s="95"/>
      <c r="M63" s="75"/>
      <c r="N63" s="75"/>
      <c r="O63" s="75"/>
      <c r="P63" s="75"/>
      <c r="Q63" s="75"/>
      <c r="R63" s="75"/>
      <c r="S63" s="75"/>
      <c r="T63" s="75"/>
    </row>
    <row r="64" spans="1:20" ht="12.6" customHeight="1">
      <c r="A64" s="46"/>
      <c r="B64" s="39"/>
      <c r="C64" s="39"/>
      <c r="D64" s="39"/>
      <c r="E64" s="39"/>
      <c r="F64" s="38" t="s">
        <v>1021</v>
      </c>
      <c r="G64" s="39"/>
      <c r="H64" s="43"/>
      <c r="I64" s="43"/>
      <c r="J64" s="43"/>
      <c r="K64" s="43"/>
      <c r="L64" s="43"/>
      <c r="M64" s="43"/>
      <c r="N64" s="43"/>
      <c r="O64" s="43"/>
      <c r="P64" s="43"/>
      <c r="Q64" s="43"/>
      <c r="R64" s="43"/>
      <c r="S64" s="43"/>
      <c r="T64" s="43"/>
    </row>
    <row r="65" spans="1:20" ht="12.6" customHeight="1">
      <c r="A65" s="46"/>
      <c r="B65" s="39"/>
      <c r="C65" s="39"/>
      <c r="D65" s="39" t="s">
        <v>1022</v>
      </c>
      <c r="E65" s="39"/>
      <c r="F65" s="38" t="str">
        <f>F3</f>
        <v>2016-2017</v>
      </c>
      <c r="G65" s="39"/>
      <c r="H65" s="43"/>
      <c r="I65" s="43"/>
      <c r="J65" s="43"/>
      <c r="K65" s="43"/>
      <c r="L65" s="43"/>
      <c r="M65" s="43"/>
      <c r="N65" s="43"/>
      <c r="O65" s="43"/>
      <c r="P65" s="43"/>
      <c r="Q65" s="43"/>
      <c r="R65" s="43"/>
      <c r="S65" s="43"/>
      <c r="T65" s="43"/>
    </row>
    <row r="66" spans="1:20" ht="12.6" customHeight="1">
      <c r="A66" s="39"/>
      <c r="B66" s="39"/>
      <c r="C66" s="39"/>
      <c r="D66" s="39"/>
      <c r="E66" s="39"/>
      <c r="F66" s="39"/>
      <c r="G66" s="43"/>
      <c r="H66" s="43"/>
      <c r="I66" s="43"/>
      <c r="J66" s="43"/>
      <c r="K66" s="43"/>
      <c r="L66" s="43"/>
      <c r="M66" s="43"/>
      <c r="N66" s="43"/>
      <c r="O66" s="43"/>
      <c r="P66" s="43"/>
      <c r="Q66" s="43"/>
      <c r="R66" s="43"/>
      <c r="S66" s="43"/>
      <c r="T66" s="43"/>
    </row>
    <row r="67" spans="1:20" ht="12.6" customHeight="1">
      <c r="A67" s="39" t="s">
        <v>1043</v>
      </c>
      <c r="B67" s="39"/>
      <c r="C67" s="39"/>
      <c r="D67" s="96" t="str">
        <f>D12</f>
        <v>2016-2017 ADOPTED BUDGET</v>
      </c>
      <c r="E67" s="97"/>
      <c r="F67" s="98"/>
      <c r="G67" s="43"/>
      <c r="H67" s="43"/>
      <c r="I67" s="43"/>
      <c r="J67" s="43"/>
      <c r="K67" s="43"/>
      <c r="L67" s="43"/>
      <c r="M67" s="43"/>
      <c r="N67" s="43"/>
      <c r="O67" s="43"/>
      <c r="P67" s="43"/>
      <c r="Q67" s="43"/>
      <c r="R67" s="43"/>
      <c r="S67" s="43"/>
      <c r="T67" s="43"/>
    </row>
    <row r="68" spans="1:20" ht="12.6" customHeight="1">
      <c r="A68" s="39"/>
      <c r="B68" s="39"/>
      <c r="C68" s="99"/>
      <c r="D68" s="100"/>
      <c r="E68" s="100" t="s">
        <v>1044</v>
      </c>
      <c r="F68" s="101"/>
      <c r="G68" s="43"/>
      <c r="H68" s="43"/>
      <c r="I68" s="43"/>
      <c r="J68" s="43"/>
      <c r="K68" s="43"/>
      <c r="L68" s="43"/>
      <c r="M68" s="43"/>
      <c r="N68" s="43"/>
      <c r="O68" s="43"/>
      <c r="P68" s="43"/>
      <c r="Q68" s="43"/>
      <c r="R68" s="43"/>
      <c r="S68" s="43"/>
      <c r="T68" s="43"/>
    </row>
    <row r="69" spans="1:20" ht="12.6" customHeight="1">
      <c r="A69" s="102"/>
      <c r="B69" s="103"/>
      <c r="C69" s="104" t="s">
        <v>1045</v>
      </c>
      <c r="D69" s="105"/>
      <c r="E69" s="105" t="str">
        <f>E14</f>
        <v>2016 Tax to</v>
      </c>
      <c r="F69" s="100" t="s">
        <v>1046</v>
      </c>
      <c r="G69" s="43"/>
      <c r="H69" s="43"/>
      <c r="I69" s="43"/>
      <c r="J69" s="43"/>
      <c r="K69" s="43"/>
      <c r="L69" s="43"/>
      <c r="M69" s="43"/>
      <c r="N69" s="43"/>
      <c r="O69" s="43"/>
      <c r="P69" s="43"/>
      <c r="Q69" s="43"/>
      <c r="R69" s="43"/>
      <c r="S69" s="43"/>
      <c r="T69" s="43"/>
    </row>
    <row r="70" spans="1:20" ht="12.6" customHeight="1">
      <c r="A70" s="106" t="s">
        <v>1047</v>
      </c>
      <c r="B70" s="107"/>
      <c r="C70" s="108">
        <v>1</v>
      </c>
      <c r="D70" s="105" t="s">
        <v>1048</v>
      </c>
      <c r="E70" s="105" t="s">
        <v>1049</v>
      </c>
      <c r="F70" s="105" t="s">
        <v>1050</v>
      </c>
      <c r="G70" s="43"/>
      <c r="H70" s="43"/>
      <c r="I70" s="43"/>
      <c r="J70" s="43"/>
      <c r="K70" s="43"/>
      <c r="L70" s="43"/>
      <c r="M70" s="43"/>
      <c r="N70" s="43"/>
      <c r="O70" s="43"/>
      <c r="P70" s="43"/>
      <c r="Q70" s="43"/>
      <c r="R70" s="43"/>
      <c r="S70" s="43"/>
      <c r="T70" s="43"/>
    </row>
    <row r="71" spans="1:20" ht="12.6" customHeight="1">
      <c r="A71" s="109"/>
      <c r="B71" s="110"/>
      <c r="C71" s="108" t="s">
        <v>1051</v>
      </c>
      <c r="D71" s="111">
        <v>1</v>
      </c>
      <c r="E71" s="112">
        <v>2</v>
      </c>
      <c r="F71" s="112">
        <v>3</v>
      </c>
      <c r="G71" s="43"/>
      <c r="H71" s="43"/>
      <c r="I71" s="43"/>
      <c r="J71" s="43"/>
      <c r="K71" s="43"/>
      <c r="L71" s="43"/>
      <c r="M71" s="43"/>
      <c r="N71" s="43"/>
      <c r="O71" s="43"/>
      <c r="P71" s="43"/>
      <c r="Q71" s="43"/>
      <c r="R71" s="43"/>
      <c r="S71" s="43"/>
      <c r="T71" s="43"/>
    </row>
    <row r="72" spans="1:20" ht="12.6" customHeight="1">
      <c r="A72" s="102" t="s">
        <v>1086</v>
      </c>
      <c r="B72" s="102"/>
      <c r="C72" s="113"/>
      <c r="D72" s="114"/>
      <c r="E72" s="115"/>
      <c r="F72" s="114"/>
      <c r="G72" s="43"/>
      <c r="H72" s="43"/>
      <c r="I72" s="43"/>
      <c r="J72" s="43"/>
      <c r="K72" s="43"/>
      <c r="L72" s="43"/>
      <c r="M72" s="43"/>
      <c r="N72" s="43"/>
      <c r="O72" s="43"/>
      <c r="P72" s="43"/>
      <c r="Q72" s="43"/>
      <c r="R72" s="43"/>
      <c r="S72" s="43"/>
      <c r="T72" s="43"/>
    </row>
    <row r="73" spans="1:20" ht="12.6" customHeight="1">
      <c r="A73" s="116" t="s">
        <v>1087</v>
      </c>
      <c r="B73" s="116" t="s">
        <v>1413</v>
      </c>
      <c r="C73" s="117">
        <v>78</v>
      </c>
      <c r="D73" s="118">
        <f>IF(ISERROR('C078'!E23),0,'C078'!E23)</f>
        <v>0</v>
      </c>
      <c r="E73" s="119"/>
      <c r="F73" s="120"/>
      <c r="G73" s="43"/>
      <c r="H73" s="43"/>
      <c r="I73" s="43"/>
      <c r="J73" s="43"/>
      <c r="K73" s="43"/>
      <c r="L73" s="43"/>
      <c r="M73" s="43"/>
      <c r="N73" s="43"/>
      <c r="O73" s="43"/>
      <c r="P73" s="43"/>
      <c r="Q73" s="43"/>
      <c r="R73" s="43"/>
      <c r="S73" s="43"/>
      <c r="T73" s="43"/>
    </row>
    <row r="74" spans="1:20" ht="12.6" customHeight="1">
      <c r="A74" s="3077" t="s">
        <v>1088</v>
      </c>
      <c r="B74" s="3078"/>
      <c r="C74" s="108">
        <v>100</v>
      </c>
      <c r="D74" s="120">
        <f>SUM(D73:D73,D17:D54)</f>
        <v>7041992</v>
      </c>
      <c r="E74" s="120">
        <f>SUM(E17:E54)</f>
        <v>1625739</v>
      </c>
      <c r="F74" s="3079"/>
      <c r="G74" s="43"/>
      <c r="H74" s="43"/>
      <c r="I74" s="43"/>
      <c r="J74" s="43"/>
      <c r="K74" s="43"/>
      <c r="L74" s="43"/>
      <c r="M74" s="43"/>
      <c r="N74" s="43"/>
      <c r="O74" s="43"/>
      <c r="P74" s="43"/>
      <c r="Q74" s="43"/>
      <c r="R74" s="43"/>
      <c r="S74" s="43"/>
      <c r="T74" s="43"/>
    </row>
    <row r="75" spans="1:20" ht="12.6" customHeight="1">
      <c r="A75" s="3080"/>
      <c r="B75" s="124"/>
      <c r="C75" s="104"/>
      <c r="D75" s="114"/>
      <c r="E75" s="114"/>
      <c r="F75" s="3076"/>
      <c r="G75" s="43"/>
      <c r="H75" s="43"/>
      <c r="I75" s="43"/>
      <c r="J75" s="43"/>
      <c r="K75" s="43"/>
      <c r="L75" s="43"/>
      <c r="M75" s="43"/>
      <c r="N75" s="43"/>
      <c r="O75" s="43"/>
      <c r="P75" s="43"/>
      <c r="Q75" s="43"/>
      <c r="R75" s="43"/>
      <c r="S75" s="43"/>
      <c r="T75" s="43"/>
    </row>
    <row r="76" spans="1:20" ht="12.6" customHeight="1">
      <c r="A76" s="3077"/>
      <c r="B76" s="3078"/>
      <c r="C76" s="108"/>
      <c r="D76" s="120"/>
      <c r="E76" s="120"/>
      <c r="F76" s="3079"/>
      <c r="G76" s="43"/>
      <c r="H76" s="43"/>
      <c r="I76" s="43"/>
      <c r="J76" s="43"/>
      <c r="K76" s="43"/>
      <c r="L76" s="43"/>
      <c r="M76" s="43"/>
      <c r="N76" s="43"/>
      <c r="O76" s="43"/>
      <c r="P76" s="43"/>
      <c r="Q76" s="43"/>
      <c r="R76" s="43"/>
      <c r="S76" s="43"/>
      <c r="T76" s="43"/>
    </row>
    <row r="77" spans="1:20" ht="12.6" customHeight="1">
      <c r="A77" s="3077"/>
      <c r="B77" s="3078"/>
      <c r="C77" s="108"/>
      <c r="D77" s="120"/>
      <c r="E77" s="120"/>
      <c r="F77" s="3079"/>
      <c r="G77" s="43"/>
      <c r="H77" s="43"/>
      <c r="I77" s="43"/>
      <c r="J77" s="43"/>
      <c r="K77" s="43"/>
      <c r="L77" s="43"/>
      <c r="M77" s="43"/>
      <c r="N77" s="43"/>
      <c r="O77" s="43"/>
      <c r="P77" s="43"/>
      <c r="Q77" s="43"/>
      <c r="R77" s="43"/>
      <c r="S77" s="43"/>
      <c r="T77" s="43"/>
    </row>
    <row r="78" spans="1:20" ht="12.6" customHeight="1">
      <c r="A78" s="3078" t="s">
        <v>1089</v>
      </c>
      <c r="B78" s="3078"/>
      <c r="C78" s="108"/>
      <c r="D78" s="120"/>
      <c r="E78" s="120"/>
      <c r="F78" s="134"/>
      <c r="G78" s="43"/>
      <c r="H78" s="43"/>
      <c r="I78" s="43"/>
      <c r="J78" s="43"/>
      <c r="K78" s="43"/>
      <c r="L78" s="43"/>
      <c r="M78" s="43"/>
      <c r="N78" s="43"/>
      <c r="O78" s="43"/>
      <c r="P78" s="43"/>
      <c r="Q78" s="43"/>
      <c r="R78" s="43"/>
      <c r="S78" s="43"/>
      <c r="T78" s="43"/>
    </row>
    <row r="79" spans="1:20" ht="12.6" customHeight="1">
      <c r="A79" s="121" t="s">
        <v>869</v>
      </c>
      <c r="B79" s="121" t="s">
        <v>1090</v>
      </c>
      <c r="C79" s="122">
        <v>80</v>
      </c>
      <c r="D79" s="118">
        <f>IF(ISERROR('C080'!E33),0,'C080'!E33)</f>
        <v>0</v>
      </c>
      <c r="E79" s="118">
        <f>IF(ISERROR('C080'!F39),0,'C080'!F39)</f>
        <v>0</v>
      </c>
      <c r="F79" s="123"/>
      <c r="G79" s="43"/>
      <c r="H79" s="43"/>
      <c r="I79" s="43"/>
      <c r="J79" s="43"/>
      <c r="K79" s="43"/>
      <c r="L79" s="43"/>
      <c r="M79" s="43"/>
      <c r="N79" s="43"/>
      <c r="O79" s="43"/>
      <c r="P79" s="43"/>
      <c r="Q79" s="43"/>
      <c r="R79" s="43"/>
      <c r="S79" s="43"/>
      <c r="T79" s="43"/>
    </row>
    <row r="80" spans="1:20" ht="12.6" customHeight="1">
      <c r="A80" s="126" t="s">
        <v>870</v>
      </c>
      <c r="B80" s="126" t="s">
        <v>1091</v>
      </c>
      <c r="C80" s="127">
        <v>82</v>
      </c>
      <c r="D80" s="128">
        <f>IF(ISERROR('C082'!E33),0,'C082'!E33)</f>
        <v>0</v>
      </c>
      <c r="E80" s="128">
        <f>IF(ISERROR('C082'!F39),0,'C082'!F39)</f>
        <v>0</v>
      </c>
      <c r="F80" s="129"/>
      <c r="G80" s="43"/>
      <c r="H80" s="43"/>
      <c r="I80" s="43"/>
      <c r="J80" s="43"/>
      <c r="K80" s="43"/>
      <c r="L80" s="43"/>
      <c r="M80" s="43"/>
      <c r="N80" s="43"/>
      <c r="O80" s="43"/>
      <c r="P80" s="43"/>
      <c r="Q80" s="43"/>
      <c r="R80" s="43"/>
      <c r="S80" s="43"/>
      <c r="T80" s="43"/>
    </row>
    <row r="81" spans="1:20" ht="12.6" customHeight="1">
      <c r="A81" s="126" t="s">
        <v>871</v>
      </c>
      <c r="B81" s="126" t="s">
        <v>1092</v>
      </c>
      <c r="C81" s="127">
        <v>83</v>
      </c>
      <c r="D81" s="128">
        <f>IF(ISERROR('C083'!E33),0,'C083'!E33)</f>
        <v>0</v>
      </c>
      <c r="E81" s="128">
        <f>IF(ISERROR('C083'!F39),0,'C083'!F39)</f>
        <v>0</v>
      </c>
      <c r="F81" s="129"/>
      <c r="G81" s="43"/>
      <c r="H81" s="43"/>
      <c r="I81" s="43"/>
      <c r="J81" s="43"/>
      <c r="K81" s="43"/>
      <c r="L81" s="43"/>
      <c r="M81" s="43"/>
      <c r="N81" s="43"/>
      <c r="O81" s="43"/>
      <c r="P81" s="43"/>
      <c r="Q81" s="43"/>
      <c r="R81" s="43"/>
      <c r="S81" s="43"/>
      <c r="T81" s="43"/>
    </row>
    <row r="82" spans="1:20" ht="12.6" customHeight="1">
      <c r="A82" s="126" t="str">
        <f>"  " &amp; OPEN!O49</f>
        <v xml:space="preserve">  Recreation Commission</v>
      </c>
      <c r="B82" s="3075" t="s">
        <v>9</v>
      </c>
      <c r="C82" s="127">
        <v>84</v>
      </c>
      <c r="D82" s="128">
        <f>IF(ISERROR('C084'!E33),0,'C084'!E33)</f>
        <v>161500</v>
      </c>
      <c r="E82" s="128">
        <f>IF(ISERROR('C084'!F39),0,'C084'!F39)</f>
        <v>93622</v>
      </c>
      <c r="F82" s="129"/>
      <c r="G82" s="43"/>
      <c r="H82" s="43"/>
      <c r="I82" s="43"/>
      <c r="J82" s="43"/>
      <c r="K82" s="43"/>
      <c r="L82" s="43"/>
      <c r="M82" s="43"/>
      <c r="N82" s="43"/>
      <c r="O82" s="43"/>
      <c r="P82" s="43"/>
      <c r="Q82" s="43"/>
      <c r="R82" s="43"/>
      <c r="S82" s="43"/>
      <c r="T82" s="43"/>
    </row>
    <row r="83" spans="1:20" ht="12.6" customHeight="1">
      <c r="A83" s="126" t="str">
        <f xml:space="preserve"> "  " &amp; OPEN!Q51</f>
        <v xml:space="preserve">  Rec Comm Emp Bnfts &amp; Spec Liab</v>
      </c>
      <c r="B83" s="130" t="s">
        <v>1093</v>
      </c>
      <c r="C83" s="127">
        <v>86</v>
      </c>
      <c r="D83" s="128">
        <f>IF(ISERROR('C086'!E33),0,'C086'!E33)</f>
        <v>0</v>
      </c>
      <c r="E83" s="128">
        <f>IF(ISERROR('C086'!F39),0,'C086'!F39)</f>
        <v>0</v>
      </c>
      <c r="F83" s="129"/>
      <c r="G83" s="43"/>
      <c r="H83" s="43"/>
      <c r="I83" s="43"/>
      <c r="J83" s="43"/>
      <c r="K83" s="43"/>
      <c r="L83" s="43"/>
      <c r="M83" s="43"/>
      <c r="N83" s="43"/>
      <c r="O83" s="43"/>
      <c r="P83" s="43"/>
      <c r="Q83" s="43"/>
      <c r="R83" s="43"/>
      <c r="S83" s="43"/>
      <c r="T83" s="43"/>
    </row>
    <row r="84" spans="1:20" ht="12.6" customHeight="1">
      <c r="A84" s="126" t="s">
        <v>1094</v>
      </c>
      <c r="B84" s="131"/>
      <c r="C84" s="127">
        <v>105</v>
      </c>
      <c r="D84" s="128">
        <f>SUM(D79:D83)</f>
        <v>161500</v>
      </c>
      <c r="E84" s="128">
        <f>SUM(E79:E83)</f>
        <v>93622</v>
      </c>
      <c r="F84" s="129"/>
      <c r="G84" s="43"/>
      <c r="H84" s="43"/>
      <c r="I84" s="43"/>
      <c r="J84" s="43"/>
      <c r="K84" s="43"/>
      <c r="L84" s="43"/>
      <c r="M84" s="43"/>
      <c r="N84" s="43"/>
      <c r="O84" s="43"/>
      <c r="P84" s="43"/>
      <c r="Q84" s="43"/>
      <c r="R84" s="43"/>
      <c r="S84" s="43"/>
      <c r="T84" s="43"/>
    </row>
    <row r="85" spans="1:20" ht="12.6" customHeight="1">
      <c r="A85" s="126" t="s">
        <v>1095</v>
      </c>
      <c r="B85" s="126"/>
      <c r="C85" s="127">
        <v>99</v>
      </c>
      <c r="D85" s="132"/>
      <c r="E85" s="132"/>
      <c r="F85" s="125"/>
      <c r="G85" s="43"/>
      <c r="H85" s="43"/>
      <c r="I85" s="43"/>
      <c r="J85" s="43"/>
      <c r="K85" s="43"/>
      <c r="L85" s="43"/>
      <c r="M85" s="43"/>
      <c r="N85" s="43"/>
      <c r="O85" s="43"/>
      <c r="P85" s="43"/>
      <c r="Q85" s="43"/>
      <c r="R85" s="43"/>
      <c r="S85" s="43"/>
      <c r="T85" s="43"/>
    </row>
    <row r="86" spans="1:20" ht="12.6" customHeight="1">
      <c r="A86" s="126" t="s">
        <v>1100</v>
      </c>
      <c r="B86" s="121"/>
      <c r="C86" s="133"/>
      <c r="D86" s="132"/>
      <c r="E86" s="132"/>
      <c r="F86" s="134"/>
      <c r="G86" s="43"/>
      <c r="H86" s="43"/>
      <c r="I86" s="43"/>
      <c r="J86" s="43"/>
      <c r="K86" s="43"/>
      <c r="L86" s="43"/>
      <c r="M86" s="43"/>
      <c r="N86" s="43"/>
      <c r="O86" s="43"/>
      <c r="P86" s="43"/>
      <c r="Q86" s="43"/>
      <c r="R86" s="43"/>
      <c r="S86" s="43"/>
      <c r="T86" s="43"/>
    </row>
    <row r="87" spans="1:20" ht="12.6" customHeight="1">
      <c r="A87" s="50"/>
      <c r="B87" s="39"/>
      <c r="C87" s="39"/>
      <c r="D87" s="132"/>
      <c r="E87" s="132"/>
      <c r="F87" s="123"/>
      <c r="G87" s="43"/>
      <c r="H87" s="43"/>
      <c r="I87" s="43"/>
      <c r="J87" s="43"/>
      <c r="K87" s="43"/>
      <c r="L87" s="43"/>
      <c r="M87" s="43"/>
      <c r="N87" s="43"/>
      <c r="O87" s="43"/>
      <c r="P87" s="43"/>
      <c r="Q87" s="43"/>
      <c r="R87" s="43"/>
      <c r="S87" s="43"/>
      <c r="T87" s="43"/>
    </row>
    <row r="88" spans="1:20" ht="12.6" customHeight="1">
      <c r="A88" s="39"/>
      <c r="B88" s="39"/>
      <c r="C88" s="39"/>
      <c r="D88" s="39"/>
      <c r="E88" s="39"/>
      <c r="F88" s="39"/>
      <c r="G88" s="43"/>
      <c r="H88" s="43"/>
      <c r="I88" s="43"/>
      <c r="J88" s="43"/>
      <c r="K88" s="43"/>
      <c r="L88" s="43"/>
      <c r="M88" s="43"/>
      <c r="N88" s="43"/>
      <c r="O88" s="43"/>
      <c r="P88" s="43"/>
      <c r="Q88" s="43"/>
      <c r="R88" s="43"/>
      <c r="S88" s="43"/>
      <c r="T88" s="43"/>
    </row>
    <row r="89" spans="1:20" ht="5.0999999999999996" customHeight="1">
      <c r="A89" s="39"/>
      <c r="B89" s="39"/>
      <c r="C89" s="39"/>
      <c r="D89" s="39"/>
      <c r="E89" s="39"/>
      <c r="F89" s="39"/>
      <c r="G89" s="43"/>
      <c r="H89" s="43"/>
      <c r="I89" s="43"/>
      <c r="J89" s="43"/>
      <c r="K89" s="43"/>
      <c r="L89" s="43"/>
      <c r="M89" s="43"/>
      <c r="N89" s="43"/>
      <c r="O89" s="43"/>
      <c r="P89" s="43"/>
      <c r="Q89" s="43"/>
      <c r="R89" s="43"/>
      <c r="S89" s="43"/>
      <c r="T89" s="43"/>
    </row>
    <row r="90" spans="1:20" ht="12.6" customHeight="1">
      <c r="A90" s="39"/>
      <c r="B90" s="39"/>
      <c r="C90" s="39"/>
      <c r="D90" s="39"/>
      <c r="E90" s="39"/>
      <c r="F90" s="39"/>
      <c r="G90" s="43"/>
      <c r="H90" s="43"/>
      <c r="I90" s="43"/>
      <c r="J90" s="43"/>
      <c r="K90" s="43"/>
      <c r="L90" s="43"/>
      <c r="M90" s="43"/>
      <c r="N90" s="43"/>
      <c r="O90" s="43"/>
      <c r="P90" s="43"/>
      <c r="Q90" s="43"/>
      <c r="R90" s="43"/>
      <c r="S90" s="43"/>
      <c r="T90" s="43"/>
    </row>
    <row r="91" spans="1:20" ht="12.75" customHeight="1">
      <c r="A91" s="135" t="s">
        <v>1101</v>
      </c>
      <c r="B91" s="50"/>
      <c r="C91" s="39"/>
      <c r="D91" s="39"/>
      <c r="E91" s="39" t="s">
        <v>1102</v>
      </c>
      <c r="F91" s="39"/>
      <c r="G91" s="43"/>
      <c r="H91" s="43"/>
      <c r="I91" s="43"/>
      <c r="J91" s="43"/>
      <c r="K91" s="43"/>
      <c r="L91" s="43"/>
      <c r="M91" s="43"/>
      <c r="N91" s="43"/>
      <c r="O91" s="43"/>
      <c r="P91" s="43"/>
      <c r="Q91" s="43"/>
      <c r="R91" s="43"/>
      <c r="S91" s="43"/>
      <c r="T91" s="43"/>
    </row>
    <row r="92" spans="1:20" ht="12.6" customHeight="1">
      <c r="A92" s="136" t="s">
        <v>1103</v>
      </c>
      <c r="B92" s="50"/>
      <c r="C92" s="39"/>
      <c r="D92" s="39"/>
      <c r="E92" s="137"/>
      <c r="F92" s="137"/>
      <c r="G92" s="43"/>
      <c r="H92" s="43"/>
      <c r="I92" s="43"/>
      <c r="J92" s="43"/>
      <c r="K92" s="43"/>
      <c r="L92" s="43"/>
      <c r="M92" s="43"/>
      <c r="N92" s="43"/>
      <c r="O92" s="43"/>
      <c r="P92" s="43"/>
      <c r="Q92" s="43"/>
      <c r="R92" s="43"/>
      <c r="S92" s="43"/>
      <c r="T92" s="43"/>
    </row>
    <row r="93" spans="1:20" ht="12.6" customHeight="1">
      <c r="A93" s="136" t="s">
        <v>1104</v>
      </c>
      <c r="B93" s="50"/>
      <c r="C93" s="39"/>
      <c r="D93" s="39"/>
      <c r="E93" s="137"/>
      <c r="F93" s="137"/>
      <c r="G93" s="43"/>
      <c r="H93" s="43"/>
      <c r="I93" s="43"/>
      <c r="J93" s="43"/>
      <c r="K93" s="43"/>
      <c r="L93" s="43"/>
      <c r="M93" s="43"/>
      <c r="N93" s="43"/>
      <c r="O93" s="43"/>
      <c r="P93" s="43"/>
      <c r="Q93" s="43"/>
      <c r="R93" s="43"/>
      <c r="S93" s="43"/>
      <c r="T93" s="43"/>
    </row>
    <row r="94" spans="1:20" ht="12.6" customHeight="1">
      <c r="A94" s="138" t="s">
        <v>1105</v>
      </c>
      <c r="B94" s="50"/>
      <c r="C94" s="39"/>
      <c r="D94" s="39"/>
      <c r="E94" s="137"/>
      <c r="F94" s="137"/>
      <c r="G94" s="43"/>
      <c r="H94" s="43"/>
      <c r="I94" s="43"/>
      <c r="J94" s="43"/>
      <c r="K94" s="43"/>
      <c r="L94" s="43"/>
      <c r="M94" s="43"/>
      <c r="N94" s="43"/>
      <c r="O94" s="43"/>
      <c r="P94" s="43"/>
      <c r="Q94" s="43"/>
      <c r="R94" s="43"/>
      <c r="S94" s="43"/>
      <c r="T94" s="43"/>
    </row>
    <row r="95" spans="1:20" ht="12.6" customHeight="1">
      <c r="A95" s="39"/>
      <c r="B95" s="39"/>
      <c r="C95" s="39"/>
      <c r="D95" s="39"/>
      <c r="E95" s="39"/>
      <c r="F95" s="39"/>
      <c r="G95" s="43"/>
      <c r="H95" s="43"/>
      <c r="I95" s="43"/>
      <c r="J95" s="43"/>
      <c r="K95" s="43"/>
      <c r="L95" s="43"/>
      <c r="M95" s="43"/>
      <c r="N95" s="43"/>
      <c r="O95" s="43"/>
      <c r="P95" s="43"/>
      <c r="Q95" s="43"/>
      <c r="R95" s="43"/>
      <c r="S95" s="43"/>
      <c r="T95" s="43"/>
    </row>
    <row r="96" spans="1:20" ht="12.6" customHeight="1">
      <c r="A96" s="43" t="str">
        <f>"Attest:  ________________, " &amp; OPEN!Q5</f>
        <v>Attest:  ________________, 2016</v>
      </c>
      <c r="B96" s="39"/>
      <c r="C96" s="39"/>
      <c r="D96" s="39"/>
      <c r="E96" s="139"/>
      <c r="F96" s="139"/>
      <c r="G96" s="43"/>
      <c r="H96" s="43"/>
      <c r="I96" s="43"/>
      <c r="J96" s="43"/>
      <c r="K96" s="43"/>
      <c r="L96" s="43"/>
      <c r="M96" s="43"/>
      <c r="N96" s="43"/>
      <c r="O96" s="43"/>
      <c r="P96" s="43"/>
      <c r="Q96" s="43"/>
      <c r="R96" s="43"/>
      <c r="S96" s="43"/>
      <c r="T96" s="43"/>
    </row>
    <row r="97" spans="1:20" ht="12.6" customHeight="1">
      <c r="A97" s="39"/>
      <c r="B97" s="39"/>
      <c r="C97" s="39"/>
      <c r="D97" s="39"/>
      <c r="E97" s="45" t="s">
        <v>1106</v>
      </c>
      <c r="F97" s="45"/>
      <c r="G97" s="43"/>
      <c r="H97" s="43"/>
      <c r="I97" s="43"/>
      <c r="J97" s="43"/>
      <c r="K97" s="43"/>
      <c r="L97" s="43"/>
      <c r="M97" s="43"/>
      <c r="N97" s="43"/>
      <c r="O97" s="43"/>
      <c r="P97" s="43"/>
      <c r="Q97" s="43"/>
      <c r="R97" s="43"/>
      <c r="S97" s="43"/>
      <c r="T97" s="43"/>
    </row>
    <row r="98" spans="1:20" ht="12.6" customHeight="1">
      <c r="A98" s="39"/>
      <c r="B98" s="39"/>
      <c r="C98" s="39"/>
      <c r="D98" s="39"/>
      <c r="E98" s="39"/>
      <c r="F98" s="39"/>
      <c r="G98" s="43"/>
      <c r="H98" s="43"/>
      <c r="I98" s="43"/>
      <c r="J98" s="43"/>
      <c r="K98" s="43"/>
      <c r="L98" s="43"/>
      <c r="M98" s="43"/>
      <c r="N98" s="43"/>
      <c r="O98" s="43"/>
      <c r="P98" s="43"/>
      <c r="Q98" s="43"/>
      <c r="R98" s="43"/>
      <c r="S98" s="43"/>
      <c r="T98" s="43"/>
    </row>
    <row r="99" spans="1:20" ht="3.75" customHeight="1">
      <c r="A99" s="139"/>
      <c r="B99" s="50"/>
      <c r="C99" s="39"/>
      <c r="D99" s="39"/>
      <c r="E99" s="139"/>
      <c r="F99" s="139"/>
      <c r="G99" s="43"/>
      <c r="H99" s="43"/>
      <c r="I99" s="43"/>
      <c r="J99" s="43"/>
      <c r="K99" s="43"/>
      <c r="L99" s="43"/>
      <c r="M99" s="43"/>
      <c r="N99" s="43"/>
      <c r="O99" s="43"/>
      <c r="P99" s="43"/>
      <c r="Q99" s="43"/>
      <c r="R99" s="43"/>
      <c r="S99" s="43"/>
      <c r="T99" s="43"/>
    </row>
    <row r="100" spans="1:20" ht="12.6" customHeight="1">
      <c r="A100" s="101" t="s">
        <v>1107</v>
      </c>
      <c r="B100" s="101"/>
      <c r="C100" s="39"/>
      <c r="D100" s="39"/>
      <c r="E100" s="45" t="s">
        <v>1108</v>
      </c>
      <c r="F100" s="45"/>
      <c r="G100" s="43"/>
      <c r="H100" s="43"/>
      <c r="I100" s="43"/>
      <c r="J100" s="43"/>
      <c r="K100" s="43"/>
      <c r="L100" s="43"/>
      <c r="M100" s="43"/>
      <c r="N100" s="43"/>
      <c r="O100" s="43"/>
      <c r="P100" s="43"/>
      <c r="Q100" s="43"/>
      <c r="R100" s="43"/>
      <c r="S100" s="43"/>
      <c r="T100" s="43"/>
    </row>
    <row r="101" spans="1:20" ht="12.6" customHeight="1">
      <c r="A101" s="39"/>
      <c r="B101" s="39"/>
      <c r="C101" s="39"/>
      <c r="D101" s="39"/>
      <c r="E101" s="39"/>
      <c r="F101" s="39"/>
      <c r="G101" s="43"/>
      <c r="H101" s="43"/>
      <c r="I101" s="43"/>
      <c r="J101" s="43"/>
      <c r="K101" s="43"/>
      <c r="L101" s="43"/>
      <c r="M101" s="43"/>
      <c r="N101" s="43"/>
      <c r="O101" s="43"/>
      <c r="P101" s="43"/>
      <c r="Q101" s="43"/>
      <c r="R101" s="43"/>
      <c r="S101" s="43"/>
      <c r="T101" s="43"/>
    </row>
    <row r="102" spans="1:20" ht="12" customHeight="1">
      <c r="A102" s="140" t="s">
        <v>1109</v>
      </c>
      <c r="B102" s="140"/>
      <c r="C102" s="45"/>
      <c r="D102" s="45"/>
      <c r="E102" s="45"/>
      <c r="F102" s="45"/>
      <c r="G102" s="43"/>
      <c r="H102" s="43"/>
      <c r="I102" s="43"/>
      <c r="J102" s="43"/>
      <c r="K102" s="43"/>
      <c r="L102" s="43"/>
      <c r="M102" s="43"/>
      <c r="N102" s="43"/>
      <c r="O102" s="43"/>
      <c r="P102" s="43"/>
      <c r="Q102" s="43"/>
      <c r="R102" s="43"/>
      <c r="S102" s="43"/>
      <c r="T102" s="43"/>
    </row>
    <row r="103" spans="1:20" ht="12.6" customHeight="1">
      <c r="A103" s="39"/>
      <c r="B103" s="39"/>
      <c r="C103" s="39"/>
      <c r="D103" s="39"/>
      <c r="E103" s="39"/>
      <c r="F103" s="39"/>
      <c r="G103" s="43"/>
      <c r="H103" s="43"/>
      <c r="I103" s="43"/>
      <c r="J103" s="43"/>
      <c r="K103" s="43"/>
      <c r="L103" s="43"/>
      <c r="M103" s="43"/>
      <c r="N103" s="43"/>
      <c r="O103" s="43"/>
      <c r="P103" s="43"/>
      <c r="Q103" s="43"/>
      <c r="R103" s="43"/>
      <c r="S103" s="43"/>
      <c r="T103" s="43"/>
    </row>
    <row r="104" spans="1:20" ht="12.75" customHeight="1">
      <c r="A104" s="5271" t="s">
        <v>1110</v>
      </c>
      <c r="B104" s="5271"/>
      <c r="C104" s="5271"/>
      <c r="D104" s="5271"/>
      <c r="E104" s="5271"/>
      <c r="F104" s="5271"/>
      <c r="G104" s="43"/>
      <c r="H104" s="43"/>
      <c r="I104" s="43"/>
      <c r="J104" s="43"/>
      <c r="K104" s="43"/>
      <c r="L104" s="43"/>
      <c r="M104" s="43"/>
      <c r="N104" s="43"/>
      <c r="O104" s="43"/>
      <c r="P104" s="43"/>
      <c r="Q104" s="43"/>
      <c r="R104" s="43"/>
      <c r="S104" s="43"/>
      <c r="T104" s="43"/>
    </row>
    <row r="105" spans="1:20" ht="12.6" customHeight="1">
      <c r="A105" s="124"/>
      <c r="B105" s="141" t="s">
        <v>1111</v>
      </c>
      <c r="C105" s="142" t="s">
        <v>1111</v>
      </c>
      <c r="D105" s="143"/>
      <c r="E105" s="144"/>
      <c r="F105" s="145"/>
      <c r="G105" s="43"/>
      <c r="H105" s="43"/>
      <c r="I105" s="43"/>
      <c r="J105" s="43"/>
      <c r="K105" s="43"/>
      <c r="L105" s="43"/>
      <c r="M105" s="43"/>
      <c r="N105" s="43"/>
      <c r="O105" s="43"/>
      <c r="P105" s="43"/>
      <c r="Q105" s="43"/>
      <c r="R105" s="43"/>
      <c r="S105" s="43"/>
      <c r="T105" s="43"/>
    </row>
    <row r="106" spans="1:20" ht="12.6" customHeight="1">
      <c r="A106" s="146" t="s">
        <v>1112</v>
      </c>
      <c r="B106" s="147" t="s">
        <v>1113</v>
      </c>
      <c r="C106" s="106" t="s">
        <v>1113</v>
      </c>
      <c r="D106" s="107"/>
      <c r="E106" s="148" t="s">
        <v>1114</v>
      </c>
      <c r="F106" s="149"/>
      <c r="G106" s="43"/>
      <c r="H106" s="43"/>
      <c r="I106" s="43"/>
      <c r="J106" s="43"/>
      <c r="K106" s="43"/>
      <c r="L106" s="43"/>
      <c r="M106" s="43"/>
      <c r="N106" s="43"/>
      <c r="O106" s="43"/>
      <c r="P106" s="43"/>
      <c r="Q106" s="43"/>
      <c r="R106" s="43"/>
      <c r="S106" s="43"/>
      <c r="T106" s="43"/>
    </row>
    <row r="107" spans="1:20" ht="12.6" customHeight="1">
      <c r="A107" s="126" t="s">
        <v>1115</v>
      </c>
      <c r="B107" s="150" t="s">
        <v>1116</v>
      </c>
      <c r="C107" s="148" t="s">
        <v>1117</v>
      </c>
      <c r="D107" s="149"/>
      <c r="E107" s="151" t="s">
        <v>1118</v>
      </c>
      <c r="F107" s="151" t="s">
        <v>1119</v>
      </c>
      <c r="G107" s="43"/>
      <c r="H107" s="43"/>
      <c r="I107" s="43"/>
      <c r="J107" s="43"/>
      <c r="K107" s="43"/>
      <c r="L107" s="43"/>
      <c r="M107" s="43"/>
      <c r="N107" s="43"/>
      <c r="O107" s="43"/>
      <c r="P107" s="43"/>
      <c r="Q107" s="43"/>
      <c r="R107" s="43"/>
      <c r="S107" s="43"/>
      <c r="T107" s="43"/>
    </row>
    <row r="108" spans="1:20" ht="12.6" customHeight="1">
      <c r="A108" s="152"/>
      <c r="B108" s="153"/>
      <c r="C108" s="154" t="s">
        <v>1120</v>
      </c>
      <c r="D108" s="155"/>
      <c r="E108" s="156"/>
      <c r="F108" s="156"/>
      <c r="G108" s="43"/>
      <c r="H108" s="43"/>
      <c r="I108" s="43"/>
      <c r="J108" s="43"/>
      <c r="K108" s="43"/>
      <c r="L108" s="43"/>
      <c r="M108" s="43"/>
      <c r="N108" s="43"/>
      <c r="O108" s="43"/>
      <c r="P108" s="43"/>
      <c r="Q108" s="43"/>
      <c r="R108" s="43"/>
      <c r="S108" s="43"/>
      <c r="T108" s="43"/>
    </row>
    <row r="109" spans="1:20" ht="12.6" customHeight="1">
      <c r="A109" s="152"/>
      <c r="B109" s="153"/>
      <c r="C109" s="157"/>
      <c r="D109" s="155"/>
      <c r="E109" s="156"/>
      <c r="F109" s="156"/>
      <c r="G109" s="43"/>
      <c r="H109" s="43"/>
      <c r="I109" s="43"/>
      <c r="J109" s="43"/>
      <c r="K109" s="43"/>
      <c r="L109" s="43"/>
      <c r="M109" s="43"/>
      <c r="N109" s="43"/>
      <c r="O109" s="43"/>
      <c r="P109" s="43"/>
      <c r="Q109" s="43"/>
      <c r="R109" s="43"/>
      <c r="S109" s="43"/>
      <c r="T109" s="43"/>
    </row>
    <row r="110" spans="1:20" ht="12.6" customHeight="1">
      <c r="A110" s="152"/>
      <c r="B110" s="153"/>
      <c r="C110" s="157"/>
      <c r="D110" s="155"/>
      <c r="E110" s="156"/>
      <c r="F110" s="156"/>
      <c r="G110" s="43"/>
      <c r="H110" s="43"/>
      <c r="I110" s="43"/>
      <c r="J110" s="43"/>
      <c r="K110" s="43"/>
      <c r="L110" s="43"/>
      <c r="M110" s="43"/>
      <c r="N110" s="43"/>
      <c r="O110" s="43"/>
      <c r="P110" s="43"/>
      <c r="Q110" s="43"/>
      <c r="R110" s="43"/>
      <c r="S110" s="43"/>
      <c r="T110" s="43"/>
    </row>
    <row r="111" spans="1:20" ht="12.6" customHeight="1">
      <c r="A111" s="152"/>
      <c r="B111" s="153"/>
      <c r="C111" s="157"/>
      <c r="D111" s="155"/>
      <c r="E111" s="156"/>
      <c r="F111" s="156"/>
      <c r="G111" s="43"/>
      <c r="H111" s="43"/>
      <c r="I111" s="43"/>
      <c r="J111" s="43"/>
      <c r="K111" s="43"/>
      <c r="L111" s="43"/>
      <c r="M111" s="43"/>
      <c r="N111" s="43"/>
      <c r="O111" s="43"/>
      <c r="P111" s="43"/>
      <c r="Q111" s="43"/>
      <c r="R111" s="43"/>
      <c r="S111" s="43"/>
      <c r="T111" s="43"/>
    </row>
    <row r="112" spans="1:20" ht="12.6" customHeight="1">
      <c r="A112" s="152"/>
      <c r="B112" s="153"/>
      <c r="C112" s="157"/>
      <c r="D112" s="155"/>
      <c r="E112" s="156"/>
      <c r="F112" s="156"/>
      <c r="G112" s="43"/>
      <c r="H112" s="43"/>
      <c r="I112" s="43"/>
      <c r="J112" s="43"/>
      <c r="K112" s="43"/>
      <c r="L112" s="43"/>
      <c r="M112" s="43"/>
      <c r="N112" s="43"/>
      <c r="O112" s="43"/>
      <c r="P112" s="43"/>
      <c r="Q112" s="43"/>
      <c r="R112" s="43"/>
      <c r="S112" s="43"/>
      <c r="T112" s="43"/>
    </row>
    <row r="113" spans="1:20" ht="12.6" customHeight="1">
      <c r="A113" s="158" t="s">
        <v>1121</v>
      </c>
      <c r="B113" s="159">
        <f>SUM(B108:B112)</f>
        <v>0</v>
      </c>
      <c r="C113" s="160"/>
      <c r="D113" s="161">
        <f>SUM(D108:D112)</f>
        <v>0</v>
      </c>
      <c r="E113" s="161">
        <f>SUM(E108:E112)</f>
        <v>0</v>
      </c>
      <c r="F113" s="161">
        <f>SUM(F108:F112)</f>
        <v>0</v>
      </c>
      <c r="G113" s="43"/>
      <c r="H113" s="43"/>
      <c r="I113" s="43"/>
      <c r="J113" s="43"/>
      <c r="K113" s="43"/>
      <c r="L113" s="43"/>
      <c r="M113" s="43"/>
      <c r="N113" s="43"/>
      <c r="O113" s="43"/>
      <c r="P113" s="43"/>
      <c r="Q113" s="43"/>
      <c r="R113" s="43"/>
      <c r="S113" s="43"/>
      <c r="T113" s="43"/>
    </row>
    <row r="114" spans="1:20" ht="15" customHeight="1">
      <c r="A114" s="39" t="s">
        <v>1122</v>
      </c>
      <c r="B114" s="39"/>
      <c r="C114" s="39"/>
      <c r="D114" s="39"/>
      <c r="E114" s="39"/>
      <c r="F114" s="39"/>
      <c r="G114" s="39"/>
      <c r="H114" s="43"/>
      <c r="I114" s="43"/>
      <c r="J114" s="43"/>
      <c r="K114" s="43"/>
      <c r="L114" s="43"/>
      <c r="M114" s="43"/>
      <c r="N114" s="43"/>
      <c r="O114" s="43"/>
      <c r="P114" s="43"/>
      <c r="Q114" s="43"/>
      <c r="R114" s="43"/>
      <c r="S114" s="43"/>
      <c r="T114" s="43"/>
    </row>
    <row r="115" spans="1:20" ht="15" customHeight="1">
      <c r="A115" s="98" t="s">
        <v>1887</v>
      </c>
      <c r="B115" s="98"/>
      <c r="C115" s="98"/>
      <c r="D115" s="98"/>
      <c r="E115" s="98"/>
      <c r="F115" s="98"/>
      <c r="G115" s="39"/>
      <c r="H115" s="39"/>
      <c r="I115" s="43"/>
      <c r="J115" s="43"/>
      <c r="K115" s="43"/>
      <c r="L115" s="43"/>
      <c r="M115" s="43"/>
      <c r="N115" s="43"/>
      <c r="O115" s="43"/>
      <c r="P115" s="43"/>
      <c r="Q115" s="43"/>
      <c r="R115" s="43"/>
      <c r="S115" s="43"/>
      <c r="T115" s="43"/>
    </row>
    <row r="116" spans="1:20" ht="12.6" customHeight="1">
      <c r="A116" s="98"/>
      <c r="B116" s="140"/>
      <c r="C116" s="140"/>
      <c r="D116" s="162"/>
      <c r="E116" s="140"/>
      <c r="F116" s="140"/>
      <c r="G116" s="43"/>
      <c r="H116" s="39"/>
      <c r="I116" s="43"/>
      <c r="J116" s="43"/>
      <c r="K116" s="43"/>
      <c r="L116" s="43"/>
      <c r="M116" s="43"/>
      <c r="N116" s="43"/>
      <c r="O116" s="43"/>
      <c r="P116" s="43"/>
      <c r="Q116" s="43"/>
      <c r="R116" s="43"/>
      <c r="S116" s="43"/>
      <c r="T116" s="43"/>
    </row>
    <row r="117" spans="1:20" ht="14.1" customHeight="1">
      <c r="A117" s="5272" t="s">
        <v>1123</v>
      </c>
      <c r="B117" s="5272"/>
      <c r="C117" s="5272"/>
      <c r="D117" s="5272"/>
      <c r="E117" s="5272"/>
      <c r="F117" s="5272"/>
      <c r="G117" s="39"/>
      <c r="H117" s="163"/>
      <c r="I117" s="43"/>
      <c r="J117" s="43"/>
      <c r="K117" s="43"/>
      <c r="L117" s="43"/>
      <c r="M117" s="43"/>
      <c r="N117" s="43"/>
      <c r="O117" s="43"/>
      <c r="P117" s="43"/>
      <c r="Q117" s="43"/>
      <c r="R117" s="43"/>
      <c r="S117" s="43"/>
      <c r="T117" s="43"/>
    </row>
    <row r="118" spans="1:20" ht="12" customHeight="1">
      <c r="A118" s="39"/>
      <c r="B118" s="86"/>
      <c r="C118" s="39"/>
      <c r="D118" s="86"/>
      <c r="E118" s="38"/>
      <c r="F118" s="86"/>
      <c r="G118" s="39"/>
      <c r="H118" s="86"/>
      <c r="I118" s="86"/>
      <c r="J118" s="43"/>
      <c r="K118" s="43"/>
      <c r="L118" s="43"/>
      <c r="M118" s="43"/>
      <c r="N118" s="43"/>
      <c r="O118" s="43"/>
      <c r="P118" s="43"/>
      <c r="Q118" s="43"/>
      <c r="R118" s="43"/>
      <c r="S118" s="43"/>
      <c r="T118" s="43"/>
    </row>
    <row r="119" spans="1:20" ht="12" customHeight="1">
      <c r="A119" s="39" t="str">
        <f>OPEN!O5 &amp; " Delinquent Tax Percentage"</f>
        <v>2014 Delinquent Tax Percentage</v>
      </c>
      <c r="B119" s="164">
        <f>'F110'!$E$96</f>
        <v>0.48399999999999999</v>
      </c>
      <c r="C119" s="45"/>
      <c r="D119" s="165"/>
      <c r="E119" s="38" t="s">
        <v>158</v>
      </c>
      <c r="F119" s="164">
        <f>OPEN!$A$120</f>
        <v>7</v>
      </c>
      <c r="G119" s="41" t="s">
        <v>1124</v>
      </c>
      <c r="H119" s="86"/>
      <c r="I119" s="86"/>
      <c r="J119" s="43"/>
      <c r="K119" s="43"/>
      <c r="L119" s="43"/>
      <c r="M119" s="43"/>
      <c r="N119" s="43"/>
      <c r="O119" s="43"/>
      <c r="P119" s="43"/>
      <c r="Q119" s="43"/>
      <c r="R119" s="43"/>
      <c r="S119" s="43"/>
      <c r="T119" s="43"/>
    </row>
    <row r="120" spans="1:20" ht="12.6" customHeight="1">
      <c r="B120" s="98"/>
      <c r="E120" s="101" t="str">
        <f>"for " &amp;OPEN!N2</f>
        <v>for 2016-2017</v>
      </c>
      <c r="F120" s="166"/>
      <c r="H120" s="39"/>
      <c r="I120" s="43"/>
      <c r="J120" s="43"/>
      <c r="K120" s="43"/>
      <c r="L120" s="43"/>
      <c r="M120" s="43"/>
      <c r="N120" s="43"/>
      <c r="O120" s="43"/>
      <c r="P120" s="43"/>
      <c r="Q120" s="43"/>
      <c r="R120" s="43"/>
      <c r="S120" s="43"/>
      <c r="T120" s="43"/>
    </row>
    <row r="121" spans="1:20" ht="12.6" customHeight="1">
      <c r="F121" s="166" t="str">
        <f>IF(F118&gt;B118+5,"Verify rate is correct."," ")</f>
        <v xml:space="preserve"> </v>
      </c>
    </row>
    <row r="122" spans="1:20" ht="12.6" customHeight="1">
      <c r="A122" s="167"/>
      <c r="B122" s="167"/>
      <c r="C122" s="167"/>
      <c r="D122" s="168"/>
      <c r="E122" s="168"/>
      <c r="F122" s="168"/>
    </row>
  </sheetData>
  <sheetProtection algorithmName="SHA-512" hashValue="M9RpO2DPTU2lKq922zW8dtbATMJmDoOVAD4AqhPTc5lyE4v8sE9a/Pnht0WqLGLTpl2NEAQwRqJLLPcYtQMefQ==" saltValue="ajvTz2dUA5a3ZE/ROzRMQA==" spinCount="100000" sheet="1" objects="1" scenarios="1"/>
  <mergeCells count="2">
    <mergeCell ref="A104:F104"/>
    <mergeCell ref="A117:F117"/>
  </mergeCells>
  <phoneticPr fontId="10" type="noConversion"/>
  <hyperlinks>
    <hyperlink ref="H1" location="Contents!F1" display="Return to Contents page"/>
  </hyperlinks>
  <printOptions horizontalCentered="1" verticalCentered="1"/>
  <pageMargins left="0.25" right="0.25" top="0.5" bottom="0.5" header="0.5" footer="0.5"/>
  <pageSetup scale="90" fitToHeight="0" orientation="portrait" blackAndWhite="1" r:id="rId1"/>
  <headerFooter alignWithMargins="0">
    <oddFooter>&amp;L&amp;D &amp;T&amp;CCode No. 01&amp;RPage &amp;P</oddFooter>
  </headerFooter>
  <rowBreaks count="1" manualBreakCount="1">
    <brk id="62" max="16383"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tint="0.39997558519241921"/>
    <pageSetUpPr fitToPage="1"/>
  </sheetPr>
  <dimension ref="A1:K56"/>
  <sheetViews>
    <sheetView workbookViewId="0">
      <selection activeCell="F24" sqref="F24"/>
    </sheetView>
  </sheetViews>
  <sheetFormatPr defaultColWidth="10.7109375" defaultRowHeight="12" customHeight="1"/>
  <cols>
    <col min="1" max="1" width="17.28515625" style="176" customWidth="1"/>
    <col min="2" max="2" width="13.7109375" style="3256" customWidth="1"/>
    <col min="3" max="3" width="10" style="3257" customWidth="1"/>
    <col min="4" max="4" width="12.140625" style="176" customWidth="1"/>
    <col min="5" max="5" width="11.140625" style="176" customWidth="1"/>
    <col min="6" max="6" width="11.42578125" style="176" customWidth="1"/>
    <col min="7" max="7" width="14" style="176" customWidth="1"/>
    <col min="8" max="8" width="5.5703125" style="176" customWidth="1"/>
    <col min="9" max="9" width="20.85546875" style="176" customWidth="1"/>
    <col min="10" max="10" width="3" style="176" customWidth="1"/>
    <col min="11" max="11" width="16.42578125" style="176" customWidth="1"/>
    <col min="12" max="16384" width="10.7109375" style="176"/>
  </cols>
  <sheetData>
    <row r="1" spans="1:10" ht="12" customHeight="1">
      <c r="A1" s="169"/>
      <c r="B1" s="170"/>
      <c r="C1" s="171" t="s">
        <v>1019</v>
      </c>
      <c r="D1" s="169">
        <f>OPEN!$B$4</f>
        <v>270</v>
      </c>
      <c r="E1" s="169"/>
      <c r="F1" s="169"/>
      <c r="G1" s="172" t="s">
        <v>1020</v>
      </c>
      <c r="H1" s="169"/>
      <c r="I1" s="3012" t="s">
        <v>866</v>
      </c>
      <c r="J1" s="3011"/>
    </row>
    <row r="2" spans="1:10" ht="12" customHeight="1">
      <c r="A2" s="169"/>
      <c r="B2" s="170"/>
      <c r="C2" s="171"/>
      <c r="D2" s="169"/>
      <c r="E2" s="169"/>
      <c r="F2" s="169"/>
      <c r="G2" s="172" t="s">
        <v>1021</v>
      </c>
      <c r="H2" s="169"/>
      <c r="I2" s="169"/>
    </row>
    <row r="3" spans="1:10" ht="12" customHeight="1">
      <c r="A3" s="169"/>
      <c r="B3" s="170"/>
      <c r="C3" s="171"/>
      <c r="D3" s="169"/>
      <c r="E3" s="169"/>
      <c r="F3" s="169"/>
      <c r="G3" s="172" t="str">
        <f>OPEN!N2</f>
        <v>2016-2017</v>
      </c>
      <c r="H3" s="169"/>
      <c r="I3" s="169"/>
    </row>
    <row r="4" spans="1:10" ht="12" customHeight="1">
      <c r="A4" s="173" t="s">
        <v>1125</v>
      </c>
      <c r="B4" s="174"/>
      <c r="C4" s="175"/>
      <c r="D4" s="173"/>
      <c r="E4" s="173"/>
      <c r="F4" s="173"/>
      <c r="G4" s="173"/>
      <c r="H4" s="173"/>
      <c r="I4" s="169"/>
    </row>
    <row r="5" spans="1:10" ht="5.0999999999999996" customHeight="1">
      <c r="A5" s="169"/>
      <c r="B5" s="170"/>
      <c r="C5" s="171"/>
      <c r="D5" s="169"/>
      <c r="E5" s="169"/>
      <c r="F5" s="169"/>
      <c r="G5" s="169"/>
      <c r="H5" s="169"/>
      <c r="I5" s="169"/>
    </row>
    <row r="6" spans="1:10" ht="12.75" customHeight="1">
      <c r="A6" s="169"/>
      <c r="B6" s="170"/>
      <c r="C6" s="171"/>
      <c r="D6" s="169"/>
      <c r="E6" s="169"/>
      <c r="F6" s="169"/>
      <c r="G6" s="169"/>
      <c r="H6" s="169"/>
      <c r="I6" s="169"/>
    </row>
    <row r="7" spans="1:10" ht="14.1" customHeight="1">
      <c r="A7" s="169" t="s">
        <v>1370</v>
      </c>
      <c r="B7" s="170"/>
      <c r="C7" s="171"/>
      <c r="D7" s="169"/>
      <c r="E7" s="169"/>
      <c r="F7" s="169"/>
      <c r="G7" s="169"/>
      <c r="H7" s="169"/>
      <c r="I7" s="169"/>
    </row>
    <row r="8" spans="1:10" ht="12.75" customHeight="1">
      <c r="A8" s="172" t="s">
        <v>1126</v>
      </c>
      <c r="B8" s="177" t="str">
        <f>IF(OPEN!$A$102=0," ",OPEN!$A$102)</f>
        <v xml:space="preserve"> </v>
      </c>
      <c r="C8" s="171" t="s">
        <v>1085</v>
      </c>
      <c r="D8" s="178">
        <f>OPEN!$A$103</f>
        <v>0</v>
      </c>
      <c r="E8" s="179" t="s">
        <v>1127</v>
      </c>
      <c r="F8" s="180">
        <f>OPEN!$A$104</f>
        <v>0</v>
      </c>
      <c r="G8" s="169" t="s">
        <v>1781</v>
      </c>
      <c r="H8" s="169"/>
      <c r="I8" s="169"/>
    </row>
    <row r="9" spans="1:10" ht="12.75" customHeight="1">
      <c r="A9" s="179"/>
      <c r="B9" s="181"/>
      <c r="C9" s="171"/>
      <c r="D9" s="182"/>
      <c r="E9" s="169"/>
      <c r="F9" s="183"/>
      <c r="G9" s="169"/>
      <c r="H9" s="169"/>
      <c r="I9" s="169"/>
    </row>
    <row r="10" spans="1:10" ht="12.75" customHeight="1">
      <c r="A10" s="179"/>
      <c r="B10" s="181"/>
      <c r="C10" s="171"/>
      <c r="D10" s="182"/>
      <c r="E10" s="169"/>
      <c r="F10" s="183"/>
      <c r="G10" s="169"/>
      <c r="H10" s="169"/>
      <c r="I10" s="169"/>
    </row>
    <row r="11" spans="1:10" ht="12.75" customHeight="1">
      <c r="A11" s="169" t="s">
        <v>1371</v>
      </c>
      <c r="B11" s="181"/>
      <c r="C11" s="171"/>
      <c r="D11" s="182"/>
      <c r="E11" s="169"/>
      <c r="F11" s="183"/>
      <c r="G11" s="169"/>
      <c r="H11" s="169"/>
      <c r="I11" s="169"/>
    </row>
    <row r="12" spans="1:10" ht="12.75" customHeight="1">
      <c r="A12" s="172" t="s">
        <v>1126</v>
      </c>
      <c r="B12" s="177">
        <f>IF(OPEN!$A$106=0," ",OPEN!$A$106)</f>
        <v>41771</v>
      </c>
      <c r="C12" s="171" t="s">
        <v>1085</v>
      </c>
      <c r="D12" s="178">
        <f>OPEN!$A$107</f>
        <v>8</v>
      </c>
      <c r="E12" s="179" t="s">
        <v>1127</v>
      </c>
      <c r="F12" s="180">
        <f>OPEN!$A$109</f>
        <v>9999</v>
      </c>
      <c r="G12" s="169" t="s">
        <v>1329</v>
      </c>
      <c r="H12" s="169"/>
      <c r="I12" s="169"/>
    </row>
    <row r="13" spans="1:10" ht="12.75" customHeight="1">
      <c r="A13" s="184" t="s">
        <v>1330</v>
      </c>
      <c r="B13" s="181"/>
      <c r="C13" s="171"/>
      <c r="D13" s="182"/>
      <c r="E13" s="169"/>
      <c r="F13" s="183"/>
      <c r="G13" s="169"/>
      <c r="H13" s="169"/>
      <c r="I13" s="169"/>
    </row>
    <row r="14" spans="1:10" ht="14.1" customHeight="1">
      <c r="A14" s="179"/>
      <c r="B14" s="181"/>
      <c r="C14" s="171"/>
      <c r="D14" s="182"/>
      <c r="E14" s="169"/>
      <c r="F14" s="183"/>
      <c r="G14" s="169"/>
      <c r="H14" s="169"/>
      <c r="I14" s="169"/>
    </row>
    <row r="15" spans="1:10" ht="12.75" customHeight="1">
      <c r="A15" s="184" t="s">
        <v>1331</v>
      </c>
      <c r="B15" s="181"/>
      <c r="C15" s="171"/>
      <c r="D15" s="182"/>
      <c r="E15" s="169"/>
      <c r="F15" s="183"/>
      <c r="G15" s="169"/>
      <c r="H15" s="169"/>
      <c r="I15" s="169"/>
    </row>
    <row r="16" spans="1:10" ht="12" customHeight="1">
      <c r="A16" s="172" t="s">
        <v>1126</v>
      </c>
      <c r="B16" s="177" t="str">
        <f>IF(OPEN!$A$111=0," ",OPEN!$A$111)</f>
        <v xml:space="preserve"> </v>
      </c>
      <c r="C16" s="171" t="s">
        <v>1085</v>
      </c>
      <c r="D16" s="178">
        <f>OPEN!$A$112</f>
        <v>0</v>
      </c>
      <c r="E16" s="185" t="s">
        <v>1127</v>
      </c>
      <c r="F16" s="180">
        <f>OPEN!$A$113</f>
        <v>0</v>
      </c>
      <c r="G16" s="169" t="s">
        <v>1128</v>
      </c>
      <c r="H16" s="169"/>
      <c r="I16" s="169"/>
    </row>
    <row r="17" spans="1:11" ht="12" customHeight="1">
      <c r="A17" s="179" t="s">
        <v>1129</v>
      </c>
      <c r="B17" s="170"/>
      <c r="C17" s="171"/>
      <c r="D17" s="186"/>
      <c r="E17" s="169"/>
      <c r="F17" s="169"/>
      <c r="G17" s="169"/>
      <c r="H17" s="169"/>
      <c r="I17" s="169"/>
    </row>
    <row r="18" spans="1:11" ht="15" customHeight="1">
      <c r="A18" s="169"/>
      <c r="B18" s="170"/>
      <c r="C18" s="171"/>
      <c r="D18" s="186"/>
      <c r="E18" s="169"/>
      <c r="F18" s="169"/>
      <c r="G18" s="169"/>
      <c r="H18" s="169"/>
      <c r="I18" s="169"/>
    </row>
    <row r="19" spans="1:11" ht="15.75" customHeight="1">
      <c r="A19" s="169" t="s">
        <v>1332</v>
      </c>
      <c r="B19" s="170"/>
      <c r="C19" s="171"/>
      <c r="D19" s="3255"/>
      <c r="E19" s="187"/>
      <c r="F19" s="3380" t="s">
        <v>1085</v>
      </c>
      <c r="G19" s="3381"/>
      <c r="H19" s="3380" t="s">
        <v>1132</v>
      </c>
      <c r="I19" s="169"/>
    </row>
    <row r="20" spans="1:11" ht="16.5" customHeight="1">
      <c r="A20" s="169"/>
      <c r="B20" s="170"/>
      <c r="C20" s="171"/>
      <c r="D20" s="186"/>
      <c r="E20" s="169"/>
      <c r="F20" s="169"/>
      <c r="G20" s="189"/>
      <c r="H20" s="169"/>
      <c r="I20" s="169"/>
      <c r="K20" s="4157"/>
    </row>
    <row r="21" spans="1:11" ht="20.100000000000001" customHeight="1">
      <c r="A21" s="169" t="s">
        <v>1333</v>
      </c>
      <c r="B21" s="181"/>
      <c r="C21" s="190"/>
      <c r="D21" s="191" t="s">
        <v>1085</v>
      </c>
      <c r="E21" s="192"/>
      <c r="F21" s="169" t="s">
        <v>1131</v>
      </c>
      <c r="G21" s="188"/>
      <c r="H21" s="169"/>
      <c r="I21" s="169"/>
      <c r="K21" s="4158"/>
    </row>
    <row r="22" spans="1:11" ht="15.75" customHeight="1">
      <c r="A22" s="169"/>
      <c r="B22" s="193"/>
      <c r="C22" s="171"/>
      <c r="D22" s="186"/>
      <c r="E22" s="169"/>
      <c r="F22" s="169"/>
      <c r="G22" s="169"/>
      <c r="H22" s="169"/>
      <c r="I22" s="169"/>
    </row>
    <row r="23" spans="1:11" ht="18.75" customHeight="1">
      <c r="A23" s="169" t="s">
        <v>1334</v>
      </c>
      <c r="B23" s="181"/>
      <c r="C23" s="171"/>
      <c r="D23" s="190">
        <v>36598</v>
      </c>
      <c r="E23" s="171" t="s">
        <v>1085</v>
      </c>
      <c r="F23" s="3381">
        <v>2.96</v>
      </c>
      <c r="G23" s="169" t="s">
        <v>1132</v>
      </c>
      <c r="H23" s="188"/>
      <c r="I23" s="169"/>
    </row>
    <row r="24" spans="1:11" ht="15.75" customHeight="1">
      <c r="A24" s="169" t="s">
        <v>1133</v>
      </c>
      <c r="B24" s="181"/>
      <c r="C24" s="171"/>
      <c r="D24" s="181"/>
      <c r="E24" s="171"/>
      <c r="F24" s="182"/>
      <c r="G24" s="169"/>
      <c r="H24" s="188"/>
      <c r="I24" s="169"/>
    </row>
    <row r="25" spans="1:11" ht="14.1" customHeight="1">
      <c r="A25" s="194" t="s">
        <v>1134</v>
      </c>
      <c r="B25" s="170"/>
      <c r="C25" s="171"/>
      <c r="D25" s="169"/>
      <c r="E25" s="169"/>
      <c r="F25" s="169"/>
      <c r="G25" s="169"/>
      <c r="H25" s="169"/>
      <c r="I25" s="169"/>
    </row>
    <row r="26" spans="1:11" s="169" customFormat="1" ht="12" customHeight="1"/>
    <row r="27" spans="1:11" s="169" customFormat="1" ht="12" customHeight="1">
      <c r="A27" s="169" t="s">
        <v>67</v>
      </c>
    </row>
    <row r="28" spans="1:11" s="169" customFormat="1" ht="12" customHeight="1"/>
    <row r="29" spans="1:11" s="169" customFormat="1" ht="12" customHeight="1"/>
    <row r="30" spans="1:11" s="169" customFormat="1" ht="12" customHeight="1"/>
    <row r="31" spans="1:11" s="169" customFormat="1" ht="12" customHeight="1"/>
    <row r="32" spans="1:11" s="169" customFormat="1" ht="12" customHeight="1"/>
    <row r="33" s="169" customFormat="1" ht="12" customHeight="1"/>
    <row r="34" s="169" customFormat="1" ht="12" customHeight="1"/>
    <row r="35" s="169" customFormat="1" ht="12" customHeight="1"/>
    <row r="36" s="169" customFormat="1" ht="12" customHeight="1"/>
    <row r="37" s="169" customFormat="1" ht="12" customHeight="1"/>
    <row r="38" s="169" customFormat="1" ht="12" customHeight="1"/>
    <row r="39" s="169" customFormat="1" ht="12" customHeight="1"/>
    <row r="40" s="169" customFormat="1" ht="12" customHeight="1"/>
    <row r="41" s="169" customFormat="1" ht="12" customHeight="1"/>
    <row r="42" s="169" customFormat="1" ht="12" customHeight="1"/>
    <row r="43" s="169" customFormat="1" ht="15" customHeight="1"/>
    <row r="44" s="169" customFormat="1" ht="14.1" customHeight="1"/>
    <row r="45" s="169" customFormat="1" ht="14.1" customHeight="1"/>
    <row r="46" s="169" customFormat="1" ht="14.1" customHeight="1"/>
    <row r="47" s="169" customFormat="1" ht="14.1" customHeight="1"/>
    <row r="48" s="169" customFormat="1" ht="14.1" customHeight="1"/>
    <row r="49" spans="1:9" s="169" customFormat="1" ht="15" customHeight="1"/>
    <row r="50" spans="1:9" s="169" customFormat="1" ht="15" customHeight="1"/>
    <row r="51" spans="1:9" s="169" customFormat="1" ht="14.1" customHeight="1"/>
    <row r="52" spans="1:9" s="169" customFormat="1" ht="14.1" customHeight="1"/>
    <row r="53" spans="1:9" s="169" customFormat="1" ht="6" customHeight="1"/>
    <row r="54" spans="1:9" s="169" customFormat="1" ht="5.0999999999999996" customHeight="1"/>
    <row r="55" spans="1:9" ht="12" customHeight="1">
      <c r="A55" s="195"/>
      <c r="B55" s="196"/>
      <c r="C55" s="197"/>
      <c r="D55" s="195"/>
      <c r="E55" s="195"/>
      <c r="F55" s="195"/>
      <c r="G55" s="195"/>
      <c r="H55" s="198"/>
      <c r="I55" s="169"/>
    </row>
    <row r="56" spans="1:9" ht="12" hidden="1" customHeight="1"/>
  </sheetData>
  <sheetProtection algorithmName="SHA-512" hashValue="NLk28raUVtkPzTiq2eIDEWRn31A4bSCE3d62NsF1tM70IqiYDnIZka7fU8Fws1BeVT34IYhdqFlNjqfPExeFVA==" saltValue="HBoRUHhMTnKHKX7qHc/Veg==" spinCount="100000" sheet="1" objects="1" scenarios="1"/>
  <phoneticPr fontId="10" type="noConversion"/>
  <hyperlinks>
    <hyperlink ref="I1" location="Contents!F1" display="Return to Contents page"/>
  </hyperlinks>
  <printOptions horizontalCentered="1"/>
  <pageMargins left="0.25" right="0.25" top="0.5" bottom="0.3" header="0.5" footer="0.5"/>
  <pageSetup orientation="portrait" blackAndWhite="1" r:id="rId1"/>
  <headerFooter alignWithMargins="0">
    <oddFooter>&amp;L&amp;D     &amp;T&amp;CCode No. 02</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4" tint="0.39997558519241921"/>
  </sheetPr>
  <dimension ref="A1:M68"/>
  <sheetViews>
    <sheetView zoomScaleNormal="100" workbookViewId="0">
      <selection activeCell="C2" sqref="C2"/>
    </sheetView>
  </sheetViews>
  <sheetFormatPr defaultColWidth="10.7109375" defaultRowHeight="12.6" customHeight="1"/>
  <cols>
    <col min="1" max="1" width="31.140625" style="199" customWidth="1"/>
    <col min="2" max="2" width="5.140625" style="202" customWidth="1"/>
    <col min="3" max="3" width="15.28515625" style="202" customWidth="1"/>
    <col min="4" max="4" width="13.42578125" style="202" customWidth="1"/>
    <col min="5" max="5" width="12.140625" style="202" customWidth="1"/>
    <col min="6" max="6" width="12.5703125" style="202" customWidth="1"/>
    <col min="7" max="7" width="11.85546875" style="202" customWidth="1"/>
    <col min="8" max="8" width="13" style="202" customWidth="1"/>
    <col min="9" max="9" width="11.5703125" style="202" customWidth="1"/>
    <col min="10" max="10" width="12.140625" style="202" customWidth="1"/>
    <col min="11" max="11" width="12.28515625" style="202" customWidth="1"/>
    <col min="12" max="12" width="14.28515625" style="202" customWidth="1"/>
    <col min="13" max="13" width="20.7109375" style="202" customWidth="1"/>
    <col min="14" max="16384" width="10.7109375" style="202"/>
  </cols>
  <sheetData>
    <row r="1" spans="1:13" ht="12.6" customHeight="1">
      <c r="A1" s="199" t="s">
        <v>1020</v>
      </c>
      <c r="B1" s="199"/>
      <c r="C1" s="199"/>
      <c r="D1" s="199"/>
      <c r="E1" s="199"/>
      <c r="F1" s="199"/>
      <c r="G1" s="199"/>
      <c r="H1" s="199"/>
      <c r="I1" s="199"/>
      <c r="J1" s="199"/>
      <c r="K1" s="200" t="s">
        <v>1019</v>
      </c>
      <c r="L1" s="201">
        <f>OPEN!$B$4</f>
        <v>270</v>
      </c>
      <c r="M1" s="3013" t="s">
        <v>866</v>
      </c>
    </row>
    <row r="2" spans="1:13" ht="12.6" customHeight="1">
      <c r="A2" s="199" t="s">
        <v>1135</v>
      </c>
      <c r="B2" s="199"/>
      <c r="C2" s="199"/>
      <c r="D2" s="2426"/>
      <c r="E2" s="199"/>
      <c r="F2" s="199"/>
      <c r="G2" s="199"/>
      <c r="H2" s="199"/>
      <c r="I2" s="199"/>
      <c r="J2" s="199"/>
      <c r="K2" s="199"/>
      <c r="L2" s="199"/>
    </row>
    <row r="3" spans="1:13" ht="12.6" customHeight="1">
      <c r="A3" s="199" t="str">
        <f>OPEN!N2</f>
        <v>2016-2017</v>
      </c>
      <c r="B3" s="5273" t="s">
        <v>1136</v>
      </c>
      <c r="C3" s="5273"/>
      <c r="D3" s="5273"/>
      <c r="E3" s="5273"/>
      <c r="F3" s="5273"/>
      <c r="G3" s="5273"/>
      <c r="H3" s="199"/>
      <c r="I3" s="199"/>
      <c r="J3" s="199"/>
      <c r="K3" s="199"/>
      <c r="L3" s="199"/>
    </row>
    <row r="4" spans="1:13" ht="12.6" customHeight="1">
      <c r="A4" s="203" t="s">
        <v>1137</v>
      </c>
      <c r="B4" s="203"/>
      <c r="C4" s="203"/>
      <c r="D4" s="203"/>
      <c r="E4" s="203"/>
      <c r="F4" s="203"/>
      <c r="G4" s="203"/>
      <c r="H4" s="203"/>
      <c r="I4" s="203"/>
      <c r="J4" s="203"/>
      <c r="K4" s="203"/>
      <c r="L4" s="203"/>
    </row>
    <row r="5" spans="1:13" ht="8.1" customHeight="1">
      <c r="B5" s="199"/>
      <c r="C5" s="199"/>
      <c r="D5" s="199"/>
      <c r="E5" s="199"/>
      <c r="F5" s="199"/>
      <c r="G5" s="199"/>
      <c r="H5" s="199"/>
      <c r="I5" s="199"/>
      <c r="J5" s="199"/>
      <c r="K5" s="199"/>
      <c r="L5" s="199"/>
    </row>
    <row r="6" spans="1:13" ht="12.6" customHeight="1">
      <c r="B6" s="204"/>
      <c r="C6" s="205"/>
      <c r="D6" s="204" t="s">
        <v>1138</v>
      </c>
      <c r="E6" s="206" t="str">
        <f>"Less " &amp; C8</f>
        <v>Less 2015</v>
      </c>
      <c r="F6" s="206" t="s">
        <v>1138</v>
      </c>
      <c r="G6" s="4135" t="str">
        <f>"FOR FISCAL YEAR " &amp; OPEN!N2</f>
        <v>FOR FISCAL YEAR 2016-2017</v>
      </c>
      <c r="H6" s="4136"/>
      <c r="I6" s="4136"/>
      <c r="J6" s="4136"/>
      <c r="K6" s="4136"/>
      <c r="L6" s="4137"/>
    </row>
    <row r="7" spans="1:13" ht="12.6" customHeight="1">
      <c r="B7" s="207" t="s">
        <v>1045</v>
      </c>
      <c r="C7" s="208" t="s">
        <v>1139</v>
      </c>
      <c r="D7" s="209">
        <f>'F110'!$C$18</f>
        <v>0.48399999999999999</v>
      </c>
      <c r="E7" s="210" t="s">
        <v>1140</v>
      </c>
      <c r="F7" s="210" t="s">
        <v>1140</v>
      </c>
      <c r="G7" s="210" t="str">
        <f xml:space="preserve"> C8 &amp; " Tax"</f>
        <v>2015 Tax</v>
      </c>
      <c r="H7" s="210" t="s">
        <v>1258</v>
      </c>
      <c r="I7" s="210" t="s">
        <v>1141</v>
      </c>
      <c r="J7" s="210" t="s">
        <v>1877</v>
      </c>
      <c r="K7" s="210" t="s">
        <v>1044</v>
      </c>
      <c r="L7" s="211" t="str">
        <f>"Estimate of " &amp; OPEN!Q5</f>
        <v>Estimate of 2016</v>
      </c>
    </row>
    <row r="8" spans="1:13" ht="12.6" customHeight="1">
      <c r="B8" s="207">
        <v>4</v>
      </c>
      <c r="C8" s="208">
        <f>OPEN!P5</f>
        <v>2015</v>
      </c>
      <c r="D8" s="211" t="s">
        <v>1142</v>
      </c>
      <c r="E8" s="210" t="s">
        <v>1143</v>
      </c>
      <c r="F8" s="210" t="s">
        <v>1144</v>
      </c>
      <c r="G8" s="210" t="s">
        <v>1145</v>
      </c>
      <c r="H8" s="210" t="s">
        <v>1259</v>
      </c>
      <c r="I8" s="210" t="s">
        <v>1146</v>
      </c>
      <c r="J8" s="210" t="s">
        <v>1146</v>
      </c>
      <c r="K8" s="210" t="str">
        <f xml:space="preserve"> OPEN!Q5 &amp; " Tax to"</f>
        <v>2016 Tax to</v>
      </c>
      <c r="L8" s="212" t="str">
        <f>"Taxes 1/1/" &amp;OPEN!S5</f>
        <v>Taxes 1/1/2017</v>
      </c>
    </row>
    <row r="9" spans="1:13" ht="12.6" customHeight="1">
      <c r="B9" s="211" t="s">
        <v>1051</v>
      </c>
      <c r="C9" s="208" t="s">
        <v>1149</v>
      </c>
      <c r="D9" s="211" t="s">
        <v>1150</v>
      </c>
      <c r="E9" s="210" t="str">
        <f>"in "&amp;OPEN!O14</f>
        <v>in 2015-16</v>
      </c>
      <c r="F9" s="210" t="str">
        <f>E9</f>
        <v>in 2015-16</v>
      </c>
      <c r="G9" s="210" t="s">
        <v>1151</v>
      </c>
      <c r="H9" s="210" t="s">
        <v>1260</v>
      </c>
      <c r="I9" s="210" t="s">
        <v>1140</v>
      </c>
      <c r="J9" s="210" t="s">
        <v>1140</v>
      </c>
      <c r="K9" s="210" t="s">
        <v>1049</v>
      </c>
      <c r="L9" s="212" t="str">
        <f>"6/30/"&amp;OPEN!S5</f>
        <v>6/30/2017</v>
      </c>
    </row>
    <row r="10" spans="1:13" ht="12.6" customHeight="1">
      <c r="A10" s="213" t="s">
        <v>1152</v>
      </c>
      <c r="B10" s="214"/>
      <c r="C10" s="215">
        <v>1</v>
      </c>
      <c r="D10" s="216">
        <v>2</v>
      </c>
      <c r="E10" s="217">
        <v>3</v>
      </c>
      <c r="F10" s="217">
        <v>4</v>
      </c>
      <c r="G10" s="217">
        <v>5</v>
      </c>
      <c r="H10" s="217">
        <v>6</v>
      </c>
      <c r="I10" s="217">
        <v>7</v>
      </c>
      <c r="J10" s="217">
        <v>8</v>
      </c>
      <c r="K10" s="217">
        <v>9</v>
      </c>
      <c r="L10" s="216">
        <v>10</v>
      </c>
    </row>
    <row r="11" spans="1:13" ht="18" customHeight="1">
      <c r="A11" s="218" t="s">
        <v>993</v>
      </c>
      <c r="B11" s="219">
        <v>1</v>
      </c>
      <c r="C11" s="3943" t="s">
        <v>1782</v>
      </c>
      <c r="D11" s="3943" t="s">
        <v>1676</v>
      </c>
      <c r="E11" s="3943" t="s">
        <v>787</v>
      </c>
      <c r="F11" s="3943" t="s">
        <v>1676</v>
      </c>
      <c r="G11" s="3943" t="s">
        <v>787</v>
      </c>
      <c r="H11" s="2690" t="s">
        <v>1676</v>
      </c>
      <c r="I11" s="2690" t="s">
        <v>787</v>
      </c>
      <c r="J11" s="2690" t="s">
        <v>787</v>
      </c>
      <c r="K11" s="3943" t="s">
        <v>1676</v>
      </c>
      <c r="L11" s="3943" t="s">
        <v>787</v>
      </c>
    </row>
    <row r="12" spans="1:13" ht="18" customHeight="1">
      <c r="A12" s="218" t="s">
        <v>994</v>
      </c>
      <c r="B12" s="219">
        <v>3</v>
      </c>
      <c r="C12" s="220">
        <f>'F110'!G16</f>
        <v>339172</v>
      </c>
      <c r="D12" s="220">
        <f>IF(ISERROR('F110'!G18),0,'F110'!G18)</f>
        <v>1642</v>
      </c>
      <c r="E12" s="220">
        <f>'F110'!G20+'F110'!G22+'F110'!G24+'F110'!G26+'F110'!G28</f>
        <v>321437</v>
      </c>
      <c r="F12" s="220">
        <f>'F110'!$G$29</f>
        <v>0</v>
      </c>
      <c r="G12" s="220">
        <f>IF(ISERROR('F110'!G33),0,'F110'!G33)</f>
        <v>16093</v>
      </c>
      <c r="H12" s="220">
        <f>IF(ISERROR('F194'!H76+'F194'!$H$18+'F194'!$P$76+'F194'!$P$18),0,'F194'!H76+'F194'!$H$18+'F194'!$P$76+'F194'!$P$18)</f>
        <v>38066</v>
      </c>
      <c r="I12" s="220">
        <f>IF(ISERROR('F194'!$L$18+'F194'!$L$76),0,'F194'!$L$18+'F194'!$L$76)</f>
        <v>774</v>
      </c>
      <c r="J12" s="220">
        <f>IF(ISERROR('F194'!$R$18+'F194'!$R$76),0,'F194'!$R$18+'F194'!$R$76)</f>
        <v>5008</v>
      </c>
      <c r="K12" s="221">
        <f>IF(OR((ISERROR('C08'!$E$39)),'C08'!$E$39="ERROR"),0,'C08'!$E$39)</f>
        <v>552511</v>
      </c>
      <c r="L12" s="220">
        <f>IF(ISERROR('F110'!$I$44*K12/100),0,'F110'!$I$44*K12/100)</f>
        <v>508310</v>
      </c>
    </row>
    <row r="13" spans="1:13" ht="18" customHeight="1">
      <c r="A13" s="218" t="s">
        <v>995</v>
      </c>
      <c r="B13" s="219">
        <v>5</v>
      </c>
      <c r="C13" s="220">
        <f>'F110'!E64</f>
        <v>0</v>
      </c>
      <c r="D13" s="220">
        <f>IF(ISERROR('F110'!E66),0,'F110'!E66)</f>
        <v>0</v>
      </c>
      <c r="E13" s="220">
        <f>'F110'!E68+'F110'!E70+'F110'!E72+'F110'!E74+'F110'!E76</f>
        <v>0</v>
      </c>
      <c r="F13" s="220">
        <f>'F110'!$E$77</f>
        <v>0</v>
      </c>
      <c r="G13" s="220">
        <f>IF(ISERROR('F110'!E81),0,'F110'!E81)</f>
        <v>0</v>
      </c>
      <c r="H13" s="220">
        <f>IF(ISERROR('F194'!H19+'F194'!H77+'F194'!$P$77+'F194'!$P$19),0,'F194'!H19+'F194'!H77+'F194'!$P$77+'F194'!$P$19)</f>
        <v>0</v>
      </c>
      <c r="I13" s="220">
        <f>IF(ISERROR('F194'!$L$77+'F194'!$L$19),0,'F194'!$L$77+'F194'!$L$19)</f>
        <v>0</v>
      </c>
      <c r="J13" s="220">
        <f>IF(ISERROR('F194'!$R$77+'F194'!$R$19),0,'F194'!$R$77+'F194'!$R$19)</f>
        <v>0</v>
      </c>
      <c r="K13" s="220">
        <f>L33</f>
        <v>0</v>
      </c>
      <c r="L13" s="220">
        <f>IF(ISERROR('F110'!$I$44*K13/100),0,'F110'!$I$44*K13/100)</f>
        <v>0</v>
      </c>
    </row>
    <row r="14" spans="1:13" ht="18" customHeight="1">
      <c r="A14" s="218" t="s">
        <v>996</v>
      </c>
      <c r="B14" s="219">
        <v>10</v>
      </c>
      <c r="C14" s="220">
        <f>'F110'!I16</f>
        <v>280076</v>
      </c>
      <c r="D14" s="220">
        <f>IF(ISERROR('F110'!I18),0,'F110'!I18)</f>
        <v>1356</v>
      </c>
      <c r="E14" s="220">
        <f>'F110'!I20+'F110'!I22+'F110'!I24+'F110'!I26+'F110'!I28</f>
        <v>265431</v>
      </c>
      <c r="F14" s="220">
        <f>'F110'!$I$29</f>
        <v>0</v>
      </c>
      <c r="G14" s="220">
        <f>IF(ISERROR('F110'!I33),0,'F110'!I33)</f>
        <v>13289</v>
      </c>
      <c r="H14" s="220">
        <f>IF(ISERROR('F194'!H78+'F194'!H20+'F194'!$P$78+'F194'!$P$20),0,'F194'!H78+'F194'!H20+'F194'!$P$78+'F194'!$P$20)</f>
        <v>23329</v>
      </c>
      <c r="I14" s="220">
        <f>IF(ISERROR('F194'!$L$20+'F194'!$L$78),0,'F194'!$L$20+'F194'!$L$78)</f>
        <v>474</v>
      </c>
      <c r="J14" s="220">
        <f>IF(ISERROR('F194'!$R$20+'F194'!$R$78),0,'F194'!$R$20+'F194'!$R$78)</f>
        <v>3069</v>
      </c>
      <c r="K14" s="220">
        <f>L37</f>
        <v>253049</v>
      </c>
      <c r="L14" s="220">
        <f>IF(ISERROR('F110'!$I$44*K14/100),0,'F110'!$I$44*K14/100)</f>
        <v>232805</v>
      </c>
    </row>
    <row r="15" spans="1:13" ht="18" customHeight="1">
      <c r="A15" s="218" t="s">
        <v>365</v>
      </c>
      <c r="B15" s="219">
        <v>15</v>
      </c>
      <c r="C15" s="220">
        <f>'F110'!E155</f>
        <v>0</v>
      </c>
      <c r="D15" s="220">
        <f>IF(ISERROR('F110'!E157),0,'F110'!E157)</f>
        <v>0</v>
      </c>
      <c r="E15" s="220">
        <f>'F110'!E159+'F110'!E161+'F110'!E163+'F110'!E165+'F110'!E167</f>
        <v>0</v>
      </c>
      <c r="F15" s="220">
        <f>'F110'!$E$168</f>
        <v>0</v>
      </c>
      <c r="G15" s="220">
        <f>IF(ISERROR('F110'!E172),0,'F110'!E172)</f>
        <v>0</v>
      </c>
      <c r="H15" s="220">
        <f>IF(ISERROR('F194'!H92+'F194'!H34+'F194'!$P$92+'F194'!$P$34),0,'F194'!H92+'F194'!H34+'F194'!$P$92+'F194'!$P$34)</f>
        <v>0</v>
      </c>
      <c r="I15" s="220">
        <f>IF(ISERROR('F194'!$L$34+'F194'!$L$92),0,'F194'!$L$34+'F194'!$L$92)</f>
        <v>0</v>
      </c>
      <c r="J15" s="220">
        <f>IF(ISERROR('F194'!$R$34+'F194'!$RK$92),0,'F194'!$R$34+'F194'!$R$92)</f>
        <v>0</v>
      </c>
      <c r="K15" s="220">
        <f>IF(ISERROR('C019'!E35),0,'C019'!E35)</f>
        <v>0</v>
      </c>
      <c r="L15" s="220">
        <f>IF(ISERROR('F110'!$I$44*K15/100),0,'F110'!$I$44*K15/100)</f>
        <v>0</v>
      </c>
    </row>
    <row r="16" spans="1:13" ht="18" customHeight="1">
      <c r="A16" s="218" t="s">
        <v>997</v>
      </c>
      <c r="B16" s="219">
        <v>20</v>
      </c>
      <c r="C16" s="220">
        <f>'F110'!I64</f>
        <v>0</v>
      </c>
      <c r="D16" s="220">
        <f>IF(ISERROR('F110'!I66),0,'F110'!I66)</f>
        <v>0</v>
      </c>
      <c r="E16" s="220">
        <f>'F110'!I68+'F110'!I70+'F110'!I72+'F110'!I74+'F110'!I76</f>
        <v>0</v>
      </c>
      <c r="F16" s="220">
        <f>'F110'!$I$77</f>
        <v>0</v>
      </c>
      <c r="G16" s="220">
        <f>IF(ISERROR('F110'!I81),0,'F110'!I81)</f>
        <v>0</v>
      </c>
      <c r="H16" s="220">
        <f>IF(ISERROR('F194'!H87+'F194'!H29+'F194'!$P$87+'F194'!$P$29),0,'F194'!H87+'F194'!H29+'F194'!$P$87+'F194'!$P$29)</f>
        <v>0</v>
      </c>
      <c r="I16" s="220">
        <f>IF(ISERROR('F194'!$L$29+'F194'!$L$87),0,'F194'!$L$29+'F194'!$L$87)</f>
        <v>0</v>
      </c>
      <c r="J16" s="220">
        <f>IF(ISERROR('F194'!$R$29+'F194'!$R$87),0,'F194'!$R$29+'F194'!$R$87)</f>
        <v>0</v>
      </c>
      <c r="K16" s="220">
        <f>IF(ISERROR('C044'!F40),0,'C044'!F40)</f>
        <v>0</v>
      </c>
      <c r="L16" s="220">
        <f>IF(ISERROR('F110'!$I$44*K16/100),0,'F110'!$I$44*K16/100)</f>
        <v>0</v>
      </c>
    </row>
    <row r="17" spans="1:12" ht="18" customHeight="1">
      <c r="A17" s="218" t="s">
        <v>999</v>
      </c>
      <c r="B17" s="219">
        <v>25</v>
      </c>
      <c r="C17" s="220">
        <f>'F110'!G113</f>
        <v>0</v>
      </c>
      <c r="D17" s="220">
        <f>IF(ISERROR('F110'!G115),0,'F110'!G115)</f>
        <v>0</v>
      </c>
      <c r="E17" s="220">
        <f>'F110'!G117+'F110'!G119+'F110'!G121+'F110'!G123+'F110'!G125</f>
        <v>0</v>
      </c>
      <c r="F17" s="220">
        <f>'F110'!$G$126</f>
        <v>0</v>
      </c>
      <c r="G17" s="220">
        <f>IF(ISERROR('F110'!G130),0,'F110'!G130)</f>
        <v>0</v>
      </c>
      <c r="H17" s="220">
        <f>IF(ISERROR('F194'!H21+'F194'!H79+'F194'!$P$21+'F194'!$P$79),0,'F194'!H21+'F194'!H79+'F194'!$P$21+'F194'!$P$79)</f>
        <v>0</v>
      </c>
      <c r="I17" s="220">
        <f>IF(ISERROR('F194'!$L$79+'F194'!$L$21),0,'F194'!$L$79+'F194'!$L$21)</f>
        <v>0</v>
      </c>
      <c r="J17" s="220">
        <f>IF(ISERROR('F194'!$R$79+'F194'!$R$21),0,'F194'!$R$79+'F194'!$R$21)</f>
        <v>0</v>
      </c>
      <c r="K17" s="220">
        <f>IF(ISERROR('C067'!F39),0,'C067'!F39)</f>
        <v>0</v>
      </c>
      <c r="L17" s="220">
        <f>IF(ISERROR('F110'!$I$44*K17/100),0,'F110'!$I$44*K17/100)</f>
        <v>0</v>
      </c>
    </row>
    <row r="18" spans="1:12" ht="18" customHeight="1">
      <c r="A18" s="218" t="s">
        <v>934</v>
      </c>
      <c r="B18" s="219">
        <v>30</v>
      </c>
      <c r="C18" s="220">
        <f>'F110'!G64</f>
        <v>0</v>
      </c>
      <c r="D18" s="220">
        <f>IF(ISERROR('F110'!G66),0,'F110'!G66)</f>
        <v>0</v>
      </c>
      <c r="E18" s="220">
        <f>'F110'!G68+'F110'!G70+'F110'!G72+'F110'!G74+'F110'!G76</f>
        <v>0</v>
      </c>
      <c r="F18" s="220">
        <f>'F110'!$G$77</f>
        <v>0</v>
      </c>
      <c r="G18" s="220">
        <f>IF(ISERROR('F110'!G81),0,'F110'!G81)</f>
        <v>0</v>
      </c>
      <c r="H18" s="220">
        <f>IF(ISERROR('F194'!H86+'F194'!H28+'F194'!$P$86+'F194'!$P$28),0,'F194'!H86+'F194'!H28+'F194'!$P$86+'F194'!$P$28)</f>
        <v>0</v>
      </c>
      <c r="I18" s="220">
        <f>IF(ISERROR('F194'!$L$28+'F194'!$L$86),0,'F194'!$L$28+'F194'!$L$86)</f>
        <v>0</v>
      </c>
      <c r="J18" s="220">
        <f>IF(ISERROR('F194'!$R$28+'F194'!$R$86),0,'F194'!$R$28+'F194'!$R$86)</f>
        <v>0</v>
      </c>
      <c r="K18" s="220">
        <f>IF(ISERROR('C042'!F52),0,'C042'!F52)</f>
        <v>0</v>
      </c>
      <c r="L18" s="220">
        <f>IF(ISERROR('F110'!$I$44*K18/100),0,'F110'!$I$44*K18/100)</f>
        <v>0</v>
      </c>
    </row>
    <row r="19" spans="1:12" ht="18" customHeight="1">
      <c r="A19" s="218" t="str">
        <f>OPEN!O44</f>
        <v>Bond and Interest #1</v>
      </c>
      <c r="B19" s="219">
        <v>40</v>
      </c>
      <c r="C19" s="220">
        <f>'F110'!K16</f>
        <v>246829</v>
      </c>
      <c r="D19" s="220">
        <f>IF(ISERROR('F110'!K18),0,'F110'!K18)</f>
        <v>1195</v>
      </c>
      <c r="E19" s="220">
        <f>'F110'!K20+'F110'!K22+'F110'!K24+'F110'!K26+'F110'!K28</f>
        <v>234111</v>
      </c>
      <c r="F19" s="220">
        <f>'F110'!$K$29</f>
        <v>0</v>
      </c>
      <c r="G19" s="220">
        <f>IF(ISERROR('F110'!K33),0,'F110'!K33)</f>
        <v>11523</v>
      </c>
      <c r="H19" s="220">
        <f>IF(ISERROR('F194'!H22+'F194'!H80+'F194'!$P$22+'F194'!$P$80),0,'F194'!H22+'F194'!H80+'F194'!$P$22+'F194'!$P$80)</f>
        <v>15245</v>
      </c>
      <c r="I19" s="220">
        <f>IF(ISERROR('F194'!$L$80+'F194'!$L$22),0,'F194'!$L$80+'F194'!$L$22)</f>
        <v>309</v>
      </c>
      <c r="J19" s="220">
        <f>IF(ISERROR('F194'!$R$80+'F194'!$R$22),0,'F194'!$R$80+'F194'!$R$22)</f>
        <v>2005</v>
      </c>
      <c r="K19" s="220">
        <f>IF(ISERROR('C062'!$F$56),0,'C062'!$F$56)</f>
        <v>236580</v>
      </c>
      <c r="L19" s="220">
        <f>IF(ISERROR('F110'!$I$44*K19/100),0,'F110'!$I$44*K19/100)</f>
        <v>217654</v>
      </c>
    </row>
    <row r="20" spans="1:12" ht="18" customHeight="1">
      <c r="A20" s="218" t="str">
        <f>OPEN!O45</f>
        <v>Bond and Interest #2</v>
      </c>
      <c r="B20" s="219">
        <v>45</v>
      </c>
      <c r="C20" s="220">
        <f>'F110'!K64</f>
        <v>0</v>
      </c>
      <c r="D20" s="220">
        <f>IF(ISERROR('F110'!K66),0,'F110'!K66)</f>
        <v>0</v>
      </c>
      <c r="E20" s="220">
        <f>'F110'!K68+'F110'!K70+'F110'!K72+'F110'!K74+'F110'!K76</f>
        <v>0</v>
      </c>
      <c r="F20" s="220">
        <f>'F110'!$K$77</f>
        <v>0</v>
      </c>
      <c r="G20" s="220">
        <f>IF(ISERROR('F110'!K81),0,'F110'!K81)</f>
        <v>0</v>
      </c>
      <c r="H20" s="220">
        <f>IF(ISERROR('F194'!H81+'F194'!H23+'F194'!$P$81+'F194'!$P$23),0,'F194'!H81+'F194'!H23+'F194'!$P$81+'F194'!$P$23)</f>
        <v>0</v>
      </c>
      <c r="I20" s="220">
        <f>IF(ISERROR('F194'!$L$23+'F194'!$L$81),0,'F194'!$L$23+'F194'!$L$81)</f>
        <v>0</v>
      </c>
      <c r="J20" s="220">
        <f>IF(ISERROR('F194'!$R$23+'F194'!$R$81),0,'F194'!$R$23+'F194'!$R$81)</f>
        <v>0</v>
      </c>
      <c r="K20" s="220">
        <f>IF(ISERROR('C063'!F56),0,'C063'!F56)</f>
        <v>0</v>
      </c>
      <c r="L20" s="220">
        <f>IF(ISERROR('F110'!$I$44*K20/100),0,'F110'!$I$44*K20/100)</f>
        <v>0</v>
      </c>
    </row>
    <row r="21" spans="1:12" ht="18" customHeight="1">
      <c r="A21" s="218" t="s">
        <v>1000</v>
      </c>
      <c r="B21" s="219">
        <v>50</v>
      </c>
      <c r="C21" s="220">
        <f>'F110'!I113</f>
        <v>0</v>
      </c>
      <c r="D21" s="220">
        <f>IF(ISERROR('F110'!I115),0,'F110'!I115)</f>
        <v>0</v>
      </c>
      <c r="E21" s="220">
        <f>'F110'!I117+'F110'!I119+'F110'!I121+'F110'!I123+'F110'!I125</f>
        <v>0</v>
      </c>
      <c r="F21" s="220">
        <f>'F110'!$I$126</f>
        <v>0</v>
      </c>
      <c r="G21" s="220">
        <f>IF(ISERROR('F110'!I130),0,'F110'!I130)</f>
        <v>0</v>
      </c>
      <c r="H21" s="220">
        <f>IF(ISERROR('F194'!H24+'F194'!H82+'F194'!$P$24+'F194'!$P$82),0,'F194'!H24+'F194'!H82+'F194'!$P$24+'F194'!$P$82)</f>
        <v>0</v>
      </c>
      <c r="I21" s="220">
        <f>IF(ISERROR('F194'!$L$82+'F194'!$L$24),0,'F194'!$L$82+'F194'!$L$24)</f>
        <v>0</v>
      </c>
      <c r="J21" s="220">
        <f>IF(ISERROR('F194'!$R$82+'F194'!$R$24),0,'F194'!$R$82+'F194'!$R$24)</f>
        <v>0</v>
      </c>
      <c r="K21" s="220">
        <f>IF(ISERROR('C068'!F42),0,'C068'!F42)</f>
        <v>0</v>
      </c>
      <c r="L21" s="220">
        <f>IF(ISERROR('F110'!$I$44*K21/100),0,'F110'!$I$44*K21/100)</f>
        <v>0</v>
      </c>
    </row>
    <row r="22" spans="1:12" ht="18" customHeight="1">
      <c r="A22" s="218" t="s">
        <v>1153</v>
      </c>
      <c r="B22" s="219">
        <v>55</v>
      </c>
      <c r="C22" s="220">
        <f>'F110'!E113</f>
        <v>0</v>
      </c>
      <c r="D22" s="220">
        <f>IF(ISERROR('F110'!E115),0,'F110'!E115)</f>
        <v>0</v>
      </c>
      <c r="E22" s="220">
        <f>'F110'!E117+'F110'!E119+'F110'!E121+'F110'!E123+'F110'!E125</f>
        <v>0</v>
      </c>
      <c r="F22" s="220">
        <f>'F110'!$E$126</f>
        <v>0</v>
      </c>
      <c r="G22" s="220">
        <f>IF(ISERROR('F110'!E130),0,'F110'!E130)</f>
        <v>0</v>
      </c>
      <c r="H22" s="220">
        <f>IF(ISERROR('F194'!H85+'F194'!H27+'F194'!$P$85+'F194'!$P$27),0,'F194'!H85+'F194'!H27+'F194'!$P$85+'F194'!$P$27)</f>
        <v>0</v>
      </c>
      <c r="I22" s="220">
        <f>IF(ISERROR('F194'!$L$27+'F194'!$L$85),0,'F194'!$L$27+'F194'!$L$85)</f>
        <v>0</v>
      </c>
      <c r="J22" s="220">
        <f>IF(ISERROR('F194'!$R$27+'F194'!$R$85),0,'F194'!$R$27+'F194'!$R$85)</f>
        <v>0</v>
      </c>
      <c r="K22" s="220">
        <f>IF(ISERROR('C066'!F41),0,'C066'!F41)</f>
        <v>0</v>
      </c>
      <c r="L22" s="220">
        <f>IF(ISERROR('F110'!$I$44*K22/100),0,'F110'!$I$44*K22/100)</f>
        <v>0</v>
      </c>
    </row>
    <row r="23" spans="1:12" ht="18" customHeight="1">
      <c r="A23" s="218" t="s">
        <v>1154</v>
      </c>
      <c r="B23" s="219">
        <v>57</v>
      </c>
      <c r="C23" s="220">
        <f>'F110'!$I$155</f>
        <v>0</v>
      </c>
      <c r="D23" s="220">
        <f>'F110'!$I$157</f>
        <v>0</v>
      </c>
      <c r="E23" s="220">
        <f>'F110'!$I$159+'F110'!$I$161+'F110'!$I$163+'F110'!$I$165+'F110'!$I$167</f>
        <v>0</v>
      </c>
      <c r="F23" s="220">
        <f>'F110'!$I$168</f>
        <v>0</v>
      </c>
      <c r="G23" s="220">
        <f>'F110'!$I$172</f>
        <v>0</v>
      </c>
      <c r="H23" s="220">
        <f>IF(ISERROR('F194'!$H$89+'F194'!$H$31+'F194'!$P$89+'F194'!$P$31),0,('F194'!$H$89+'F194'!$H$31+'F194'!$P$89+'F194'!$P$31))</f>
        <v>0</v>
      </c>
      <c r="I23" s="220">
        <f>IF(ISERROR('F194'!$L$31+'F194'!$L$89),0,('F194'!$L$31+'F194'!$L$89))</f>
        <v>0</v>
      </c>
      <c r="J23" s="220">
        <f>IF(ISERROR('F194'!$R$31+'F194'!$R$89),0,('F194'!$R$31+'F194'!$R$89))</f>
        <v>0</v>
      </c>
      <c r="K23" s="220">
        <f>IF(ISERROR('C045'!$E$33),0,'C045'!$E$33)</f>
        <v>0</v>
      </c>
      <c r="L23" s="220">
        <f>IF(ISERROR('F110'!$I$44*K23/100),0,'F110'!$I$44*K23/100)</f>
        <v>0</v>
      </c>
    </row>
    <row r="24" spans="1:12" ht="18" customHeight="1">
      <c r="A24" s="218" t="str">
        <f>OPEN!O49</f>
        <v>Recreation Commission</v>
      </c>
      <c r="B24" s="219">
        <v>60</v>
      </c>
      <c r="C24" s="220">
        <f>'F110'!M16</f>
        <v>103553</v>
      </c>
      <c r="D24" s="220">
        <f>IF(ISERROR('F110'!M18),0,'F110'!M18)</f>
        <v>501</v>
      </c>
      <c r="E24" s="220">
        <f>'F110'!M20+'F110'!M22+'F110'!M24+'F110'!M26+'F110'!M28</f>
        <v>93813</v>
      </c>
      <c r="F24" s="220">
        <f>'F110'!$M$29</f>
        <v>0</v>
      </c>
      <c r="G24" s="220">
        <f>IF(ISERROR('F110'!M33),0,'F110'!M33)</f>
        <v>9239</v>
      </c>
      <c r="H24" s="220">
        <f>IF(ISERROR('F194'!H25+'F194'!H83+'F194'!$P$25+'F194'!$P$83),0,'F194'!H25+'F194'!H83+'F194'!$P$25+'F194'!$P$83)</f>
        <v>6797</v>
      </c>
      <c r="I24" s="220">
        <f>IF(ISERROR('F194'!$L$83+'F194'!$L$25),0,'F194'!$L$83+'F194'!$L$25)</f>
        <v>138</v>
      </c>
      <c r="J24" s="220">
        <f>IF(ISERROR('F194'!$R$83+'F194'!$R$25),0,'F194'!$R$83+'F194'!$R$25)</f>
        <v>894</v>
      </c>
      <c r="K24" s="220">
        <f>IF(ISERROR('C084'!F39),0,'C084'!F39)</f>
        <v>93622</v>
      </c>
      <c r="L24" s="220">
        <f>IF(ISERROR('F110'!$I$44*K24/100),0,'F110'!$I$44*K24/100)</f>
        <v>86132</v>
      </c>
    </row>
    <row r="25" spans="1:12" ht="18" customHeight="1">
      <c r="A25" s="222" t="str">
        <f>OPEN!Q51</f>
        <v>Rec Comm Emp Bnfts &amp; Spec Liab</v>
      </c>
      <c r="B25" s="223">
        <v>65</v>
      </c>
      <c r="C25" s="224">
        <f>'F110'!G155</f>
        <v>0</v>
      </c>
      <c r="D25" s="224">
        <f>IF(ISERROR('F110'!G157),0,'F110'!G157)</f>
        <v>0</v>
      </c>
      <c r="E25" s="224">
        <f>'F110'!G159+'F110'!G161+'F110'!G163+'F110'!G165+'F110'!G167</f>
        <v>0</v>
      </c>
      <c r="F25" s="224">
        <f>'F110'!$G$168</f>
        <v>0</v>
      </c>
      <c r="G25" s="224">
        <f>IF(ISERROR('F110'!G172),0,'F110'!G172)</f>
        <v>0</v>
      </c>
      <c r="H25" s="224">
        <f>IF(ISERROR('F194'!H84+'F194'!H26+'F194'!$P$84+'F194'!$P$26),0,'F194'!H84+'F194'!H26+'F194'!$P$84+'F194'!$P$26)</f>
        <v>0</v>
      </c>
      <c r="I25" s="224">
        <f>IF(ISERROR('F194'!$L$26+'F194'!$L$84),0,'F194'!$L$26+'F194'!$L$84)</f>
        <v>0</v>
      </c>
      <c r="J25" s="224">
        <f>IF(ISERROR('F194'!$R$26+'F194'!$R$84),0,'F194'!$R$26+'F194'!$R$84)</f>
        <v>0</v>
      </c>
      <c r="K25" s="224">
        <f>IF(ISERROR('C086'!F39),0,'C086'!F39)</f>
        <v>0</v>
      </c>
      <c r="L25" s="224">
        <f>IF(ISERROR('F110'!$I$44*K25/100),0,'F110'!$I$44*K25/100)</f>
        <v>0</v>
      </c>
    </row>
    <row r="26" spans="1:12" ht="18" customHeight="1">
      <c r="A26" s="218" t="s">
        <v>1004</v>
      </c>
      <c r="B26" s="219">
        <v>70</v>
      </c>
      <c r="C26" s="220">
        <f>'F110'!M113</f>
        <v>0</v>
      </c>
      <c r="D26" s="220">
        <f>IF(ISERROR('F110'!M115),0,'F110'!M115)</f>
        <v>0</v>
      </c>
      <c r="E26" s="220">
        <f>'F110'!M117+'F110'!M119+'F110'!M121+'F110'!M123+'F110'!M125</f>
        <v>0</v>
      </c>
      <c r="F26" s="220">
        <f>'F110'!$M$126</f>
        <v>0</v>
      </c>
      <c r="G26" s="220">
        <f>IF(ISERROR('F110'!M130),0,'F110'!M130)</f>
        <v>0</v>
      </c>
      <c r="H26" s="220">
        <f>IF(ISERROR('F194'!H32+'F194'!H90+'F194'!$P$32+'F194'!$P$90),0,'F194'!H32+'F194'!H90+'F194'!$P$32+'F194'!$P$90)</f>
        <v>0</v>
      </c>
      <c r="I26" s="220">
        <f>IF(ISERROR('F194'!$L$90+'F194'!$L$32),0,'F194'!$L$90+'F194'!$L$32)</f>
        <v>0</v>
      </c>
      <c r="J26" s="220">
        <f>IF(ISERROR('F194'!$R$90+'F194'!$R$32),0,'F194'!$R$90+'F194'!$R$32)</f>
        <v>0</v>
      </c>
      <c r="K26" s="220">
        <f>IF(ISERROR('C082'!F39),0,'C082'!F39)</f>
        <v>0</v>
      </c>
      <c r="L26" s="220">
        <f>IF(ISERROR('F110'!$I$44*K26/100),0,'F110'!$I$44*K26/100)</f>
        <v>0</v>
      </c>
    </row>
    <row r="27" spans="1:12" ht="18" customHeight="1">
      <c r="A27" s="218" t="s">
        <v>1480</v>
      </c>
      <c r="B27" s="219">
        <v>71</v>
      </c>
      <c r="C27" s="220">
        <f>'F110'!$K$155</f>
        <v>0</v>
      </c>
      <c r="D27" s="220">
        <f>IF(ISERROR('F110'!K157),0,'F110'!K157)</f>
        <v>0</v>
      </c>
      <c r="E27" s="220">
        <f>'F110'!$K$159+'F110'!$K$161+'F110'!$K$163+'F110'!$K$165+'F110'!$K$167</f>
        <v>0</v>
      </c>
      <c r="F27" s="220">
        <f>'F110'!$K$168</f>
        <v>0</v>
      </c>
      <c r="G27" s="220">
        <f>IF(ISERROR('F110'!K172),0,'F110'!K172)</f>
        <v>0</v>
      </c>
      <c r="H27" s="224">
        <f>IF(ISERROR('F194'!H91+'F194'!H33+'F194'!$P$91+'F194'!$P$33),0,'F194'!H91+'F194'!H33+'F194'!$P$91+'F194'!$P$33)</f>
        <v>0</v>
      </c>
      <c r="I27" s="224">
        <f>IF(ISERROR('F194'!$L$33+'F194'!$L$91),0,'F194'!$L$33+'F194'!$L$91)</f>
        <v>0</v>
      </c>
      <c r="J27" s="224">
        <f>IF(ISERROR('F194'!$R$33+'F194'!$R$91),0,'F194'!$R$33+'F194'!$R$91)</f>
        <v>0</v>
      </c>
      <c r="K27" s="220">
        <f>IF(ISERROR('C083'!F39),0,'C083'!F39)</f>
        <v>0</v>
      </c>
      <c r="L27" s="220">
        <f>IF(ISERROR('F110'!$I$44*K27/100),0,'F110'!$I$44*K27/100)</f>
        <v>0</v>
      </c>
    </row>
    <row r="28" spans="1:12" ht="18" customHeight="1">
      <c r="A28" s="218" t="s">
        <v>1001</v>
      </c>
      <c r="B28" s="219">
        <v>75</v>
      </c>
      <c r="C28" s="220">
        <f>'F110'!K113</f>
        <v>0</v>
      </c>
      <c r="D28" s="220">
        <f>IF(ISERROR('F110'!K115),0,'F110'!K115)</f>
        <v>0</v>
      </c>
      <c r="E28" s="220">
        <f>'F110'!K117+'F110'!K119+'F110'!K121+'F110'!K123+'F110'!K125</f>
        <v>0</v>
      </c>
      <c r="F28" s="220">
        <f>'F110'!$K$126</f>
        <v>0</v>
      </c>
      <c r="G28" s="220">
        <f>IF(ISERROR('F110'!K130),0,'F110'!K130)</f>
        <v>0</v>
      </c>
      <c r="H28" s="220">
        <f>IF(ISERROR('F194'!H88+'F194'!H30+'F194'!$P$88+'F194'!$P$30),0,'F194'!H88+'F194'!H30+'F194'!$P$88+'F194'!$P$30)</f>
        <v>0</v>
      </c>
      <c r="I28" s="220">
        <f>IF(ISERROR('F194'!$L$30+'F194'!$L$88),0,'F194'!$L$30+'F194'!$L$88)</f>
        <v>0</v>
      </c>
      <c r="J28" s="220">
        <f>IF(ISERROR('F194'!$R$30+'F194'!$R$88),0,'F194'!$R$30+'F194'!$R$88)</f>
        <v>0</v>
      </c>
      <c r="K28" s="220">
        <f>IF(ISERROR('C080'!F39),0,'C080'!F39)</f>
        <v>0</v>
      </c>
      <c r="L28" s="220">
        <f>IF(ISERROR('F110'!$I$44*K28/100),0,'F110'!$I$44*K28/100)</f>
        <v>0</v>
      </c>
    </row>
    <row r="29" spans="1:12" ht="18" customHeight="1">
      <c r="A29" s="218" t="s">
        <v>1232</v>
      </c>
      <c r="B29" s="219">
        <v>78</v>
      </c>
      <c r="C29" s="220">
        <f>'F110'!$M$155</f>
        <v>0</v>
      </c>
      <c r="D29" s="220">
        <f>IF(ISERROR('F110'!M157),0,'F110'!M157)</f>
        <v>0</v>
      </c>
      <c r="E29" s="220">
        <f>'F110'!M159+'F110'!M161+'F110'!M163+'F110'!M165+'F110'!M167</f>
        <v>0</v>
      </c>
      <c r="F29" s="220">
        <f>'F110'!M168</f>
        <v>0</v>
      </c>
      <c r="G29" s="220">
        <f>IF(ISERROR('F110'!M172),0,'F110'!M172)</f>
        <v>0</v>
      </c>
      <c r="H29" s="220">
        <f>IF(ISERROR('F194'!H93+'F194'!H35+'F194'!$P$93+'F194'!$P$35),0,'F194'!H93+'F194'!H35+'F194'!$P$93+'F194'!$P$35)</f>
        <v>0</v>
      </c>
      <c r="I29" s="220">
        <f>IF(ISERROR('F194'!$L$35+'F194'!$L$93),0,'F194'!$L$35+'F194'!$L$93)</f>
        <v>0</v>
      </c>
      <c r="J29" s="220">
        <f>IF(ISERROR('F194'!$R$35+'F194'!$R$93),0,'F194'!$R$35+'F194'!$R$93)</f>
        <v>0</v>
      </c>
      <c r="K29" s="220">
        <f>IF(ISERROR('C033'!E33),0,'C033'!E33)</f>
        <v>0</v>
      </c>
      <c r="L29" s="220">
        <f>IF(ISERROR('F110'!$I$44*K29/100),0,'F110'!$I$44*K29/100)</f>
        <v>0</v>
      </c>
    </row>
    <row r="30" spans="1:12" ht="18" customHeight="1">
      <c r="A30" s="218" t="s">
        <v>1121</v>
      </c>
      <c r="B30" s="219">
        <v>80</v>
      </c>
      <c r="C30" s="220">
        <f t="shared" ref="C30:H30" si="0">SUM(C11:C29)</f>
        <v>969630</v>
      </c>
      <c r="D30" s="220">
        <f t="shared" si="0"/>
        <v>4694</v>
      </c>
      <c r="E30" s="220">
        <f t="shared" si="0"/>
        <v>914792</v>
      </c>
      <c r="F30" s="220">
        <f t="shared" si="0"/>
        <v>0</v>
      </c>
      <c r="G30" s="220">
        <f t="shared" si="0"/>
        <v>50144</v>
      </c>
      <c r="H30" s="220">
        <f t="shared" si="0"/>
        <v>83437</v>
      </c>
      <c r="I30" s="220">
        <f t="shared" ref="I30:L30" si="1">SUM(I11:I29)</f>
        <v>1695</v>
      </c>
      <c r="J30" s="220">
        <f t="shared" si="1"/>
        <v>10976</v>
      </c>
      <c r="K30" s="220">
        <f t="shared" si="1"/>
        <v>1135762</v>
      </c>
      <c r="L30" s="220">
        <f t="shared" si="1"/>
        <v>1044901</v>
      </c>
    </row>
    <row r="31" spans="1:12" ht="12.75" customHeight="1">
      <c r="B31" s="228"/>
      <c r="C31" s="201"/>
      <c r="D31" s="201"/>
      <c r="E31" s="201"/>
      <c r="F31" s="201"/>
      <c r="G31" s="201"/>
      <c r="H31" s="201"/>
      <c r="I31" s="201"/>
      <c r="J31" s="201"/>
      <c r="K31" s="201"/>
      <c r="L31" s="201"/>
    </row>
    <row r="32" spans="1:12" s="199" customFormat="1" ht="13.5" customHeight="1">
      <c r="A32" s="3706" t="s">
        <v>1163</v>
      </c>
      <c r="B32" s="228"/>
      <c r="C32" s="201"/>
      <c r="D32" s="201"/>
      <c r="E32" s="201"/>
      <c r="F32" s="201"/>
      <c r="G32" s="201"/>
      <c r="H32" s="201"/>
      <c r="I32" s="201"/>
      <c r="J32" s="201"/>
      <c r="K32" s="201"/>
      <c r="L32" s="201"/>
    </row>
    <row r="33" spans="1:13" s="199" customFormat="1" ht="12.6" customHeight="1">
      <c r="A33" s="3707" t="s">
        <v>1164</v>
      </c>
      <c r="B33" s="213"/>
      <c r="C33" s="230">
        <f>OPEN!$A$14</f>
        <v>31631113</v>
      </c>
      <c r="D33" s="3708" t="s">
        <v>1165</v>
      </c>
      <c r="E33" s="231"/>
      <c r="F33" s="231"/>
      <c r="G33" s="232">
        <f>OPEN!$A$141</f>
        <v>0</v>
      </c>
      <c r="K33" s="4159" t="s">
        <v>1166</v>
      </c>
      <c r="L33" s="230">
        <f>C33*G33/1000</f>
        <v>0</v>
      </c>
    </row>
    <row r="34" spans="1:13" s="199" customFormat="1" ht="12.6" customHeight="1">
      <c r="A34" s="233"/>
      <c r="B34" s="234"/>
      <c r="C34" s="235"/>
      <c r="D34" s="233"/>
      <c r="E34" s="233"/>
      <c r="F34" s="233"/>
      <c r="L34" s="3707" t="s">
        <v>1675</v>
      </c>
    </row>
    <row r="35" spans="1:13" s="199" customFormat="1" ht="12.75" customHeight="1">
      <c r="B35" s="226"/>
    </row>
    <row r="36" spans="1:13" s="199" customFormat="1" ht="12.75">
      <c r="A36" s="3706" t="s">
        <v>1167</v>
      </c>
      <c r="B36" s="228"/>
      <c r="C36" s="201"/>
      <c r="D36" s="201"/>
      <c r="E36" s="201"/>
      <c r="F36" s="201"/>
      <c r="G36" s="201"/>
      <c r="H36" s="201"/>
      <c r="I36" s="201"/>
      <c r="J36" s="201"/>
      <c r="K36" s="201"/>
      <c r="L36" s="201"/>
    </row>
    <row r="37" spans="1:13" s="199" customFormat="1" ht="12.6" customHeight="1">
      <c r="A37" s="3707" t="s">
        <v>1164</v>
      </c>
      <c r="B37" s="213"/>
      <c r="C37" s="230">
        <f>OPEN!$A$14</f>
        <v>31631113</v>
      </c>
      <c r="D37" s="3708" t="s">
        <v>1170</v>
      </c>
      <c r="E37" s="3707"/>
      <c r="F37" s="229"/>
      <c r="G37" s="232">
        <f>OPEN!$A$139</f>
        <v>8</v>
      </c>
      <c r="K37" s="4159" t="s">
        <v>1166</v>
      </c>
      <c r="L37" s="230">
        <f>C37*G37/1000</f>
        <v>253049</v>
      </c>
    </row>
    <row r="38" spans="1:13" s="199" customFormat="1" ht="12.6" customHeight="1">
      <c r="A38" s="233"/>
      <c r="B38" s="234"/>
      <c r="C38" s="233"/>
      <c r="D38" s="233"/>
      <c r="E38" s="233"/>
      <c r="F38" s="233"/>
      <c r="L38" s="3707" t="s">
        <v>1675</v>
      </c>
    </row>
    <row r="39" spans="1:13" s="199" customFormat="1" ht="12.75" customHeight="1">
      <c r="A39" s="225" t="str">
        <f>"Tax Collection Ratio for "&amp;OPEN!P5</f>
        <v>Tax Collection Ratio for 2015</v>
      </c>
      <c r="B39" s="227"/>
      <c r="C39" s="236"/>
      <c r="D39" s="237">
        <f>IF(C30=0,0,(E30/C30)*100)</f>
        <v>94.343999999999994</v>
      </c>
      <c r="E39" s="199" t="s">
        <v>1124</v>
      </c>
    </row>
    <row r="40" spans="1:13" s="199" customFormat="1" ht="12.6" customHeight="1">
      <c r="B40" s="227"/>
    </row>
    <row r="41" spans="1:13" ht="12.6" customHeight="1">
      <c r="B41" s="238"/>
    </row>
    <row r="42" spans="1:13" ht="12.6" customHeight="1">
      <c r="B42" s="238"/>
    </row>
    <row r="43" spans="1:13" ht="12.6" customHeight="1">
      <c r="B43" s="238"/>
    </row>
    <row r="44" spans="1:13" ht="12.6" customHeight="1">
      <c r="B44" s="238"/>
    </row>
    <row r="45" spans="1:13" ht="12.6" customHeight="1">
      <c r="B45" s="238"/>
    </row>
    <row r="46" spans="1:13" ht="12.6" customHeight="1">
      <c r="M46" s="199"/>
    </row>
    <row r="59" spans="5:6" ht="3.75" customHeight="1"/>
    <row r="60" spans="5:6" ht="3.75" customHeight="1"/>
    <row r="61" spans="5:6" ht="12.6" customHeight="1">
      <c r="E61" s="238"/>
      <c r="F61" s="238"/>
    </row>
    <row r="68" spans="1:1" ht="12.6" customHeight="1">
      <c r="A68" s="239"/>
    </row>
  </sheetData>
  <sheetProtection algorithmName="SHA-512" hashValue="CMKeMnI+v8/VX5C2O1zHz6/NIHKnMPGyLgRO4yLt0Xg71yjqFI7jjClrGBR0ovF0oPdCoNBO7dGyRPkCn5rmPQ==" saltValue="A0BjnVDuVTyvCfi4LeTUxg==" spinCount="100000" sheet="1" objects="1" scenarios="1"/>
  <mergeCells count="1">
    <mergeCell ref="B3:G3"/>
  </mergeCells>
  <phoneticPr fontId="10" type="noConversion"/>
  <hyperlinks>
    <hyperlink ref="M1" location="Contents!F1" display="Return to Contents page"/>
  </hyperlinks>
  <printOptions horizontalCentered="1" verticalCentered="1"/>
  <pageMargins left="0.25" right="0.25" top="0.25" bottom="0.5" header="0.5" footer="0.5"/>
  <pageSetup scale="82" orientation="landscape" blackAndWhite="1" r:id="rId1"/>
  <headerFooter alignWithMargins="0">
    <oddFooter>&amp;L&amp;D     &amp;T &amp;CCode No. 04&amp;RPage &amp;P</oddFoot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4" tint="0.39997558519241921"/>
  </sheetPr>
  <dimension ref="A1:P61"/>
  <sheetViews>
    <sheetView zoomScaleNormal="100" workbookViewId="0">
      <selection activeCell="K12" sqref="K12"/>
    </sheetView>
  </sheetViews>
  <sheetFormatPr defaultColWidth="10.7109375" defaultRowHeight="12.6" customHeight="1"/>
  <cols>
    <col min="1" max="1" width="29.7109375" style="243" customWidth="1"/>
    <col min="2" max="2" width="10" style="243" customWidth="1"/>
    <col min="3" max="3" width="8.140625" style="243" customWidth="1"/>
    <col min="4" max="4" width="13.28515625" style="243" customWidth="1"/>
    <col min="5" max="5" width="12.42578125" style="243" customWidth="1"/>
    <col min="6" max="6" width="10.28515625" style="243" customWidth="1"/>
    <col min="7" max="7" width="10.140625" style="243" customWidth="1"/>
    <col min="8" max="8" width="10.85546875" style="243" customWidth="1"/>
    <col min="9" max="9" width="12.28515625" style="243" customWidth="1"/>
    <col min="10" max="10" width="12" style="243" customWidth="1"/>
    <col min="11" max="11" width="11" style="243" customWidth="1"/>
    <col min="12" max="12" width="20.85546875" style="243" customWidth="1"/>
    <col min="13" max="13" width="10.7109375" style="243"/>
    <col min="14" max="14" width="14.5703125" style="243" customWidth="1"/>
    <col min="15" max="15" width="17.5703125" style="243" customWidth="1"/>
    <col min="16" max="16" width="6" style="243" customWidth="1"/>
    <col min="17" max="16384" width="10.7109375" style="243"/>
  </cols>
  <sheetData>
    <row r="1" spans="1:12" ht="12.6" customHeight="1">
      <c r="A1" s="240" t="s">
        <v>1020</v>
      </c>
      <c r="B1" s="240"/>
      <c r="C1" s="240"/>
      <c r="D1" s="240"/>
      <c r="E1" s="240"/>
      <c r="F1" s="240"/>
      <c r="G1" s="240"/>
      <c r="H1" s="240"/>
      <c r="I1" s="241" t="s">
        <v>1019</v>
      </c>
      <c r="J1" s="242">
        <f>OPEN!$B$4</f>
        <v>270</v>
      </c>
      <c r="K1" s="240"/>
      <c r="L1" s="3013" t="s">
        <v>866</v>
      </c>
    </row>
    <row r="2" spans="1:12" ht="12.6" customHeight="1">
      <c r="A2" s="240" t="s">
        <v>1171</v>
      </c>
      <c r="B2" s="5197" t="str">
        <f>IF(O36&lt;&gt;0,"Bonded Indebtedness on Open page does not match total bonds entered here (col 4).","")</f>
        <v/>
      </c>
      <c r="C2" s="240"/>
      <c r="D2" s="240"/>
      <c r="E2" s="240"/>
      <c r="F2" s="240"/>
      <c r="G2" s="240"/>
      <c r="H2" s="240"/>
      <c r="I2" s="240"/>
      <c r="J2" s="240"/>
      <c r="K2" s="240"/>
    </row>
    <row r="3" spans="1:12" ht="12.6" customHeight="1">
      <c r="A3" s="240" t="str">
        <f>OPEN!N2</f>
        <v>2016-2017</v>
      </c>
      <c r="B3" s="240"/>
      <c r="C3" s="240"/>
      <c r="D3" s="240"/>
      <c r="E3" s="240"/>
      <c r="F3" s="240"/>
      <c r="G3" s="240"/>
      <c r="H3" s="240"/>
      <c r="I3" s="240"/>
      <c r="J3" s="240"/>
      <c r="K3" s="240"/>
    </row>
    <row r="4" spans="1:12" ht="12.6" customHeight="1">
      <c r="A4" s="244" t="s">
        <v>1172</v>
      </c>
      <c r="B4" s="244"/>
      <c r="C4" s="244"/>
      <c r="D4" s="244"/>
      <c r="E4" s="244"/>
      <c r="F4" s="244"/>
      <c r="G4" s="244"/>
      <c r="H4" s="244"/>
      <c r="I4" s="244"/>
      <c r="J4" s="245"/>
      <c r="K4" s="245"/>
    </row>
    <row r="5" spans="1:12" ht="12.6" customHeight="1">
      <c r="A5" s="240"/>
      <c r="B5" s="246"/>
      <c r="C5" s="246"/>
      <c r="D5" s="246"/>
      <c r="E5" s="246"/>
      <c r="F5" s="247"/>
      <c r="G5" s="248"/>
      <c r="H5" s="249" t="s">
        <v>1173</v>
      </c>
      <c r="I5" s="250"/>
      <c r="J5" s="249" t="s">
        <v>1173</v>
      </c>
      <c r="K5" s="250"/>
    </row>
    <row r="6" spans="1:12" ht="12.6" customHeight="1">
      <c r="A6" s="240"/>
      <c r="B6" s="251" t="s">
        <v>1174</v>
      </c>
      <c r="C6" s="252" t="s">
        <v>1175</v>
      </c>
      <c r="D6" s="252" t="s">
        <v>1044</v>
      </c>
      <c r="E6" s="252" t="s">
        <v>1018</v>
      </c>
      <c r="F6" s="253" t="s">
        <v>1176</v>
      </c>
      <c r="G6" s="254"/>
      <c r="H6" s="255" t="str">
        <f>OPEN!P4</f>
        <v>2016-2017</v>
      </c>
      <c r="I6" s="254"/>
      <c r="J6" s="255" t="str">
        <f>"July-Dec. "&amp;OPEN!S5</f>
        <v>July-Dec. 2017</v>
      </c>
      <c r="K6" s="254"/>
    </row>
    <row r="7" spans="1:12" ht="12.6" customHeight="1">
      <c r="A7" s="240"/>
      <c r="B7" s="252" t="s">
        <v>1177</v>
      </c>
      <c r="C7" s="252" t="s">
        <v>1178</v>
      </c>
      <c r="D7" s="252" t="s">
        <v>1179</v>
      </c>
      <c r="E7" s="252" t="s">
        <v>1180</v>
      </c>
      <c r="F7" s="256"/>
      <c r="G7" s="257"/>
      <c r="H7" s="257"/>
      <c r="I7" s="258"/>
      <c r="J7" s="257"/>
      <c r="K7" s="257"/>
    </row>
    <row r="8" spans="1:12" ht="12.6" customHeight="1">
      <c r="A8" s="259"/>
      <c r="B8" s="252" t="s">
        <v>1181</v>
      </c>
      <c r="C8" s="252" t="s">
        <v>1124</v>
      </c>
      <c r="D8" s="252" t="s">
        <v>1182</v>
      </c>
      <c r="E8" s="260" t="str">
        <f>"7/1/"&amp;OPEN!Q5</f>
        <v>7/1/2016</v>
      </c>
      <c r="F8" s="261" t="s">
        <v>1175</v>
      </c>
      <c r="G8" s="252" t="s">
        <v>1183</v>
      </c>
      <c r="H8" s="252" t="s">
        <v>1175</v>
      </c>
      <c r="I8" s="260" t="s">
        <v>1183</v>
      </c>
      <c r="J8" s="252" t="s">
        <v>1175</v>
      </c>
      <c r="K8" s="252" t="s">
        <v>1183</v>
      </c>
    </row>
    <row r="9" spans="1:12" ht="12.6" customHeight="1">
      <c r="A9" s="259" t="s">
        <v>1184</v>
      </c>
      <c r="B9" s="3718">
        <v>1</v>
      </c>
      <c r="C9" s="3718">
        <v>2</v>
      </c>
      <c r="D9" s="3718">
        <v>3</v>
      </c>
      <c r="E9" s="3718">
        <v>4</v>
      </c>
      <c r="F9" s="3719">
        <v>5</v>
      </c>
      <c r="G9" s="3718">
        <v>6</v>
      </c>
      <c r="H9" s="3718">
        <v>7</v>
      </c>
      <c r="I9" s="3718">
        <v>8</v>
      </c>
      <c r="J9" s="3718">
        <v>9</v>
      </c>
      <c r="K9" s="3718">
        <v>10</v>
      </c>
    </row>
    <row r="10" spans="1:12" ht="15" customHeight="1">
      <c r="A10" s="5274" t="s">
        <v>1979</v>
      </c>
      <c r="B10" s="5275"/>
      <c r="C10" s="5275"/>
      <c r="D10" s="5275"/>
      <c r="E10" s="5275"/>
      <c r="F10" s="5275"/>
      <c r="G10" s="5275"/>
      <c r="H10" s="5275"/>
      <c r="I10" s="5275"/>
      <c r="J10" s="5275"/>
      <c r="K10" s="5276"/>
    </row>
    <row r="11" spans="1:12" ht="15" customHeight="1">
      <c r="A11" s="3720"/>
      <c r="B11" s="3721">
        <v>38953</v>
      </c>
      <c r="C11" s="3722">
        <v>4.55</v>
      </c>
      <c r="D11" s="3723">
        <v>3460000</v>
      </c>
      <c r="E11" s="3723">
        <v>2310000</v>
      </c>
      <c r="F11" s="3721">
        <v>42614</v>
      </c>
      <c r="G11" s="3721">
        <v>42614</v>
      </c>
      <c r="H11" s="3724">
        <v>65713</v>
      </c>
      <c r="I11" s="3724">
        <v>185000</v>
      </c>
      <c r="J11" s="3724">
        <v>30900</v>
      </c>
      <c r="K11" s="3724">
        <v>200000</v>
      </c>
    </row>
    <row r="12" spans="1:12" ht="15" customHeight="1">
      <c r="A12" s="262"/>
      <c r="B12" s="263"/>
      <c r="C12" s="264"/>
      <c r="D12" s="265"/>
      <c r="E12" s="265"/>
      <c r="F12" s="263"/>
      <c r="G12" s="263"/>
      <c r="H12" s="266"/>
      <c r="I12" s="266"/>
      <c r="J12" s="266"/>
      <c r="K12" s="266"/>
    </row>
    <row r="13" spans="1:12" ht="15" customHeight="1">
      <c r="A13" s="262"/>
      <c r="B13" s="263"/>
      <c r="C13" s="264"/>
      <c r="D13" s="265"/>
      <c r="E13" s="265"/>
      <c r="F13" s="263"/>
      <c r="G13" s="263"/>
      <c r="H13" s="266"/>
      <c r="I13" s="266"/>
      <c r="J13" s="266"/>
      <c r="K13" s="266"/>
    </row>
    <row r="14" spans="1:12" ht="15" customHeight="1">
      <c r="A14" s="262"/>
      <c r="B14" s="263"/>
      <c r="C14" s="264"/>
      <c r="D14" s="265"/>
      <c r="E14" s="265"/>
      <c r="F14" s="263"/>
      <c r="G14" s="263"/>
      <c r="H14" s="266"/>
      <c r="I14" s="266"/>
      <c r="J14" s="266"/>
      <c r="K14" s="266"/>
    </row>
    <row r="15" spans="1:12" ht="15" customHeight="1">
      <c r="A15" s="262"/>
      <c r="B15" s="263"/>
      <c r="C15" s="264"/>
      <c r="D15" s="265"/>
      <c r="E15" s="265"/>
      <c r="F15" s="263"/>
      <c r="G15" s="263"/>
      <c r="H15" s="266"/>
      <c r="I15" s="266"/>
      <c r="J15" s="266"/>
      <c r="K15" s="266"/>
    </row>
    <row r="16" spans="1:12" ht="15" customHeight="1">
      <c r="A16" s="262"/>
      <c r="B16" s="263"/>
      <c r="C16" s="264"/>
      <c r="D16" s="265"/>
      <c r="E16" s="265"/>
      <c r="F16" s="263"/>
      <c r="G16" s="263"/>
      <c r="H16" s="266"/>
      <c r="I16" s="266"/>
      <c r="J16" s="266"/>
      <c r="K16" s="266"/>
    </row>
    <row r="17" spans="1:16" ht="15" customHeight="1">
      <c r="A17" s="262"/>
      <c r="B17" s="263"/>
      <c r="C17" s="264"/>
      <c r="D17" s="265"/>
      <c r="E17" s="265"/>
      <c r="F17" s="263"/>
      <c r="G17" s="263"/>
      <c r="H17" s="266"/>
      <c r="I17" s="266"/>
      <c r="J17" s="266"/>
      <c r="K17" s="266"/>
    </row>
    <row r="18" spans="1:16" ht="15" customHeight="1">
      <c r="A18" s="262"/>
      <c r="B18" s="263"/>
      <c r="C18" s="264"/>
      <c r="D18" s="265"/>
      <c r="E18" s="265"/>
      <c r="F18" s="263"/>
      <c r="G18" s="263"/>
      <c r="H18" s="266"/>
      <c r="I18" s="266"/>
      <c r="J18" s="266"/>
      <c r="K18" s="266"/>
    </row>
    <row r="19" spans="1:16" ht="15" customHeight="1">
      <c r="A19" s="262"/>
      <c r="B19" s="263"/>
      <c r="C19" s="264"/>
      <c r="D19" s="265"/>
      <c r="E19" s="265"/>
      <c r="F19" s="263"/>
      <c r="G19" s="263"/>
      <c r="H19" s="266"/>
      <c r="I19" s="266"/>
      <c r="J19" s="266"/>
      <c r="K19" s="266"/>
    </row>
    <row r="20" spans="1:16" ht="15" customHeight="1">
      <c r="A20" s="262"/>
      <c r="B20" s="263"/>
      <c r="C20" s="264"/>
      <c r="D20" s="265"/>
      <c r="E20" s="265"/>
      <c r="F20" s="263"/>
      <c r="G20" s="263"/>
      <c r="H20" s="266"/>
      <c r="I20" s="266"/>
      <c r="J20" s="266"/>
      <c r="K20" s="266"/>
    </row>
    <row r="21" spans="1:16" ht="15" customHeight="1">
      <c r="A21" s="262"/>
      <c r="B21" s="263"/>
      <c r="C21" s="264"/>
      <c r="D21" s="265"/>
      <c r="E21" s="265"/>
      <c r="F21" s="263"/>
      <c r="G21" s="263"/>
      <c r="H21" s="266"/>
      <c r="I21" s="266"/>
      <c r="J21" s="266"/>
      <c r="K21" s="266"/>
    </row>
    <row r="22" spans="1:16" ht="15" customHeight="1">
      <c r="A22" s="262"/>
      <c r="B22" s="263"/>
      <c r="C22" s="264"/>
      <c r="D22" s="265"/>
      <c r="E22" s="265"/>
      <c r="F22" s="263"/>
      <c r="G22" s="263"/>
      <c r="H22" s="266"/>
      <c r="I22" s="266"/>
      <c r="J22" s="266"/>
      <c r="K22" s="266"/>
    </row>
    <row r="23" spans="1:16" ht="15" customHeight="1">
      <c r="A23" s="262"/>
      <c r="B23" s="263"/>
      <c r="C23" s="264"/>
      <c r="D23" s="265"/>
      <c r="E23" s="265"/>
      <c r="F23" s="263"/>
      <c r="G23" s="263"/>
      <c r="H23" s="266"/>
      <c r="I23" s="266"/>
      <c r="J23" s="266"/>
      <c r="K23" s="266"/>
    </row>
    <row r="24" spans="1:16" ht="15" customHeight="1">
      <c r="A24" s="262"/>
      <c r="B24" s="263"/>
      <c r="C24" s="264"/>
      <c r="D24" s="265"/>
      <c r="E24" s="265"/>
      <c r="F24" s="263"/>
      <c r="G24" s="263"/>
      <c r="H24" s="266"/>
      <c r="I24" s="266"/>
      <c r="J24" s="266"/>
      <c r="K24" s="266"/>
      <c r="N24" s="4108"/>
    </row>
    <row r="25" spans="1:16" ht="15" customHeight="1">
      <c r="A25" s="262"/>
      <c r="B25" s="263"/>
      <c r="C25" s="264"/>
      <c r="D25" s="265"/>
      <c r="E25" s="265"/>
      <c r="F25" s="263"/>
      <c r="G25" s="263"/>
      <c r="H25" s="266"/>
      <c r="I25" s="266"/>
      <c r="J25" s="266"/>
      <c r="K25" s="266"/>
    </row>
    <row r="26" spans="1:16" ht="15" customHeight="1">
      <c r="A26" s="262"/>
      <c r="B26" s="263"/>
      <c r="C26" s="264"/>
      <c r="D26" s="265"/>
      <c r="E26" s="265"/>
      <c r="F26" s="263"/>
      <c r="G26" s="263"/>
      <c r="H26" s="266"/>
      <c r="I26" s="266"/>
      <c r="J26" s="266"/>
      <c r="K26" s="266"/>
    </row>
    <row r="27" spans="1:16" ht="15" customHeight="1">
      <c r="A27" s="267" t="s">
        <v>1186</v>
      </c>
      <c r="B27" s="268" t="s">
        <v>1187</v>
      </c>
      <c r="C27" s="269" t="s">
        <v>1187</v>
      </c>
      <c r="D27" s="270" t="s">
        <v>1189</v>
      </c>
      <c r="E27" s="271">
        <f>SUM(E11:E26)</f>
        <v>2310000</v>
      </c>
      <c r="F27" s="268" t="s">
        <v>1190</v>
      </c>
      <c r="G27" s="268" t="s">
        <v>1190</v>
      </c>
      <c r="H27" s="272">
        <f>SUM(H11:H26)</f>
        <v>65713</v>
      </c>
      <c r="I27" s="273">
        <f>SUM(I11:I26)</f>
        <v>185000</v>
      </c>
      <c r="J27" s="274">
        <f>SUM(J11:J26)</f>
        <v>30900</v>
      </c>
      <c r="K27" s="275">
        <f>SUM(K11:K26)</f>
        <v>200000</v>
      </c>
    </row>
    <row r="28" spans="1:16" ht="15" customHeight="1">
      <c r="A28" s="5274" t="s">
        <v>2486</v>
      </c>
      <c r="B28" s="5275"/>
      <c r="C28" s="5275"/>
      <c r="D28" s="5275"/>
      <c r="E28" s="5275"/>
      <c r="F28" s="5275"/>
      <c r="G28" s="5275"/>
      <c r="H28" s="5275"/>
      <c r="I28" s="5275"/>
      <c r="J28" s="5275"/>
      <c r="K28" s="5276"/>
      <c r="M28" s="5277" t="s">
        <v>1900</v>
      </c>
      <c r="N28" s="5277"/>
      <c r="O28" s="5277"/>
    </row>
    <row r="29" spans="1:16" ht="15" customHeight="1">
      <c r="A29" s="262"/>
      <c r="B29" s="263"/>
      <c r="C29" s="264"/>
      <c r="D29" s="265"/>
      <c r="E29" s="265"/>
      <c r="F29" s="263"/>
      <c r="G29" s="263"/>
      <c r="H29" s="266"/>
      <c r="I29" s="266"/>
      <c r="J29" s="266"/>
      <c r="K29" s="266"/>
      <c r="M29" s="278"/>
      <c r="N29" s="4188" t="s">
        <v>2487</v>
      </c>
      <c r="O29" s="4187">
        <f>E27</f>
        <v>2310000</v>
      </c>
      <c r="P29" s="278"/>
    </row>
    <row r="30" spans="1:16" ht="15" customHeight="1">
      <c r="A30" s="262"/>
      <c r="B30" s="263"/>
      <c r="C30" s="264"/>
      <c r="D30" s="265"/>
      <c r="E30" s="265"/>
      <c r="F30" s="263"/>
      <c r="G30" s="263"/>
      <c r="H30" s="266"/>
      <c r="I30" s="266"/>
      <c r="J30" s="266"/>
      <c r="K30" s="266"/>
      <c r="M30" s="278"/>
      <c r="N30" s="4188" t="s">
        <v>2489</v>
      </c>
      <c r="O30" s="4189">
        <f>E34</f>
        <v>0</v>
      </c>
      <c r="P30" s="278"/>
    </row>
    <row r="31" spans="1:16" ht="15" customHeight="1">
      <c r="A31" s="262"/>
      <c r="B31" s="263"/>
      <c r="C31" s="264"/>
      <c r="D31" s="265"/>
      <c r="E31" s="265"/>
      <c r="F31" s="263"/>
      <c r="G31" s="263"/>
      <c r="H31" s="266"/>
      <c r="I31" s="266"/>
      <c r="J31" s="266"/>
      <c r="K31" s="266"/>
      <c r="M31" s="278"/>
      <c r="N31" s="4188" t="s">
        <v>2488</v>
      </c>
      <c r="O31" s="4190">
        <f>E41</f>
        <v>0</v>
      </c>
      <c r="P31" s="278" t="s">
        <v>1899</v>
      </c>
    </row>
    <row r="32" spans="1:16" ht="15" customHeight="1">
      <c r="A32" s="262"/>
      <c r="B32" s="263"/>
      <c r="C32" s="264"/>
      <c r="D32" s="265"/>
      <c r="E32" s="265"/>
      <c r="F32" s="263"/>
      <c r="G32" s="263"/>
      <c r="H32" s="266"/>
      <c r="I32" s="266"/>
      <c r="J32" s="266"/>
      <c r="K32" s="266"/>
      <c r="M32" s="278"/>
      <c r="N32" s="278"/>
      <c r="O32" s="4189">
        <f>SUM(O29:O31)</f>
        <v>2310000</v>
      </c>
      <c r="P32" s="278"/>
    </row>
    <row r="33" spans="1:16" ht="15" customHeight="1">
      <c r="A33" s="262"/>
      <c r="B33" s="263"/>
      <c r="C33" s="264"/>
      <c r="D33" s="265"/>
      <c r="E33" s="265"/>
      <c r="F33" s="263"/>
      <c r="G33" s="263"/>
      <c r="H33" s="266"/>
      <c r="I33" s="266"/>
      <c r="J33" s="266"/>
      <c r="K33" s="266"/>
      <c r="M33" s="278"/>
      <c r="N33" s="278"/>
      <c r="O33" s="278"/>
      <c r="P33" s="278"/>
    </row>
    <row r="34" spans="1:16" ht="15" customHeight="1">
      <c r="A34" s="267" t="s">
        <v>1186</v>
      </c>
      <c r="B34" s="268" t="s">
        <v>1187</v>
      </c>
      <c r="C34" s="269" t="s">
        <v>1187</v>
      </c>
      <c r="D34" s="270" t="s">
        <v>1189</v>
      </c>
      <c r="E34" s="271">
        <f>SUM(E28:E33)</f>
        <v>0</v>
      </c>
      <c r="F34" s="268" t="s">
        <v>1190</v>
      </c>
      <c r="G34" s="268" t="s">
        <v>1190</v>
      </c>
      <c r="H34" s="272">
        <f>SUM(H28:H33)</f>
        <v>0</v>
      </c>
      <c r="I34" s="273">
        <f>SUM(I28:I33)</f>
        <v>0</v>
      </c>
      <c r="J34" s="274">
        <f>SUM(J28:J33)</f>
        <v>0</v>
      </c>
      <c r="K34" s="275">
        <f>SUM(K28:K33)</f>
        <v>0</v>
      </c>
      <c r="M34" s="278"/>
      <c r="N34" s="4188" t="str">
        <f>"General Obligation Bonds 7/1/" &amp; OPEN!Q5 &amp; " (Open pg)"</f>
        <v>General Obligation Bonds 7/1/2016 (Open pg)</v>
      </c>
      <c r="O34" s="4192">
        <f>OPEN!F124</f>
        <v>2310000</v>
      </c>
      <c r="P34" s="278" t="s">
        <v>1898</v>
      </c>
    </row>
    <row r="35" spans="1:16" ht="15" customHeight="1">
      <c r="A35" s="5274" t="s">
        <v>2485</v>
      </c>
      <c r="B35" s="5275"/>
      <c r="C35" s="5275"/>
      <c r="D35" s="5275"/>
      <c r="E35" s="5275"/>
      <c r="F35" s="5275"/>
      <c r="G35" s="5275"/>
      <c r="H35" s="5275"/>
      <c r="I35" s="5275"/>
      <c r="J35" s="5275"/>
      <c r="K35" s="5276"/>
      <c r="P35" s="278"/>
    </row>
    <row r="36" spans="1:16" ht="15" customHeight="1" thickBot="1">
      <c r="A36" s="5032"/>
      <c r="B36" s="5033"/>
      <c r="C36" s="5034"/>
      <c r="D36" s="5035"/>
      <c r="E36" s="5036"/>
      <c r="F36" s="5033"/>
      <c r="G36" s="5033"/>
      <c r="H36" s="5037"/>
      <c r="I36" s="5037"/>
      <c r="J36" s="5037"/>
      <c r="K36" s="5037"/>
      <c r="N36" s="4188" t="s">
        <v>1897</v>
      </c>
      <c r="O36" s="4191">
        <f>O34-O32</f>
        <v>0</v>
      </c>
    </row>
    <row r="37" spans="1:16" ht="15" customHeight="1" thickTop="1">
      <c r="A37" s="5032"/>
      <c r="B37" s="5033"/>
      <c r="C37" s="5034"/>
      <c r="D37" s="5035"/>
      <c r="E37" s="5036"/>
      <c r="F37" s="5033"/>
      <c r="G37" s="5033"/>
      <c r="H37" s="5037"/>
      <c r="I37" s="5037"/>
      <c r="J37" s="5037"/>
      <c r="K37" s="5037"/>
      <c r="N37" s="4188"/>
      <c r="O37" s="4193" t="str">
        <f>IF(O36&lt;&gt;0,"Error - correct on Open pg. or this page","")</f>
        <v/>
      </c>
    </row>
    <row r="38" spans="1:16" ht="15" customHeight="1">
      <c r="A38" s="5032"/>
      <c r="B38" s="5033"/>
      <c r="C38" s="5034"/>
      <c r="D38" s="5035"/>
      <c r="E38" s="5036"/>
      <c r="F38" s="5033"/>
      <c r="G38" s="5033"/>
      <c r="H38" s="5037"/>
      <c r="I38" s="5037"/>
      <c r="J38" s="5037"/>
      <c r="K38" s="5037"/>
    </row>
    <row r="39" spans="1:16" ht="15" customHeight="1">
      <c r="A39" s="5032"/>
      <c r="B39" s="5033"/>
      <c r="C39" s="5034"/>
      <c r="D39" s="5035"/>
      <c r="E39" s="5036"/>
      <c r="F39" s="5033"/>
      <c r="G39" s="5033"/>
      <c r="H39" s="5037"/>
      <c r="I39" s="5037"/>
      <c r="J39" s="5037"/>
      <c r="K39" s="5037"/>
    </row>
    <row r="40" spans="1:16" ht="15" customHeight="1">
      <c r="A40" s="5032"/>
      <c r="B40" s="5033"/>
      <c r="C40" s="5034"/>
      <c r="D40" s="5035"/>
      <c r="E40" s="5036"/>
      <c r="F40" s="5033"/>
      <c r="G40" s="5033"/>
      <c r="H40" s="5037"/>
      <c r="I40" s="5037"/>
      <c r="J40" s="5037"/>
      <c r="K40" s="5037"/>
    </row>
    <row r="41" spans="1:16" ht="15" customHeight="1">
      <c r="A41" s="267" t="s">
        <v>1186</v>
      </c>
      <c r="B41" s="268" t="s">
        <v>1187</v>
      </c>
      <c r="C41" s="269" t="s">
        <v>1187</v>
      </c>
      <c r="D41" s="270" t="s">
        <v>1189</v>
      </c>
      <c r="E41" s="271">
        <f>SUM(E36:E40)</f>
        <v>0</v>
      </c>
      <c r="F41" s="268" t="s">
        <v>1190</v>
      </c>
      <c r="G41" s="268" t="s">
        <v>1190</v>
      </c>
      <c r="H41" s="272">
        <f>SUM(H36:H40)</f>
        <v>0</v>
      </c>
      <c r="I41" s="273">
        <f>SUM(I36:I40)</f>
        <v>0</v>
      </c>
      <c r="J41" s="274">
        <f>SUM(J36:J40)</f>
        <v>0</v>
      </c>
      <c r="K41" s="275">
        <f>SUM(K36:K40)</f>
        <v>0</v>
      </c>
    </row>
    <row r="42" spans="1:16" ht="12.6" customHeight="1">
      <c r="A42" s="5278" t="s">
        <v>2490</v>
      </c>
      <c r="B42" s="5278"/>
      <c r="C42" s="5278"/>
      <c r="D42" s="5278"/>
      <c r="E42" s="5278"/>
      <c r="F42" s="5278"/>
      <c r="G42" s="5278"/>
      <c r="H42" s="5278"/>
      <c r="I42" s="5278"/>
      <c r="J42" s="5278"/>
      <c r="K42" s="5278"/>
    </row>
    <row r="43" spans="1:16" ht="12.6" customHeight="1">
      <c r="A43" s="5278" t="s">
        <v>2491</v>
      </c>
      <c r="B43" s="5278"/>
      <c r="C43" s="5278"/>
      <c r="D43" s="5278"/>
      <c r="E43" s="5278"/>
      <c r="F43" s="5278"/>
      <c r="G43" s="5278"/>
      <c r="H43" s="5278"/>
      <c r="I43" s="5278"/>
      <c r="J43" s="5278"/>
      <c r="K43" s="5278"/>
    </row>
    <row r="44" spans="1:16" ht="12.6" customHeight="1">
      <c r="A44" s="240"/>
      <c r="B44" s="276"/>
      <c r="C44" s="240"/>
      <c r="D44" s="240"/>
      <c r="E44" s="240"/>
      <c r="F44" s="240"/>
      <c r="G44" s="240"/>
      <c r="H44" s="240"/>
      <c r="I44" s="240"/>
      <c r="J44" s="240"/>
      <c r="K44" s="240"/>
    </row>
    <row r="45" spans="1:16" ht="12.6" customHeight="1">
      <c r="A45" s="240"/>
      <c r="B45" s="276"/>
      <c r="C45" s="240"/>
      <c r="D45" s="240"/>
      <c r="E45" s="240"/>
      <c r="F45" s="240"/>
      <c r="G45" s="240"/>
      <c r="H45" s="240"/>
      <c r="I45" s="240"/>
      <c r="J45" s="240"/>
      <c r="K45" s="240"/>
    </row>
    <row r="46" spans="1:16" ht="12.6" customHeight="1">
      <c r="A46" s="240"/>
      <c r="B46" s="276"/>
      <c r="C46" s="240"/>
      <c r="D46" s="240"/>
      <c r="E46" s="240"/>
      <c r="F46" s="240"/>
      <c r="G46" s="240"/>
      <c r="H46" s="240"/>
      <c r="I46" s="240"/>
      <c r="J46" s="240"/>
      <c r="K46" s="240"/>
    </row>
    <row r="47" spans="1:16" ht="12.6" customHeight="1">
      <c r="A47" s="245"/>
      <c r="B47" s="277"/>
      <c r="C47" s="245"/>
      <c r="D47" s="245"/>
      <c r="E47" s="245"/>
      <c r="F47" s="245"/>
      <c r="G47" s="245"/>
      <c r="H47" s="245"/>
      <c r="I47" s="245"/>
      <c r="J47" s="245"/>
      <c r="K47" s="245"/>
    </row>
    <row r="48" spans="1:16" ht="12.6" customHeight="1">
      <c r="A48" s="278"/>
      <c r="B48" s="279"/>
      <c r="C48" s="278"/>
      <c r="D48" s="278"/>
      <c r="E48" s="278"/>
      <c r="F48" s="278"/>
      <c r="G48" s="278"/>
      <c r="H48" s="278"/>
      <c r="I48" s="278"/>
      <c r="J48" s="278"/>
      <c r="K48" s="278"/>
    </row>
    <row r="49" spans="1:11" ht="12.6" customHeight="1">
      <c r="A49" s="278"/>
      <c r="B49" s="280"/>
      <c r="C49" s="278"/>
      <c r="D49" s="278"/>
      <c r="E49" s="278"/>
      <c r="F49" s="278"/>
      <c r="G49" s="278"/>
      <c r="H49" s="278"/>
      <c r="I49" s="278"/>
      <c r="J49" s="278"/>
      <c r="K49" s="278"/>
    </row>
    <row r="50" spans="1:11" ht="12.6" customHeight="1">
      <c r="A50" s="278"/>
      <c r="B50" s="280"/>
      <c r="C50" s="278"/>
      <c r="D50" s="278"/>
      <c r="E50" s="278"/>
      <c r="F50" s="278"/>
      <c r="G50" s="278"/>
      <c r="H50" s="278"/>
      <c r="I50" s="278"/>
      <c r="J50" s="278"/>
      <c r="K50" s="278"/>
    </row>
    <row r="51" spans="1:11" ht="12.6" customHeight="1">
      <c r="A51" s="278"/>
      <c r="B51" s="280"/>
      <c r="C51" s="278"/>
      <c r="D51" s="278"/>
      <c r="E51" s="278"/>
      <c r="F51" s="278"/>
      <c r="G51" s="278"/>
      <c r="H51" s="278"/>
      <c r="I51" s="278"/>
      <c r="J51" s="278"/>
      <c r="K51" s="278"/>
    </row>
    <row r="52" spans="1:11" ht="12.6" customHeight="1">
      <c r="A52" s="278"/>
      <c r="B52" s="280"/>
      <c r="C52" s="278"/>
      <c r="D52" s="278"/>
      <c r="E52" s="278"/>
      <c r="F52" s="278"/>
      <c r="G52" s="278"/>
      <c r="H52" s="278"/>
      <c r="I52" s="278"/>
      <c r="J52" s="278"/>
      <c r="K52" s="278"/>
    </row>
    <row r="53" spans="1:11" ht="12.6" customHeight="1">
      <c r="A53" s="278"/>
      <c r="B53" s="280"/>
      <c r="C53" s="278"/>
      <c r="D53" s="278"/>
      <c r="E53" s="278"/>
      <c r="F53" s="278"/>
      <c r="G53" s="278"/>
      <c r="H53" s="278"/>
      <c r="I53" s="278"/>
      <c r="J53" s="278"/>
      <c r="K53" s="278"/>
    </row>
    <row r="54" spans="1:11" ht="12.6" customHeight="1">
      <c r="A54" s="278"/>
      <c r="B54" s="280"/>
      <c r="C54" s="278"/>
      <c r="D54" s="278"/>
      <c r="E54" s="278"/>
      <c r="F54" s="278"/>
      <c r="G54" s="278"/>
      <c r="H54" s="278"/>
      <c r="I54" s="278"/>
      <c r="J54" s="278"/>
      <c r="K54" s="278"/>
    </row>
    <row r="55" spans="1:11" ht="12.6" customHeight="1">
      <c r="A55" s="278"/>
      <c r="B55" s="280"/>
      <c r="C55" s="278"/>
      <c r="D55" s="278"/>
      <c r="E55" s="278"/>
      <c r="F55" s="278"/>
      <c r="G55" s="278"/>
      <c r="H55" s="278"/>
      <c r="I55" s="278"/>
      <c r="J55" s="278"/>
      <c r="K55" s="278"/>
    </row>
    <row r="56" spans="1:11" ht="12.6" customHeight="1">
      <c r="A56" s="278"/>
      <c r="B56" s="280"/>
      <c r="C56" s="278"/>
      <c r="D56" s="278"/>
      <c r="E56" s="278"/>
      <c r="F56" s="278"/>
      <c r="G56" s="278"/>
      <c r="H56" s="278"/>
      <c r="I56" s="278"/>
      <c r="J56" s="278"/>
      <c r="K56" s="278"/>
    </row>
    <row r="57" spans="1:11" ht="12.6" customHeight="1">
      <c r="A57" s="278"/>
      <c r="B57" s="280"/>
      <c r="C57" s="278"/>
      <c r="D57" s="278"/>
      <c r="E57" s="278"/>
      <c r="F57" s="278"/>
      <c r="G57" s="278"/>
      <c r="H57" s="278"/>
      <c r="I57" s="278"/>
      <c r="J57" s="278"/>
      <c r="K57" s="278"/>
    </row>
    <row r="58" spans="1:11" ht="12.6" customHeight="1">
      <c r="A58" s="278"/>
      <c r="B58" s="280"/>
      <c r="C58" s="278"/>
      <c r="D58" s="278"/>
      <c r="E58" s="278"/>
      <c r="F58" s="278"/>
      <c r="G58" s="278"/>
      <c r="H58" s="278"/>
      <c r="I58" s="278"/>
      <c r="J58" s="278"/>
      <c r="K58" s="278"/>
    </row>
    <row r="59" spans="1:11" ht="12.6" customHeight="1">
      <c r="A59" s="278"/>
      <c r="B59" s="280"/>
      <c r="C59" s="278"/>
      <c r="D59" s="278"/>
      <c r="E59" s="278"/>
      <c r="F59" s="278"/>
      <c r="G59" s="278"/>
      <c r="H59" s="278"/>
      <c r="I59" s="278"/>
      <c r="J59" s="278"/>
      <c r="K59" s="278"/>
    </row>
    <row r="60" spans="1:11" ht="12.6" customHeight="1">
      <c r="A60" s="278"/>
      <c r="B60" s="280"/>
      <c r="C60" s="278"/>
      <c r="D60" s="278"/>
      <c r="E60" s="278"/>
      <c r="F60" s="278"/>
      <c r="G60" s="278"/>
      <c r="H60" s="278"/>
      <c r="I60" s="278"/>
      <c r="J60" s="278"/>
      <c r="K60" s="278"/>
    </row>
    <row r="61" spans="1:11" ht="12.6" customHeight="1">
      <c r="A61" s="278"/>
      <c r="B61" s="280"/>
      <c r="C61" s="278"/>
      <c r="D61" s="278"/>
      <c r="E61" s="278"/>
      <c r="F61" s="278"/>
      <c r="G61" s="278"/>
      <c r="H61" s="278"/>
      <c r="I61" s="278"/>
      <c r="J61" s="278"/>
      <c r="K61" s="278"/>
    </row>
  </sheetData>
  <sheetProtection algorithmName="SHA-512" hashValue="Wr0HMq7Tr0SOiHVvXTygHyoN7efA6aBacp7pQpDbXCr8wPgQLH3RDRoacT2Xc36P2veb1S9M0yTwuFzS3IQ2jQ==" saltValue="wSmkbzdXa2vCaZlKn417lQ==" spinCount="100000" sheet="1" objects="1" scenarios="1"/>
  <mergeCells count="6">
    <mergeCell ref="A10:K10"/>
    <mergeCell ref="A28:K28"/>
    <mergeCell ref="M28:O28"/>
    <mergeCell ref="A42:K42"/>
    <mergeCell ref="A43:K43"/>
    <mergeCell ref="A35:K35"/>
  </mergeCells>
  <phoneticPr fontId="10" type="noConversion"/>
  <hyperlinks>
    <hyperlink ref="L1" location="Contents!F1" display="Return to Contents page"/>
  </hyperlinks>
  <printOptions horizontalCentered="1"/>
  <pageMargins left="0.25" right="0.25" top="0.35" bottom="0.5" header="0.5" footer="0.5"/>
  <pageSetup scale="90" orientation="landscape" blackAndWhite="1" r:id="rId1"/>
  <headerFooter alignWithMargins="0">
    <oddFooter>&amp;L&amp;D     &amp;T &amp;CCode No. 05</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4" tint="0.39997558519241921"/>
  </sheetPr>
  <dimension ref="A1:AR989"/>
  <sheetViews>
    <sheetView zoomScaleNormal="100" workbookViewId="0">
      <selection activeCell="D174" sqref="D174"/>
    </sheetView>
  </sheetViews>
  <sheetFormatPr defaultColWidth="12.7109375" defaultRowHeight="12.75" customHeight="1"/>
  <cols>
    <col min="1" max="1" width="28.42578125" style="8" customWidth="1"/>
    <col min="2" max="2" width="17.7109375" style="8" customWidth="1"/>
    <col min="3" max="3" width="1.28515625" style="8" customWidth="1"/>
    <col min="4" max="4" width="17.28515625" style="8" customWidth="1"/>
    <col min="5" max="5" width="1.28515625" style="8" customWidth="1"/>
    <col min="6" max="6" width="18" style="8" customWidth="1"/>
    <col min="7" max="7" width="31.140625" style="8" customWidth="1"/>
    <col min="8" max="8" width="23.5703125" style="8" customWidth="1"/>
    <col min="9" max="9" width="13.85546875" style="8" customWidth="1"/>
    <col min="10" max="11" width="12.7109375" style="8" customWidth="1"/>
    <col min="12" max="12" width="25" style="8" customWidth="1"/>
    <col min="13" max="13" width="17.7109375" style="8" customWidth="1"/>
    <col min="14" max="14" width="11.5703125" style="8" customWidth="1"/>
    <col min="15" max="15" width="15.5703125" style="8" customWidth="1"/>
    <col min="16" max="16" width="14.7109375" style="8" customWidth="1"/>
    <col min="17" max="17" width="16.7109375" style="8" customWidth="1"/>
    <col min="18" max="18" width="18.28515625" style="8" customWidth="1"/>
    <col min="19" max="19" width="14.42578125" style="8" customWidth="1"/>
    <col min="20" max="23" width="12.7109375" style="8" customWidth="1"/>
    <col min="24" max="25" width="14" style="8" customWidth="1"/>
    <col min="26" max="27" width="14.42578125" style="8" customWidth="1"/>
    <col min="28" max="28" width="14.140625" style="8" customWidth="1"/>
    <col min="29" max="30" width="12.7109375" style="8" customWidth="1"/>
    <col min="31" max="31" width="8.85546875" style="8" customWidth="1"/>
    <col min="32" max="32" width="11.140625" style="8" customWidth="1"/>
    <col min="33" max="33" width="8.5703125" style="8" customWidth="1"/>
    <col min="34" max="34" width="10.85546875" style="8" customWidth="1"/>
    <col min="35" max="35" width="10.42578125" style="8" customWidth="1"/>
    <col min="36" max="39" width="12.7109375" style="8" customWidth="1"/>
    <col min="40" max="40" width="33.140625" style="8" customWidth="1"/>
    <col min="41" max="16384" width="12.7109375" style="8"/>
  </cols>
  <sheetData>
    <row r="1" spans="1:21" s="4" customFormat="1" ht="16.5" customHeight="1">
      <c r="A1" s="1"/>
      <c r="B1" s="2"/>
      <c r="C1" s="2"/>
      <c r="D1" s="2"/>
      <c r="E1" s="2"/>
      <c r="F1" s="3"/>
      <c r="G1" s="3011"/>
      <c r="H1" s="3011" t="s">
        <v>866</v>
      </c>
      <c r="L1" s="3725"/>
      <c r="M1" s="3725" t="s">
        <v>1082</v>
      </c>
    </row>
    <row r="2" spans="1:21" s="4" customFormat="1" ht="13.5" customHeight="1">
      <c r="A2" s="5"/>
      <c r="B2" s="5"/>
      <c r="C2" s="5"/>
      <c r="D2" s="5"/>
      <c r="E2" s="5"/>
      <c r="L2" s="3725"/>
      <c r="M2" s="3739" t="s">
        <v>750</v>
      </c>
      <c r="N2" s="3725" t="s">
        <v>2435</v>
      </c>
    </row>
    <row r="3" spans="1:21" ht="15.75" customHeight="1">
      <c r="A3" s="6" t="s">
        <v>986</v>
      </c>
      <c r="B3" s="3109" t="str">
        <f>VLOOKUP(B4,DATA!$A$3:$AT$288,2,FALSE)</f>
        <v>270 - Plainville</v>
      </c>
      <c r="C3" s="7"/>
      <c r="D3" s="7"/>
      <c r="E3" s="5"/>
      <c r="F3" s="4"/>
      <c r="G3" s="4"/>
      <c r="L3" s="3727"/>
      <c r="M3" s="3739" t="s">
        <v>751</v>
      </c>
      <c r="N3" s="3742">
        <v>42522</v>
      </c>
      <c r="O3" s="4"/>
      <c r="P3" s="4"/>
      <c r="Q3" s="4"/>
    </row>
    <row r="4" spans="1:21" ht="14.25" customHeight="1">
      <c r="A4" s="6" t="s">
        <v>987</v>
      </c>
      <c r="B4" s="9">
        <v>270</v>
      </c>
      <c r="C4" s="5"/>
      <c r="D4" s="5" t="s">
        <v>988</v>
      </c>
      <c r="E4" s="5"/>
      <c r="F4" s="4"/>
      <c r="G4" s="4"/>
      <c r="L4" s="3727"/>
      <c r="M4" s="3739" t="s">
        <v>752</v>
      </c>
      <c r="N4" s="3725" t="s">
        <v>1694</v>
      </c>
      <c r="O4" s="3725" t="s">
        <v>1851</v>
      </c>
      <c r="P4" s="3725" t="s">
        <v>2435</v>
      </c>
      <c r="Q4" s="3739" t="s">
        <v>1421</v>
      </c>
      <c r="R4" s="3727" t="s">
        <v>1555</v>
      </c>
      <c r="S4" s="3727" t="s">
        <v>1708</v>
      </c>
      <c r="T4" s="3727" t="s">
        <v>1455</v>
      </c>
      <c r="U4" s="3741" t="s">
        <v>1454</v>
      </c>
    </row>
    <row r="5" spans="1:21" ht="15" customHeight="1">
      <c r="A5" s="6" t="s">
        <v>989</v>
      </c>
      <c r="B5" s="3109" t="str">
        <f>VLOOKUP(B4,DATA!$A$3:$AT$288,3,FALSE)</f>
        <v>Rooks</v>
      </c>
      <c r="C5" s="5"/>
      <c r="D5" s="5"/>
      <c r="E5" s="5"/>
      <c r="F5" s="4"/>
      <c r="G5" s="4"/>
      <c r="L5" s="3727"/>
      <c r="M5" s="3739" t="s">
        <v>753</v>
      </c>
      <c r="N5" s="3725">
        <v>2013</v>
      </c>
      <c r="O5" s="3725">
        <v>2014</v>
      </c>
      <c r="P5" s="3725">
        <v>2015</v>
      </c>
      <c r="Q5" s="3725">
        <v>2016</v>
      </c>
      <c r="S5" s="3727">
        <v>2017</v>
      </c>
      <c r="T5" s="3727">
        <v>2012</v>
      </c>
      <c r="U5" s="3727">
        <v>2018</v>
      </c>
    </row>
    <row r="6" spans="1:21" s="4" customFormat="1" ht="12.75" customHeight="1">
      <c r="A6" s="2741" t="str">
        <f>IF(AND(A7=" ",A8=" ",A9=" ")," ","The following red error messages will disappear when item is completed:")</f>
        <v xml:space="preserve"> </v>
      </c>
      <c r="B6" s="5"/>
      <c r="C6" s="5"/>
      <c r="D6" s="5"/>
      <c r="E6" s="5"/>
      <c r="F6" s="3605"/>
      <c r="L6" s="3725"/>
      <c r="M6" s="3739" t="s">
        <v>754</v>
      </c>
      <c r="N6" s="3725" t="s">
        <v>2436</v>
      </c>
    </row>
    <row r="7" spans="1:21" s="4" customFormat="1" ht="12.75" customHeight="1">
      <c r="A7" s="2773" t="str">
        <f>IF(A120&gt;0," ","    *Delinquent tax rate for "&amp;P14&amp;" left blank on Open.")</f>
        <v xml:space="preserve"> </v>
      </c>
      <c r="B7" s="5"/>
      <c r="C7" s="5"/>
      <c r="D7" s="2773"/>
      <c r="E7" s="5"/>
      <c r="L7" s="3725"/>
      <c r="M7" s="3739"/>
      <c r="N7" s="4017"/>
    </row>
    <row r="8" spans="1:21" s="4" customFormat="1" ht="12.75" customHeight="1">
      <c r="A8" s="4104" t="str">
        <f>IF(A150=0,"    *FTE Enrollment for budgeted year not filled out on Open page."," ")</f>
        <v xml:space="preserve"> </v>
      </c>
      <c r="B8" s="10"/>
      <c r="C8" s="5"/>
      <c r="D8" s="5"/>
      <c r="E8" s="5"/>
      <c r="L8" s="3725"/>
      <c r="M8" s="3739" t="s">
        <v>755</v>
      </c>
      <c r="N8" s="3725" t="s">
        <v>1709</v>
      </c>
      <c r="O8" s="3725"/>
      <c r="P8" s="3725"/>
      <c r="R8" s="3739" t="s">
        <v>299</v>
      </c>
      <c r="S8" s="3725" t="s">
        <v>2441</v>
      </c>
      <c r="T8" s="3725" t="s">
        <v>2443</v>
      </c>
    </row>
    <row r="9" spans="1:21" ht="12.75" customHeight="1">
      <c r="A9" s="2875" t="str">
        <f>IF(OR(Salaries!B79=0,Salaries!C79=0,Salaries!F79=0,Salaries!G79=0,Salaries!J79=0,Salaries!K79=0),"    *Salaries page incomplete."," ")</f>
        <v xml:space="preserve"> </v>
      </c>
      <c r="B9" s="2773"/>
      <c r="C9" s="5"/>
      <c r="D9" s="4105" t="str">
        <f>IF(A156&gt;0," ","*Headcount Eligible for Reduced Meals not filled out on Open.")</f>
        <v xml:space="preserve"> </v>
      </c>
      <c r="E9" s="5"/>
      <c r="F9" s="4"/>
      <c r="G9" s="4"/>
      <c r="L9" s="3727"/>
      <c r="M9" s="3725"/>
      <c r="N9" s="3725" t="s">
        <v>1724</v>
      </c>
      <c r="O9" s="3725"/>
      <c r="P9" s="3725"/>
      <c r="Q9" s="4"/>
      <c r="R9" s="3727"/>
      <c r="S9" s="3727" t="s">
        <v>2442</v>
      </c>
      <c r="T9" s="3727" t="s">
        <v>2444</v>
      </c>
    </row>
    <row r="10" spans="1:21" ht="12.75" customHeight="1">
      <c r="A10" s="11">
        <f>VLOOKUP($B$4,DATA!$A$3:$AT$288,4,FALSE)</f>
        <v>67654713</v>
      </c>
      <c r="B10" s="4" t="str">
        <f>"Final "&amp;O5&amp;" Assessed Valuation (All funds except General.)"</f>
        <v>Final 2014 Assessed Valuation (All funds except General.)</v>
      </c>
      <c r="C10" s="5"/>
      <c r="D10" s="5"/>
      <c r="E10" s="5"/>
      <c r="F10" s="4"/>
      <c r="G10" s="4"/>
      <c r="L10" s="3727"/>
      <c r="M10" s="3725"/>
      <c r="N10" s="3725" t="s">
        <v>1852</v>
      </c>
      <c r="O10" s="3725"/>
      <c r="P10" s="3725"/>
      <c r="Q10" s="4"/>
      <c r="R10" s="3727"/>
      <c r="S10" s="3738">
        <v>42891</v>
      </c>
      <c r="T10" s="3727"/>
    </row>
    <row r="11" spans="1:21" s="4" customFormat="1" ht="14.1" customHeight="1">
      <c r="A11" s="11">
        <f>VLOOKUP($B$4,DATA!A3:AT288,5,FALSE)</f>
        <v>65214308</v>
      </c>
      <c r="B11" s="4" t="str">
        <f>"Final "&amp;O5&amp;" General Fund Assessed Valuation"</f>
        <v>Final 2014 General Fund Assessed Valuation</v>
      </c>
      <c r="C11" s="5"/>
      <c r="D11" s="5"/>
      <c r="E11" s="5"/>
      <c r="L11" s="3725"/>
      <c r="M11" s="3725"/>
      <c r="N11" s="3725" t="s">
        <v>2437</v>
      </c>
      <c r="O11" s="3725" t="s">
        <v>2438</v>
      </c>
      <c r="P11" s="3725"/>
    </row>
    <row r="12" spans="1:21" ht="12.75" customHeight="1">
      <c r="A12" s="11">
        <f>VLOOKUP($B$4,DATA!A3:AT288,6,FALSE)</f>
        <v>34939439</v>
      </c>
      <c r="B12" s="4" t="str">
        <f>"Final "&amp;P5&amp;" Assessed Valuation (All funds except General.)"</f>
        <v>Final 2015 Assessed Valuation (All funds except General.)</v>
      </c>
      <c r="C12" s="5"/>
      <c r="D12" s="5"/>
      <c r="E12" s="5"/>
      <c r="F12" s="4"/>
      <c r="G12" s="4"/>
      <c r="L12" s="3727"/>
      <c r="M12" s="3740" t="s">
        <v>1220</v>
      </c>
      <c r="N12" s="3727" t="s">
        <v>1853</v>
      </c>
      <c r="O12" s="3727" t="s">
        <v>2439</v>
      </c>
      <c r="P12" s="3727" t="s">
        <v>2440</v>
      </c>
      <c r="R12" s="3489"/>
    </row>
    <row r="13" spans="1:21" ht="12.75" customHeight="1">
      <c r="A13" s="11">
        <f>VLOOKUP($B$4,DATA!A3:AT288,7,FALSE)</f>
        <v>32487106</v>
      </c>
      <c r="B13" s="4" t="str">
        <f>"Final "&amp;P5&amp;" General Fund Assessed Valuation"</f>
        <v>Final 2015 General Fund Assessed Valuation</v>
      </c>
      <c r="C13" s="5"/>
      <c r="D13" s="5"/>
      <c r="E13" s="5"/>
      <c r="F13" s="4"/>
      <c r="G13" s="4"/>
      <c r="L13" s="3727"/>
      <c r="M13" s="3727"/>
      <c r="R13" s="3808"/>
    </row>
    <row r="14" spans="1:21" ht="14.1" customHeight="1">
      <c r="A14" s="12">
        <v>31631113</v>
      </c>
      <c r="B14" s="4" t="str">
        <f>Q5&amp;" Assessed Valuation (All funds except General.) "</f>
        <v xml:space="preserve">2016 Assessed Valuation (All funds except General.) </v>
      </c>
      <c r="C14" s="5"/>
      <c r="D14" s="5"/>
      <c r="E14" s="5"/>
      <c r="F14" s="4"/>
      <c r="G14" s="4"/>
      <c r="L14" s="3727"/>
      <c r="M14" s="3740" t="s">
        <v>1408</v>
      </c>
      <c r="N14" s="3727" t="s">
        <v>1725</v>
      </c>
      <c r="O14" s="3727" t="s">
        <v>1854</v>
      </c>
      <c r="P14" s="3727" t="s">
        <v>2445</v>
      </c>
    </row>
    <row r="15" spans="1:21" ht="14.1" customHeight="1">
      <c r="A15" s="4195"/>
      <c r="B15" s="4"/>
      <c r="C15" s="5"/>
      <c r="D15" s="5"/>
      <c r="E15" s="5"/>
      <c r="F15" s="4"/>
      <c r="G15" s="4"/>
      <c r="L15" s="3727"/>
      <c r="M15" s="3728"/>
      <c r="N15" s="3740" t="s">
        <v>1367</v>
      </c>
      <c r="O15" s="3740"/>
      <c r="P15" s="3740" t="s">
        <v>1476</v>
      </c>
      <c r="Q15" s="3740"/>
      <c r="R15" s="3740"/>
      <c r="S15" s="3740"/>
    </row>
    <row r="16" spans="1:21" ht="12.75" customHeight="1">
      <c r="A16" s="12">
        <v>29179965</v>
      </c>
      <c r="B16" s="4" t="str">
        <f>Q5&amp;" General Fund Assessed Valuation"</f>
        <v>2016 General Fund Assessed Valuation</v>
      </c>
      <c r="C16" s="5"/>
      <c r="D16" s="5"/>
      <c r="E16" s="5"/>
      <c r="F16" s="4"/>
      <c r="G16" s="4"/>
      <c r="L16" s="3727"/>
      <c r="M16" s="3740" t="s">
        <v>1366</v>
      </c>
      <c r="N16" s="5012">
        <v>27500</v>
      </c>
      <c r="O16" s="3643"/>
      <c r="P16" s="5013" t="s">
        <v>2464</v>
      </c>
      <c r="Q16" s="3272"/>
      <c r="S16" s="3727"/>
      <c r="T16" s="3740"/>
    </row>
    <row r="17" spans="1:24" s="4" customFormat="1" ht="12" customHeight="1">
      <c r="A17" s="12"/>
      <c r="B17" s="4" t="str">
        <f>Q5&amp;" Assessed Valuation for Bond and Interest #2 (Only use if you have a different"</f>
        <v>2016 Assessed Valuation for Bond and Interest #2 (Only use if you have a different</v>
      </c>
      <c r="C17" s="5"/>
      <c r="D17" s="5"/>
      <c r="E17" s="5"/>
      <c r="H17" s="8"/>
      <c r="I17" s="8"/>
      <c r="J17" s="8"/>
      <c r="L17" s="3725"/>
      <c r="M17" s="3739" t="s">
        <v>905</v>
      </c>
      <c r="N17" s="3737" t="s">
        <v>1726</v>
      </c>
      <c r="O17" s="3737" t="s">
        <v>1855</v>
      </c>
      <c r="P17" s="3737" t="s">
        <v>2446</v>
      </c>
      <c r="Q17" s="3081"/>
      <c r="R17" s="3081"/>
      <c r="S17" s="3081"/>
    </row>
    <row r="18" spans="1:24" s="4" customFormat="1" ht="12" customHeight="1">
      <c r="A18" s="13"/>
      <c r="B18" s="4" t="str">
        <f>IF(B4=113,"assessed valuation for the bond and interest #2 fund) - Bond &amp; Interest #1 for USD 441","assessed valuation for the bond and interest #2 fund.)")</f>
        <v>assessed valuation for the bond and interest #2 fund.)</v>
      </c>
      <c r="C18" s="5"/>
      <c r="D18" s="5"/>
      <c r="E18" s="5"/>
      <c r="L18" s="3725"/>
      <c r="M18" s="3739"/>
      <c r="N18" s="3081"/>
      <c r="O18" s="3081"/>
      <c r="P18" s="3081"/>
      <c r="Q18" s="3081"/>
      <c r="R18" s="3081"/>
      <c r="S18" s="3081"/>
    </row>
    <row r="19" spans="1:24" s="4" customFormat="1" ht="18" customHeight="1">
      <c r="A19" s="12"/>
      <c r="B19" s="4" t="str">
        <f>IF(ISERROR(VLOOKUP(B4,L60:M76,2,FALSE)),"LEAVE BLANK",VLOOKUP(B4,L60:M76,2,FALSE))</f>
        <v>LEAVE BLANK</v>
      </c>
      <c r="C19" s="5"/>
      <c r="D19" s="5"/>
      <c r="E19" s="5"/>
      <c r="L19" s="3725"/>
      <c r="M19" s="3725"/>
      <c r="N19" s="3743" t="s">
        <v>858</v>
      </c>
      <c r="O19" s="3739" t="s">
        <v>1707</v>
      </c>
      <c r="P19" s="3739" t="s">
        <v>1706</v>
      </c>
      <c r="Q19" s="3725" t="s">
        <v>1440</v>
      </c>
      <c r="R19" s="3725" t="s">
        <v>1459</v>
      </c>
      <c r="S19" s="3725" t="s">
        <v>1488</v>
      </c>
      <c r="T19" s="3725" t="s">
        <v>1556</v>
      </c>
      <c r="U19" s="3725" t="s">
        <v>1705</v>
      </c>
      <c r="V19" s="3725" t="s">
        <v>1727</v>
      </c>
      <c r="W19" s="3725" t="s">
        <v>1856</v>
      </c>
      <c r="X19" s="3725" t="s">
        <v>2447</v>
      </c>
    </row>
    <row r="20" spans="1:24" s="4" customFormat="1" ht="12.75" customHeight="1">
      <c r="A20" s="14"/>
      <c r="B20" s="15" t="str">
        <f>N14&amp;" Mill Rates"</f>
        <v>2014-15 Mill Rates</v>
      </c>
      <c r="D20" s="15" t="str">
        <f>O14&amp;" Mill Rates"</f>
        <v>2015-16 Mill Rates</v>
      </c>
      <c r="E20" s="5"/>
      <c r="F20" s="5" t="str">
        <f>O5&amp;" Taxes Levied"</f>
        <v>2014 Taxes Levied</v>
      </c>
      <c r="G20" s="5"/>
      <c r="L20" s="3725"/>
      <c r="M20" s="3739" t="s">
        <v>1933</v>
      </c>
      <c r="O20" s="3725"/>
      <c r="P20" s="3725"/>
      <c r="Q20" s="3725"/>
      <c r="R20" s="3725"/>
      <c r="S20" s="3725"/>
      <c r="T20" s="3725"/>
      <c r="U20" s="3725"/>
      <c r="W20" s="3725" t="s">
        <v>1857</v>
      </c>
      <c r="X20" s="3725" t="s">
        <v>1857</v>
      </c>
    </row>
    <row r="21" spans="1:24" ht="12.75" customHeight="1">
      <c r="A21" s="14"/>
      <c r="B21" s="3" t="s">
        <v>991</v>
      </c>
      <c r="C21" s="2"/>
      <c r="D21" s="2"/>
      <c r="E21" s="5"/>
      <c r="F21" s="4" t="s">
        <v>992</v>
      </c>
      <c r="G21" s="3"/>
      <c r="H21" s="4"/>
      <c r="I21" s="4"/>
      <c r="J21" s="16"/>
      <c r="L21" s="3727"/>
      <c r="M21" s="3740" t="s">
        <v>699</v>
      </c>
      <c r="N21" s="3730">
        <v>0.39500000000000002</v>
      </c>
      <c r="O21" s="3727"/>
      <c r="P21" s="3731"/>
      <c r="Q21" s="3727"/>
      <c r="R21" s="3731"/>
      <c r="S21" s="3727">
        <v>0.39500000000000002</v>
      </c>
      <c r="T21" s="3727"/>
      <c r="U21" s="3727"/>
      <c r="W21" s="4199" t="s">
        <v>1895</v>
      </c>
      <c r="X21" s="3727" t="s">
        <v>1895</v>
      </c>
    </row>
    <row r="22" spans="1:24" ht="12.75" customHeight="1">
      <c r="A22" s="14" t="s">
        <v>993</v>
      </c>
      <c r="B22" s="3829">
        <f>VLOOKUP($B$4,DATA1!$A$3:$AM$288,2,FALSE)</f>
        <v>20</v>
      </c>
      <c r="C22" s="3828"/>
      <c r="D22" s="3829">
        <f>VLOOKUP($B$4,DATA1!$A$3:$AM$288,21,FALSE)</f>
        <v>20</v>
      </c>
      <c r="E22" s="5"/>
      <c r="F22" s="4176">
        <f>ROUND(A11*(B22/1000),0)</f>
        <v>1304286</v>
      </c>
      <c r="G22" s="20"/>
      <c r="L22" s="3727"/>
      <c r="M22" s="3740" t="s">
        <v>700</v>
      </c>
      <c r="N22" s="3730">
        <v>0.5</v>
      </c>
      <c r="O22" s="3727"/>
      <c r="P22" s="3731"/>
      <c r="Q22" s="3727"/>
      <c r="R22" s="3727"/>
      <c r="S22" s="3727">
        <v>0.5</v>
      </c>
      <c r="T22" s="3727"/>
      <c r="U22" s="3727"/>
      <c r="W22" s="4199" t="s">
        <v>1895</v>
      </c>
      <c r="X22" s="3727" t="s">
        <v>1895</v>
      </c>
    </row>
    <row r="23" spans="1:24" ht="12.75" customHeight="1">
      <c r="A23" s="14" t="s">
        <v>994</v>
      </c>
      <c r="B23" s="3829">
        <f>VLOOKUP($B$4,DATA1!$A$3:$AM$288,3,FALSE)</f>
        <v>14.792999999999999</v>
      </c>
      <c r="C23" s="3828"/>
      <c r="D23" s="3829">
        <f>VLOOKUP($B$4,DATA1!$A$3:$AM$288,22,FALSE)</f>
        <v>9.6880000000000006</v>
      </c>
      <c r="E23" s="5"/>
      <c r="F23" s="19">
        <v>1005230</v>
      </c>
      <c r="G23" s="20"/>
      <c r="L23" s="3727"/>
      <c r="M23" s="3740" t="s">
        <v>701</v>
      </c>
      <c r="N23" s="3730">
        <v>0.45600000000000002</v>
      </c>
      <c r="O23" s="3731">
        <v>0.378</v>
      </c>
      <c r="P23" s="3731">
        <v>0.45600000000000002</v>
      </c>
      <c r="Q23" s="3727">
        <v>0.45600000000000002</v>
      </c>
      <c r="R23" s="3727">
        <v>0.45600000000000002</v>
      </c>
      <c r="S23" s="3727">
        <v>0.45600000000000002</v>
      </c>
      <c r="T23" s="3727"/>
      <c r="U23" s="3727"/>
      <c r="W23" s="4199" t="s">
        <v>1895</v>
      </c>
      <c r="X23" s="3727" t="s">
        <v>1895</v>
      </c>
    </row>
    <row r="24" spans="1:24" ht="12.75" customHeight="1">
      <c r="A24" s="14" t="s">
        <v>995</v>
      </c>
      <c r="B24" s="3829">
        <f>VLOOKUP($B$4,DATA1!$A$3:$AM$288,4,FALSE)</f>
        <v>0</v>
      </c>
      <c r="C24" s="3828"/>
      <c r="D24" s="3829">
        <f>VLOOKUP($B$4,DATA1!$A$3:$AM$288,23,FALSE)</f>
        <v>0</v>
      </c>
      <c r="E24" s="5"/>
      <c r="F24" s="19">
        <v>0</v>
      </c>
      <c r="G24" s="20"/>
      <c r="L24" s="3727"/>
      <c r="M24" s="3740" t="s">
        <v>702</v>
      </c>
      <c r="N24" s="3730">
        <v>0.25</v>
      </c>
      <c r="O24" s="3727"/>
      <c r="P24" s="3731"/>
      <c r="Q24" s="3727"/>
      <c r="R24" s="3727"/>
      <c r="S24" s="3727">
        <v>0.25</v>
      </c>
      <c r="T24" s="3727"/>
      <c r="U24" s="3727"/>
      <c r="W24" s="4199" t="s">
        <v>1895</v>
      </c>
      <c r="X24" s="3727" t="s">
        <v>1895</v>
      </c>
    </row>
    <row r="25" spans="1:24" ht="12.75" customHeight="1">
      <c r="A25" s="14" t="s">
        <v>996</v>
      </c>
      <c r="B25" s="3829">
        <f>VLOOKUP($B$4,DATA1!$A$3:$AM$288,5,FALSE)</f>
        <v>8</v>
      </c>
      <c r="C25" s="3828"/>
      <c r="D25" s="3829">
        <f>VLOOKUP($B$4,DATA1!$A$3:$AM$288,24,FALSE)</f>
        <v>8</v>
      </c>
      <c r="E25" s="5"/>
      <c r="F25" s="19">
        <v>543625</v>
      </c>
      <c r="G25" s="20"/>
      <c r="L25" s="3727"/>
      <c r="M25" s="3740" t="s">
        <v>1932</v>
      </c>
      <c r="N25" s="3809">
        <v>3852</v>
      </c>
      <c r="O25" s="3731">
        <v>4374</v>
      </c>
      <c r="P25" s="3731">
        <v>4433</v>
      </c>
      <c r="Q25" s="3727">
        <v>4218</v>
      </c>
      <c r="R25" s="3727">
        <v>4012</v>
      </c>
      <c r="S25" s="3727">
        <v>3780</v>
      </c>
      <c r="T25" s="3727">
        <v>3838</v>
      </c>
      <c r="U25" s="3727">
        <v>3838</v>
      </c>
      <c r="V25" s="3727">
        <v>3852</v>
      </c>
      <c r="W25" s="4199">
        <v>3852</v>
      </c>
      <c r="X25" s="3727">
        <v>3852</v>
      </c>
    </row>
    <row r="26" spans="1:24" ht="12.75" customHeight="1">
      <c r="A26" s="2572" t="s">
        <v>1005</v>
      </c>
      <c r="B26" s="3829">
        <f>VLOOKUP($B$4,DATA1!$A$3:$AM$288,6,FALSE)</f>
        <v>0</v>
      </c>
      <c r="C26" s="3828"/>
      <c r="D26" s="3829">
        <f>VLOOKUP($B$4,DATA1!$A$3:$AM$288,25,FALSE)</f>
        <v>0</v>
      </c>
      <c r="E26" s="5"/>
      <c r="F26" s="19">
        <v>0</v>
      </c>
      <c r="G26" s="20"/>
      <c r="H26" s="3809"/>
      <c r="L26" s="3727"/>
      <c r="M26" s="3727" t="s">
        <v>2516</v>
      </c>
      <c r="N26" s="5088">
        <v>5000</v>
      </c>
      <c r="O26" s="5089">
        <v>1700</v>
      </c>
      <c r="P26" s="5090">
        <v>933</v>
      </c>
      <c r="W26" s="4018"/>
      <c r="X26" s="3727"/>
    </row>
    <row r="27" spans="1:24" ht="12.75" customHeight="1">
      <c r="A27" s="5" t="s">
        <v>997</v>
      </c>
      <c r="B27" s="3829">
        <f>VLOOKUP($B$4,DATA1!$A$3:$AM$288,7,FALSE)</f>
        <v>0</v>
      </c>
      <c r="C27" s="3828"/>
      <c r="D27" s="3829">
        <f>VLOOKUP($B$4,DATA1!$A$3:$AM$288,26,FALSE)</f>
        <v>0</v>
      </c>
      <c r="E27" s="5"/>
      <c r="F27" s="19">
        <v>0</v>
      </c>
      <c r="G27" s="20"/>
      <c r="L27" s="3727"/>
      <c r="M27" s="3740" t="s">
        <v>703</v>
      </c>
      <c r="N27" s="5012">
        <v>90</v>
      </c>
      <c r="O27" s="3809"/>
      <c r="P27" s="3110"/>
      <c r="W27" s="4018"/>
      <c r="X27" s="3727"/>
    </row>
    <row r="28" spans="1:24" ht="12.75" customHeight="1">
      <c r="A28" s="5" t="str">
        <f>O44</f>
        <v>Bond and Interest #1</v>
      </c>
      <c r="B28" s="3829">
        <f>VLOOKUP($B$4,DATA1!$A$3:$AM$288,8,FALSE)</f>
        <v>4.2839999999999998</v>
      </c>
      <c r="C28" s="3828"/>
      <c r="D28" s="3829">
        <f>VLOOKUP($B$4,DATA1!$A$3:$AM$288,27,FALSE)</f>
        <v>7.056</v>
      </c>
      <c r="E28" s="5"/>
      <c r="F28" s="19">
        <v>291007</v>
      </c>
      <c r="G28" s="20"/>
      <c r="L28" s="3727"/>
      <c r="M28" s="3740" t="s">
        <v>704</v>
      </c>
      <c r="N28" s="5012">
        <v>50</v>
      </c>
      <c r="O28" s="3644"/>
      <c r="P28" s="3110"/>
      <c r="W28" s="4018"/>
      <c r="X28" s="3727"/>
    </row>
    <row r="29" spans="1:24" ht="12.75" customHeight="1">
      <c r="A29" s="5" t="str">
        <f>O45</f>
        <v>Bond and Interest #2</v>
      </c>
      <c r="B29" s="3829">
        <f>VLOOKUP($B$4,DATA1!$A$3:$AM$288,9,FALSE)</f>
        <v>0</v>
      </c>
      <c r="C29" s="3828"/>
      <c r="D29" s="3829">
        <f>VLOOKUP($B$4,DATA1!$A$3:$AM$288,28,FALSE)</f>
        <v>0</v>
      </c>
      <c r="E29" s="5"/>
      <c r="F29" s="19"/>
      <c r="G29" s="20"/>
      <c r="L29" s="3735" t="s">
        <v>1463</v>
      </c>
      <c r="M29" s="3740" t="s">
        <v>1462</v>
      </c>
      <c r="N29" s="3809">
        <v>0.03</v>
      </c>
      <c r="O29" s="5244" t="s">
        <v>2654</v>
      </c>
      <c r="W29" s="4018"/>
      <c r="X29" s="3727"/>
    </row>
    <row r="30" spans="1:24" ht="12.75" customHeight="1">
      <c r="A30" s="5" t="s">
        <v>998</v>
      </c>
      <c r="B30" s="3829">
        <f>VLOOKUP($B$4,DATA1!$A$3:$AM$288,10,FALSE)</f>
        <v>0</v>
      </c>
      <c r="C30" s="3828"/>
      <c r="D30" s="3829">
        <f>VLOOKUP($B$4,DATA1!$A$3:$AM$288,29,FALSE)</f>
        <v>0</v>
      </c>
      <c r="E30" s="5"/>
      <c r="F30" s="19"/>
      <c r="G30" s="20"/>
      <c r="L30" s="3727"/>
      <c r="M30" s="3740" t="s">
        <v>1934</v>
      </c>
      <c r="Q30" s="3016" t="s">
        <v>858</v>
      </c>
      <c r="R30" s="3726" t="s">
        <v>1489</v>
      </c>
      <c r="S30" s="3726" t="s">
        <v>1557</v>
      </c>
      <c r="T30" s="3744"/>
      <c r="U30" s="3727" t="s">
        <v>1729</v>
      </c>
      <c r="V30" s="3741" t="s">
        <v>1728</v>
      </c>
      <c r="W30" s="3727" t="s">
        <v>1856</v>
      </c>
      <c r="X30" s="3727" t="s">
        <v>2447</v>
      </c>
    </row>
    <row r="31" spans="1:24" ht="12.75" customHeight="1">
      <c r="A31" s="5" t="s">
        <v>999</v>
      </c>
      <c r="B31" s="3829">
        <f>VLOOKUP($B$4,DATA1!$A$3:$AM$288,11,FALSE)</f>
        <v>0</v>
      </c>
      <c r="C31" s="3828"/>
      <c r="D31" s="3829">
        <f>VLOOKUP($B$4,DATA1!$A$3:$AM$288,30,FALSE)</f>
        <v>0</v>
      </c>
      <c r="E31" s="5"/>
      <c r="F31" s="19"/>
      <c r="G31" s="20"/>
      <c r="L31" s="3727"/>
      <c r="M31" s="3727" t="s">
        <v>1686</v>
      </c>
      <c r="Q31" s="3727">
        <v>0.7</v>
      </c>
      <c r="R31" s="3727">
        <v>0.05</v>
      </c>
      <c r="S31" s="3731">
        <v>0.06</v>
      </c>
      <c r="T31" s="3727"/>
      <c r="U31" s="3727">
        <v>0.7</v>
      </c>
      <c r="V31" s="3727"/>
      <c r="W31" s="3727" t="s">
        <v>1857</v>
      </c>
      <c r="X31" s="3727" t="s">
        <v>1857</v>
      </c>
    </row>
    <row r="32" spans="1:24" ht="12.75" customHeight="1">
      <c r="A32" s="5" t="s">
        <v>1000</v>
      </c>
      <c r="B32" s="3829">
        <f>VLOOKUP($B$4,DATA1!$A$3:$AM$288,12,FALSE)</f>
        <v>0</v>
      </c>
      <c r="C32" s="3828"/>
      <c r="D32" s="3829">
        <f>VLOOKUP($B$4,DATA1!$A$3:$AM$288,31,FALSE)</f>
        <v>0</v>
      </c>
      <c r="E32" s="5"/>
      <c r="F32" s="19"/>
      <c r="G32" s="20"/>
      <c r="L32" s="3727"/>
      <c r="M32" s="3727" t="s">
        <v>5</v>
      </c>
      <c r="Q32" s="3727">
        <v>0.105</v>
      </c>
      <c r="R32" s="3727">
        <v>0.09</v>
      </c>
      <c r="S32" s="3731">
        <v>0.1</v>
      </c>
      <c r="T32" s="3727"/>
      <c r="U32" s="3727">
        <v>0.105</v>
      </c>
      <c r="V32" s="3727"/>
      <c r="W32" s="4199" t="s">
        <v>1895</v>
      </c>
      <c r="X32" s="3727" t="s">
        <v>1895</v>
      </c>
    </row>
    <row r="33" spans="1:24" ht="12.75" customHeight="1">
      <c r="A33" s="5" t="s">
        <v>1001</v>
      </c>
      <c r="B33" s="3829">
        <f>VLOOKUP($B$4,DATA1!$A$3:$AM$288,13,FALSE)</f>
        <v>0</v>
      </c>
      <c r="C33" s="3828"/>
      <c r="D33" s="3829">
        <f>VLOOKUP($B$4,DATA1!$A$3:$AM$288,32,FALSE)</f>
        <v>0</v>
      </c>
      <c r="E33" s="5"/>
      <c r="F33" s="19"/>
      <c r="G33" s="20"/>
      <c r="H33" s="21"/>
      <c r="L33" s="3727"/>
      <c r="M33" s="3727" t="s">
        <v>6</v>
      </c>
      <c r="Q33" s="3727">
        <v>0.105</v>
      </c>
      <c r="R33" s="3727">
        <v>0.09</v>
      </c>
      <c r="S33" s="3731">
        <v>0.1</v>
      </c>
      <c r="T33" s="3727"/>
      <c r="U33" s="3727">
        <v>0.105</v>
      </c>
      <c r="V33" s="3727"/>
      <c r="W33" s="4199" t="s">
        <v>1895</v>
      </c>
      <c r="X33" s="3727" t="s">
        <v>1895</v>
      </c>
    </row>
    <row r="34" spans="1:24" ht="12" customHeight="1">
      <c r="A34" s="5" t="s">
        <v>1004</v>
      </c>
      <c r="B34" s="3829">
        <f>VLOOKUP($B$4,DATA1!$A$3:$AM$288,14,FALSE)</f>
        <v>0</v>
      </c>
      <c r="C34" s="3828"/>
      <c r="D34" s="3829">
        <f>VLOOKUP($B$4,DATA1!$A$3:$AM$288,33,FALSE)</f>
        <v>0</v>
      </c>
      <c r="E34" s="5"/>
      <c r="F34" s="19"/>
      <c r="G34" s="20"/>
      <c r="L34" s="3727"/>
      <c r="M34" s="3740" t="s">
        <v>1901</v>
      </c>
      <c r="N34" s="3809">
        <v>0</v>
      </c>
      <c r="O34" s="5012">
        <v>3852</v>
      </c>
      <c r="P34" s="5089" t="s">
        <v>1902</v>
      </c>
      <c r="X34" s="3727"/>
    </row>
    <row r="35" spans="1:24" ht="12.75" customHeight="1">
      <c r="A35" s="5" t="s">
        <v>1479</v>
      </c>
      <c r="B35" s="3829">
        <f>VLOOKUP($B$4,DATA1!$A$3:$AM$288,15,FALSE)</f>
        <v>0</v>
      </c>
      <c r="C35" s="3828"/>
      <c r="D35" s="3829">
        <f>VLOOKUP($B$4,DATA1!$A$3:$AM$288,34,FALSE)</f>
        <v>0</v>
      </c>
      <c r="E35" s="5"/>
      <c r="F35" s="19"/>
      <c r="G35" s="20"/>
      <c r="L35" s="3727"/>
      <c r="M35" s="3740" t="s">
        <v>2605</v>
      </c>
      <c r="N35" s="5202">
        <v>0.46</v>
      </c>
      <c r="O35" s="5203" t="s">
        <v>2614</v>
      </c>
      <c r="P35" s="3766" t="s">
        <v>1695</v>
      </c>
      <c r="Q35" s="3766" t="s">
        <v>1699</v>
      </c>
      <c r="R35" s="3766" t="s">
        <v>1700</v>
      </c>
      <c r="X35" s="3727"/>
    </row>
    <row r="36" spans="1:24" s="4" customFormat="1" ht="12.75" customHeight="1">
      <c r="A36" s="5" t="str">
        <f>O49</f>
        <v>Recreation Commission</v>
      </c>
      <c r="B36" s="3829">
        <f>VLOOKUP($B$4,DATA1!$A$3:$AM$288,16,FALSE)</f>
        <v>2.06</v>
      </c>
      <c r="C36" s="3828"/>
      <c r="D36" s="3829">
        <f>VLOOKUP($B$4,DATA1!$A$3:$AM$288,35,FALSE)</f>
        <v>2.96</v>
      </c>
      <c r="E36" s="5"/>
      <c r="F36" s="19">
        <v>136307</v>
      </c>
      <c r="G36" s="20"/>
      <c r="H36" s="8"/>
      <c r="I36" s="8"/>
      <c r="J36" s="8"/>
      <c r="L36" s="3725"/>
      <c r="M36" s="3739"/>
      <c r="N36" s="4017"/>
      <c r="O36" s="5225"/>
      <c r="P36" s="3767" t="s">
        <v>1696</v>
      </c>
      <c r="Q36" s="5014">
        <v>1.45</v>
      </c>
      <c r="R36" s="5015" t="s">
        <v>1712</v>
      </c>
      <c r="X36" s="3725"/>
    </row>
    <row r="37" spans="1:24" ht="12.75" customHeight="1">
      <c r="A37" s="5" t="str">
        <f>IF(B4=114," ","Recreation Commission")</f>
        <v>Recreation Commission</v>
      </c>
      <c r="B37" s="18"/>
      <c r="C37" s="18"/>
      <c r="D37" s="18"/>
      <c r="E37" s="5"/>
      <c r="F37" s="16"/>
      <c r="G37" s="22"/>
      <c r="H37" s="4"/>
      <c r="I37" s="4"/>
      <c r="J37" s="4"/>
      <c r="L37" s="3727"/>
      <c r="M37" s="3727"/>
      <c r="N37" s="3727">
        <v>27</v>
      </c>
      <c r="P37" s="3768" t="s">
        <v>1697</v>
      </c>
      <c r="Q37" s="5016">
        <v>1.1499999999999999</v>
      </c>
      <c r="R37" s="5017" t="s">
        <v>1713</v>
      </c>
      <c r="X37" s="3727"/>
    </row>
    <row r="38" spans="1:24" ht="12.75" customHeight="1">
      <c r="A38" s="5" t="str">
        <f>O51</f>
        <v xml:space="preserve">  Employee Benefits</v>
      </c>
      <c r="B38" s="3829">
        <f>VLOOKUP($B$4,DATA1!$A$3:$AM$288,17,FALSE)</f>
        <v>0</v>
      </c>
      <c r="C38" s="3828"/>
      <c r="D38" s="3829">
        <f>VLOOKUP($B$4,DATA1!$A$3:$AM$288,36,FALSE)</f>
        <v>0</v>
      </c>
      <c r="E38" s="5"/>
      <c r="F38" s="19"/>
      <c r="G38" s="20"/>
      <c r="L38" s="3727"/>
      <c r="M38" s="3727"/>
      <c r="N38" s="3727">
        <v>30</v>
      </c>
      <c r="P38" s="3768" t="s">
        <v>1698</v>
      </c>
      <c r="Q38" s="5016">
        <v>0.9</v>
      </c>
      <c r="R38" s="5017" t="s">
        <v>1714</v>
      </c>
      <c r="X38" s="3727"/>
    </row>
    <row r="39" spans="1:24" ht="12.75" customHeight="1">
      <c r="A39" s="5" t="s">
        <v>1006</v>
      </c>
      <c r="B39" s="3829">
        <f>VLOOKUP($B$4,DATA1!$A$3:$AM$288,18,FALSE)</f>
        <v>0</v>
      </c>
      <c r="C39" s="3828"/>
      <c r="D39" s="3829">
        <f>VLOOKUP($B$4,DATA1!$A$3:$AM$288,37,FALSE)</f>
        <v>0</v>
      </c>
      <c r="E39" s="5"/>
      <c r="F39" s="19"/>
      <c r="G39" s="20"/>
      <c r="L39" s="3727"/>
      <c r="M39" s="3727"/>
      <c r="N39" s="3727">
        <v>31</v>
      </c>
    </row>
    <row r="40" spans="1:24" ht="12.75" customHeight="1">
      <c r="A40" s="5" t="s">
        <v>365</v>
      </c>
      <c r="B40" s="3829">
        <f>VLOOKUP($B$4,DATA1!$A$3:$AM$288,19,FALSE)</f>
        <v>0</v>
      </c>
      <c r="C40" s="3828"/>
      <c r="D40" s="3829">
        <f>VLOOKUP($B$4,DATA1!$A$3:$AM$288,38,FALSE)</f>
        <v>0</v>
      </c>
      <c r="E40" s="5"/>
      <c r="F40" s="2799"/>
      <c r="G40" s="20"/>
      <c r="L40" s="3731" t="s">
        <v>1491</v>
      </c>
      <c r="M40" s="3740" t="s">
        <v>381</v>
      </c>
      <c r="N40" s="3145" t="str">
        <f>IF(A14=0,"Fill in Assessed Valuation (All funds except General) on the Open","")</f>
        <v/>
      </c>
      <c r="Q40" s="3740" t="s">
        <v>601</v>
      </c>
      <c r="R40" s="3145" t="str">
        <f>IF(A17=0,"Fill in Assessed Valuation  for Bond &amp; Interest #2 on the Open - cell A16","")</f>
        <v>Fill in Assessed Valuation  for Bond &amp; Interest #2 on the Open - cell A16</v>
      </c>
    </row>
    <row r="41" spans="1:24" ht="11.25" customHeight="1">
      <c r="A41" s="5" t="s">
        <v>1232</v>
      </c>
      <c r="B41" s="3829">
        <f>VLOOKUP($B$4,DATA1!$A$3:$AM$288,20,FALSE)</f>
        <v>0</v>
      </c>
      <c r="C41" s="3828"/>
      <c r="D41" s="3829">
        <f>VLOOKUP($B$4,DATA1!$A$3:$AM$288,39,FALSE)</f>
        <v>0</v>
      </c>
      <c r="E41" s="5"/>
      <c r="F41" s="2799"/>
      <c r="G41" s="20"/>
      <c r="L41" s="3731" t="s">
        <v>1492</v>
      </c>
      <c r="M41" s="3729" t="s">
        <v>1469</v>
      </c>
      <c r="N41" s="3145" t="str">
        <f>IF(A17=0,"Fill in Bond &amp; Interest #1 on the Open for USD 441 - Cell A16","")</f>
        <v>Fill in Bond &amp; Interest #1 on the Open for USD 441 - Cell A16</v>
      </c>
      <c r="R41" s="3145" t="str">
        <f>IF(A19=0,"Fill in Assessed Valuation (All funds except General) on the Open for USD 488 - cell A18","")</f>
        <v>Fill in Assessed Valuation (All funds except General) on the Open for USD 488 - cell A18</v>
      </c>
    </row>
    <row r="42" spans="1:24" ht="12.75" customHeight="1">
      <c r="A42" s="5"/>
      <c r="B42" s="2831"/>
      <c r="C42" s="18"/>
      <c r="D42" s="2831"/>
      <c r="E42" s="5"/>
      <c r="F42" s="20"/>
      <c r="G42" s="20"/>
      <c r="L42" s="3731"/>
      <c r="M42" s="3740" t="s">
        <v>734</v>
      </c>
      <c r="N42" s="3727" t="s">
        <v>2445</v>
      </c>
      <c r="Q42" s="3740" t="s">
        <v>1487</v>
      </c>
      <c r="R42" s="3378" t="str">
        <f>IF(A19=0,"Fill in Assessed Valuation for Recreation Commission (Claflin) on the Open - cell A18"," ")</f>
        <v>Fill in Assessed Valuation for Recreation Commission (Claflin) on the Open - cell A18</v>
      </c>
    </row>
    <row r="43" spans="1:24" ht="12" customHeight="1">
      <c r="A43" s="3322"/>
      <c r="B43" s="3322"/>
      <c r="C43" s="3322"/>
      <c r="D43" s="3322"/>
      <c r="E43" s="3322"/>
      <c r="F43" s="3322"/>
      <c r="G43" s="3322"/>
      <c r="L43" s="3731"/>
      <c r="M43" s="3727"/>
      <c r="O43" s="3734" t="s">
        <v>1483</v>
      </c>
    </row>
    <row r="44" spans="1:24" ht="15" customHeight="1">
      <c r="A44" s="5253" t="s">
        <v>1879</v>
      </c>
      <c r="B44" s="5253"/>
      <c r="C44" s="5253"/>
      <c r="D44" s="5253"/>
      <c r="E44" s="5253"/>
      <c r="F44" s="5253"/>
      <c r="G44" s="5253"/>
      <c r="L44" s="3731" t="s">
        <v>1486</v>
      </c>
      <c r="M44" s="3729" t="s">
        <v>1471</v>
      </c>
      <c r="N44" s="3736">
        <f>IF(AND(B4&lt;&gt;112,B4&lt;&gt;113),A14,A17)</f>
        <v>31631113</v>
      </c>
      <c r="O44" s="3727" t="str">
        <f>IF(B4=113,"Bond and Interest #1 - USD 441","Bond and Interest #1")</f>
        <v>Bond and Interest #1</v>
      </c>
    </row>
    <row r="45" spans="1:24" ht="12.75" customHeight="1">
      <c r="A45" s="2425">
        <f>VLOOKUP($B$4,DATA!A3:AT288,8,FALSE)</f>
        <v>369.5</v>
      </c>
      <c r="B45" s="30" t="str">
        <f>"Audited 9/20/"&amp;RIGHT(O5,2)&amp; " + 2/20/"&amp;RIGHT(P5,2)&amp; " FTE Enrollment (Not weighted enrollment and excludes 4 yr old at-risk.)"</f>
        <v>Audited 9/20/14 + 2/20/15 FTE Enrollment (Not weighted enrollment and excludes 4 yr old at-risk.)</v>
      </c>
      <c r="C45" s="5"/>
      <c r="D45" s="5"/>
      <c r="E45" s="5"/>
      <c r="F45" s="3203"/>
      <c r="G45" s="4"/>
      <c r="H45" s="3313"/>
      <c r="L45" s="3732" t="s">
        <v>1542</v>
      </c>
      <c r="M45" s="3729" t="s">
        <v>1472</v>
      </c>
      <c r="N45" s="3730">
        <f>IF(B4=113,A19,A17)</f>
        <v>0</v>
      </c>
      <c r="O45" s="3727" t="str">
        <f>IF(B4=113,"Bond and Interest #2 - USD 488","Bond and Interest #2")</f>
        <v>Bond and Interest #2</v>
      </c>
    </row>
    <row r="46" spans="1:24" s="4" customFormat="1" ht="12.75" customHeight="1">
      <c r="A46" s="2425">
        <f>VLOOKUP($B$4,DATA!A3:AT288,9,FALSE)</f>
        <v>334.8</v>
      </c>
      <c r="B46" s="30" t="str">
        <f>"Audited 9/20/"&amp;RIGHT(P5,2)&amp;" FTE Enrollment (Not weighted enrollment and excludes 4 yr old at-risk.)"</f>
        <v>Audited 9/20/15 FTE Enrollment (Not weighted enrollment and excludes 4 yr old at-risk.)</v>
      </c>
      <c r="C46" s="5"/>
      <c r="D46" s="5"/>
      <c r="E46" s="5"/>
      <c r="H46" s="3313"/>
      <c r="I46" s="3062"/>
      <c r="J46" s="3261"/>
      <c r="L46" s="3733"/>
      <c r="M46" s="3739" t="s">
        <v>2606</v>
      </c>
      <c r="N46" s="5231">
        <v>1</v>
      </c>
      <c r="O46" s="5232" t="s">
        <v>1791</v>
      </c>
      <c r="P46" s="3725" t="s">
        <v>2540</v>
      </c>
    </row>
    <row r="47" spans="1:24" s="4" customFormat="1" ht="12.75" customHeight="1">
      <c r="A47" s="4196">
        <v>340</v>
      </c>
      <c r="B47" s="30" t="str">
        <f>"9/20/"&amp;RIGHT(Q5,2)&amp;" Est. FTE Enrollment (Exclude 4 yr old at-risk.) (Exclude FHSU Math &amp; Science Academy) "</f>
        <v xml:space="preserve">9/20/16 Est. FTE Enrollment (Exclude 4 yr old at-risk.) (Exclude FHSU Math &amp; Science Academy) </v>
      </c>
      <c r="C47" s="5"/>
      <c r="D47" s="5"/>
      <c r="E47" s="5"/>
      <c r="L47" s="3733" t="s">
        <v>2653</v>
      </c>
      <c r="M47" s="3725" t="s">
        <v>2607</v>
      </c>
      <c r="N47" s="5233">
        <v>1</v>
      </c>
      <c r="O47" s="5234" t="s">
        <v>1791</v>
      </c>
      <c r="P47" s="3725" t="s">
        <v>2602</v>
      </c>
    </row>
    <row r="48" spans="1:24" ht="12.75" customHeight="1">
      <c r="A48" s="4099"/>
      <c r="B48" s="30" t="str">
        <f>"9/20/"&amp;RIGHT(Q5,2)&amp;" Est. 4 yr old at-risk FTE Enrollment (count each student as .5 FTE)"</f>
        <v>9/20/16 Est. 4 yr old at-risk FTE Enrollment (count each student as .5 FTE)</v>
      </c>
      <c r="C48" s="5"/>
      <c r="D48" s="5"/>
      <c r="E48" s="5"/>
      <c r="F48" s="4"/>
      <c r="G48" s="4"/>
      <c r="H48" s="4"/>
      <c r="L48" s="3731" t="s">
        <v>1552</v>
      </c>
      <c r="M48" s="3727" t="s">
        <v>1477</v>
      </c>
      <c r="Q48" s="3734" t="s">
        <v>1484</v>
      </c>
    </row>
    <row r="49" spans="1:19" ht="12.75" customHeight="1">
      <c r="A49" s="4100">
        <v>100</v>
      </c>
      <c r="B49" s="30" t="str">
        <f>"9/20/"&amp;RIGHT(Q5,2)&amp; " Number of eligible students that qualify for free meals.  Do NOT include Part-time students "</f>
        <v xml:space="preserve">9/20/16 Number of eligible students that qualify for free meals.  Do NOT include Part-time students </v>
      </c>
      <c r="C49" s="5"/>
      <c r="D49" s="5"/>
      <c r="E49" s="5"/>
      <c r="F49" s="4"/>
      <c r="G49" s="4"/>
      <c r="H49" s="4"/>
      <c r="L49" s="3731"/>
      <c r="M49" s="3727" t="s">
        <v>1478</v>
      </c>
      <c r="O49" s="3731" t="str">
        <f>IF(B4=114,"Recreation Commission #406",IF(B4=422,"Recreation Commission #422","Recreation Commission"))</f>
        <v>Recreation Commission</v>
      </c>
      <c r="S49" s="3727" t="str">
        <f>IF(B4=114,"RECREATION COMMISSION #406",IF(B4=422,"RECREATION COMMISSION #422","RECREATION COMMISSION"))</f>
        <v>RECREATION COMMISSION</v>
      </c>
    </row>
    <row r="50" spans="1:19" ht="12.75" customHeight="1">
      <c r="A50" s="3274"/>
      <c r="B50" s="4" t="s">
        <v>1792</v>
      </c>
      <c r="C50" s="5"/>
      <c r="D50" s="5"/>
      <c r="E50" s="5"/>
      <c r="F50" s="4"/>
      <c r="G50" s="4"/>
      <c r="H50" s="4"/>
      <c r="L50" s="3731"/>
      <c r="M50" s="3727"/>
      <c r="O50" s="3731"/>
      <c r="S50" s="3727"/>
    </row>
    <row r="51" spans="1:19" ht="12.75" customHeight="1">
      <c r="A51" s="4099">
        <v>180</v>
      </c>
      <c r="B51" s="30" t="str">
        <f>"Vocational Education total clock hours of students enrolled and attending on 9/20/"&amp;RIGHT(Q5,2)</f>
        <v>Vocational Education total clock hours of students enrolled and attending on 9/20/16</v>
      </c>
      <c r="C51" s="5"/>
      <c r="D51" s="5"/>
      <c r="E51" s="5"/>
      <c r="F51" s="4"/>
      <c r="G51" s="4"/>
      <c r="H51" s="4"/>
      <c r="L51" s="3731"/>
      <c r="M51" s="3727" t="s">
        <v>1481</v>
      </c>
      <c r="O51" s="3731" t="str">
        <f>IF(B4=114,"Recreation Commission #486",IF(B4=422,"Recreation Commission #424","  Employee Benefits"))</f>
        <v xml:space="preserve">  Employee Benefits</v>
      </c>
      <c r="Q51" s="3727" t="str">
        <f>IF(B4=114,"Recreation Commission #486",IF(B4=422,"Recreation Commission #424","Rec Comm Emp Bnfts &amp; Spec Liab"))</f>
        <v>Rec Comm Emp Bnfts &amp; Spec Liab</v>
      </c>
      <c r="S51" s="3727" t="str">
        <f>IF(OR(B4=114,B4=422)," ","RECREATION COMMISSION EMPLOYEE")</f>
        <v>RECREATION COMMISSION EMPLOYEE</v>
      </c>
    </row>
    <row r="52" spans="1:19" ht="12.75" customHeight="1">
      <c r="A52" s="4099"/>
      <c r="B52" s="30" t="str">
        <f>"Bilingual Education total clock hours of students enrolled and attending on 9/20/"&amp;RIGHT(Q5,2)</f>
        <v>Bilingual Education total clock hours of students enrolled and attending on 9/20/16</v>
      </c>
      <c r="C52" s="5"/>
      <c r="D52" s="5"/>
      <c r="E52" s="5"/>
      <c r="F52" s="4"/>
      <c r="G52" s="4"/>
      <c r="H52" s="4"/>
      <c r="L52" s="3731"/>
      <c r="M52" s="3727"/>
      <c r="Q52" s="3727" t="str">
        <f>IF(B4=114,"Recreation Commission #486",IF(B4=422,"Recreation Commission #424","Rec Comm Emp Benefits &amp; Spec Liab"))</f>
        <v>Rec Comm Emp Benefits &amp; Spec Liab</v>
      </c>
      <c r="S52" s="3727" t="str">
        <f>IF(B4=114,"RECREATION COMMISSION #486",IF(B4=422,"RECREATION COMMISSION #424","BENEFITS &amp; SPECIAL LIABILITY"))</f>
        <v>BENEFITS &amp; SPECIAL LIABILITY</v>
      </c>
    </row>
    <row r="53" spans="1:19" ht="12.75" customHeight="1">
      <c r="A53" s="3844"/>
      <c r="B53" s="30" t="str">
        <f>"9/20/"&amp;RIGHT(Q5,2)&amp;" Est. FTE for new facilities (Only eligible to schools that had bond election prior to July 1, 2014"</f>
        <v>9/20/16 Est. FTE for new facilities (Only eligible to schools that had bond election prior to July 1, 2014</v>
      </c>
      <c r="C53" s="5"/>
      <c r="D53" s="5"/>
      <c r="E53" s="5"/>
      <c r="F53" s="4"/>
      <c r="G53" s="4"/>
      <c r="H53" s="4"/>
      <c r="L53" s="3732" t="s">
        <v>1551</v>
      </c>
      <c r="M53" s="3730" t="s">
        <v>1541</v>
      </c>
      <c r="N53" s="3736">
        <f>IF(AND(B4&lt;&gt;105,B4&lt;&gt;110,B4&lt;&gt;112,B4&lt;&gt;113,B4&lt;&gt;114,B4&lt;&gt;422),A14,IF(B4=113,A17,IF(OR(B4=114,B4=422),A14-A19,A19)))</f>
        <v>31631113</v>
      </c>
      <c r="Q53" s="3727" t="str">
        <f>IF(B4=114,"Recreation Commission #486",IF(B4=422,"Recreation Commission #424","Recreation Commission Employee Benefits"))</f>
        <v>Recreation Commission Employee Benefits</v>
      </c>
    </row>
    <row r="54" spans="1:19" ht="12.75" customHeight="1">
      <c r="A54" s="3845"/>
      <c r="B54" s="4" t="s">
        <v>1778</v>
      </c>
      <c r="C54" s="5"/>
      <c r="D54" s="5"/>
      <c r="E54" s="5"/>
      <c r="F54" s="4"/>
      <c r="G54" s="4"/>
      <c r="H54" s="4"/>
      <c r="L54" s="3732"/>
      <c r="M54" s="3730"/>
      <c r="N54" s="3736"/>
      <c r="Q54" s="3727"/>
    </row>
    <row r="55" spans="1:19" ht="12.75" customHeight="1">
      <c r="A55" s="3062"/>
      <c r="B55" s="4" t="s">
        <v>1780</v>
      </c>
      <c r="C55" s="5"/>
      <c r="D55" s="5"/>
      <c r="E55" s="5"/>
      <c r="F55" s="4"/>
      <c r="G55" s="4"/>
      <c r="H55" s="4"/>
      <c r="L55" s="3732"/>
      <c r="M55" s="3730"/>
      <c r="N55" s="3736"/>
      <c r="Q55" s="3727"/>
    </row>
    <row r="56" spans="1:19" ht="12.75" customHeight="1">
      <c r="A56" s="4099">
        <v>45</v>
      </c>
      <c r="B56" s="30" t="str">
        <f>"All public pupils transported or for whom transportation is being made available 9/20/"&amp;RIGHT(Q5,2)</f>
        <v>All public pupils transported or for whom transportation is being made available 9/20/16</v>
      </c>
      <c r="C56" s="5"/>
      <c r="D56" s="5"/>
      <c r="E56" s="5"/>
      <c r="F56" s="4"/>
      <c r="G56" s="4"/>
      <c r="H56" s="4"/>
      <c r="L56" s="3731" t="s">
        <v>1552</v>
      </c>
      <c r="M56" s="3727" t="s">
        <v>1543</v>
      </c>
      <c r="N56" s="3730">
        <f>IF(OR(B4=114,B4=422),A19,A14)</f>
        <v>31631113</v>
      </c>
      <c r="Q56" s="3727" t="str">
        <f>IF(B4=114,"Recreation Commission #486",IF(B4=422,"Recreation Commission #424","Rec Comm Employee Bnfts"))</f>
        <v>Rec Comm Employee Bnfts</v>
      </c>
    </row>
    <row r="57" spans="1:19" ht="12.75" customHeight="1">
      <c r="A57" s="3062"/>
      <c r="B57" s="30" t="s">
        <v>1460</v>
      </c>
      <c r="C57" s="5"/>
      <c r="D57" s="5"/>
      <c r="E57" s="5"/>
      <c r="F57" s="4"/>
      <c r="G57" s="4"/>
      <c r="H57" s="4"/>
      <c r="L57" s="3727"/>
      <c r="M57" s="3727"/>
    </row>
    <row r="58" spans="1:19" ht="12" customHeight="1">
      <c r="A58" s="4101">
        <v>1</v>
      </c>
      <c r="B58" s="3209" t="s">
        <v>1441</v>
      </c>
      <c r="C58" s="3207"/>
      <c r="D58" s="3207"/>
      <c r="E58" s="3207"/>
      <c r="F58" s="3207"/>
      <c r="G58" s="3207"/>
      <c r="L58" s="3734" t="str">
        <f>"Exceptions on budget " &amp; P14</f>
        <v>Exceptions on budget 2016-17</v>
      </c>
      <c r="M58" s="3727"/>
    </row>
    <row r="59" spans="1:19" ht="12" customHeight="1">
      <c r="A59" s="3239"/>
      <c r="B59" s="3925" t="s">
        <v>1929</v>
      </c>
      <c r="C59" s="3207"/>
      <c r="D59" s="3207"/>
      <c r="E59" s="3207"/>
      <c r="F59" s="3207"/>
      <c r="G59" s="3207"/>
      <c r="L59" s="3735" t="s">
        <v>1017</v>
      </c>
      <c r="M59" s="3727" t="s">
        <v>1540</v>
      </c>
    </row>
    <row r="60" spans="1:19" ht="12" customHeight="1">
      <c r="A60" s="3239"/>
      <c r="B60" s="3275" t="s">
        <v>1445</v>
      </c>
      <c r="C60" s="3207"/>
      <c r="D60" s="3207"/>
      <c r="E60" s="3207"/>
      <c r="F60" s="3207"/>
      <c r="G60" s="3207"/>
      <c r="L60" s="3727">
        <v>105</v>
      </c>
      <c r="M60" s="3727" t="str">
        <f>Q5 &amp; " Assessed Valuation for Recreation Commission (#318-Atwood)"</f>
        <v>2016 Assessed Valuation for Recreation Commission (#318-Atwood)</v>
      </c>
    </row>
    <row r="61" spans="1:19" ht="12" customHeight="1">
      <c r="A61" s="3239"/>
      <c r="B61" s="3275" t="s">
        <v>1444</v>
      </c>
      <c r="C61" s="3207"/>
      <c r="D61" s="3207"/>
      <c r="E61" s="3207"/>
      <c r="F61" s="3207"/>
      <c r="G61" s="3207"/>
      <c r="L61" s="3727">
        <v>110</v>
      </c>
      <c r="M61" s="3727" t="str">
        <f>Q5 &amp; " Assessed Valuation for Recreation Commission #238"</f>
        <v>2016 Assessed Valuation for Recreation Commission #238</v>
      </c>
    </row>
    <row r="62" spans="1:19" ht="12" customHeight="1">
      <c r="A62" s="3239"/>
      <c r="B62" s="3275" t="s">
        <v>1443</v>
      </c>
      <c r="C62" s="3207"/>
      <c r="D62" s="3207"/>
      <c r="E62" s="3207"/>
      <c r="F62" s="3207"/>
      <c r="G62" s="3207"/>
      <c r="L62" s="3727">
        <v>112</v>
      </c>
      <c r="M62" s="3727" t="str">
        <f>Q5 &amp; " Assessed Valuation for Recreation Commission (Claflin)"</f>
        <v>2016 Assessed Valuation for Recreation Commission (Claflin)</v>
      </c>
    </row>
    <row r="63" spans="1:19" ht="6" customHeight="1">
      <c r="A63" s="3239"/>
      <c r="B63" s="3209"/>
      <c r="C63" s="3207"/>
      <c r="D63" s="3207"/>
      <c r="E63" s="3207"/>
      <c r="F63" s="3207"/>
      <c r="G63" s="3207"/>
      <c r="L63" s="3727">
        <v>113</v>
      </c>
      <c r="M63" s="3727" t="str">
        <f>Q5 &amp; " Assessed Valuation for Bond and Interest #2 for USD 488"</f>
        <v>2016 Assessed Valuation for Bond and Interest #2 for USD 488</v>
      </c>
    </row>
    <row r="64" spans="1:19" ht="12" hidden="1" customHeight="1">
      <c r="A64" s="5252" t="str">
        <f>"Military Provision for Form 151 (new students of military families, not enrolled on 9/20/"&amp;Q5&amp;" and exclude virtual)"</f>
        <v>Military Provision for Form 151 (new students of military families, not enrolled on 9/20/2016 and exclude virtual)</v>
      </c>
      <c r="B64" s="5252"/>
      <c r="C64" s="5252"/>
      <c r="D64" s="5252"/>
      <c r="E64" s="5252"/>
      <c r="F64" s="5252"/>
      <c r="G64" s="5252"/>
      <c r="H64" s="3208"/>
      <c r="L64" s="3727"/>
      <c r="M64" s="3727"/>
    </row>
    <row r="65" spans="1:13" ht="15.75" hidden="1" customHeight="1">
      <c r="A65" s="4153" t="s">
        <v>1895</v>
      </c>
      <c r="B65" s="3061" t="str">
        <f>"2/20/"&amp;RIGHT(S5,2)&amp;" Est. FTE (excludes 4yr old at risk) "</f>
        <v xml:space="preserve">2/20/17 Est. FTE (excludes 4yr old at risk) </v>
      </c>
      <c r="C65" s="5"/>
      <c r="D65" s="5"/>
      <c r="E65" s="5"/>
      <c r="F65" s="4"/>
      <c r="I65" s="3644"/>
      <c r="L65" s="3727"/>
      <c r="M65" s="3727"/>
    </row>
    <row r="66" spans="1:13" ht="12.75" hidden="1" customHeight="1">
      <c r="A66" s="4153" t="s">
        <v>1895</v>
      </c>
      <c r="B66" s="3061" t="str">
        <f>"2/20/"&amp;RIGHT(S5,2)&amp;" Est. 4yr old at risk FTE (count each student as .5 FTE) "</f>
        <v xml:space="preserve">2/20/17 Est. 4yr old at risk FTE (count each student as .5 FTE) </v>
      </c>
      <c r="C66" s="5"/>
      <c r="D66" s="5"/>
      <c r="E66" s="5"/>
      <c r="F66" s="4"/>
      <c r="L66" s="3727"/>
      <c r="M66" s="3727"/>
    </row>
    <row r="67" spans="1:13" ht="12.75" hidden="1" customHeight="1">
      <c r="A67" s="4154" t="s">
        <v>1895</v>
      </c>
      <c r="B67" s="3061" t="str">
        <f>"2/20/"&amp;RIGHT(S5,2)&amp;" Est. number of students that qualify for free meals"</f>
        <v>2/20/17 Est. number of students that qualify for free meals</v>
      </c>
      <c r="C67" s="5"/>
      <c r="D67" s="5"/>
      <c r="E67" s="5"/>
      <c r="F67" s="4"/>
      <c r="L67" s="3727"/>
      <c r="M67" s="3727"/>
    </row>
    <row r="68" spans="1:13" ht="12.75" hidden="1" customHeight="1">
      <c r="A68" s="4153" t="s">
        <v>1895</v>
      </c>
      <c r="B68" s="3061" t="str">
        <f>"Vocational Education total clock hours of students enrolled and attending on 2/20/"&amp;S5</f>
        <v>Vocational Education total clock hours of students enrolled and attending on 2/20/2017</v>
      </c>
      <c r="C68" s="5"/>
      <c r="D68" s="5"/>
      <c r="E68" s="5"/>
      <c r="F68" s="4"/>
      <c r="L68" s="3727"/>
      <c r="M68" s="3727"/>
    </row>
    <row r="69" spans="1:13" ht="12.75" hidden="1" customHeight="1">
      <c r="A69" s="4153" t="s">
        <v>1895</v>
      </c>
      <c r="B69" s="3061" t="str">
        <f>"Bilingual Education total clock hours of students enrolled and attending on 2/20/"&amp;S5</f>
        <v>Bilingual Education total clock hours of students enrolled and attending on 2/20/2017</v>
      </c>
      <c r="C69" s="5"/>
      <c r="D69" s="5"/>
      <c r="E69" s="5"/>
      <c r="F69" s="4"/>
      <c r="L69" s="3727"/>
      <c r="M69" s="3727"/>
    </row>
    <row r="70" spans="1:13" ht="12.75" hidden="1" customHeight="1">
      <c r="A70" s="4153" t="s">
        <v>1895</v>
      </c>
      <c r="B70" s="3061" t="str">
        <f>"Est. 2/20/"&amp;RIGHT(S5,2)&amp;" FTE for new facilities (Only eligible to schools that had bond issue prior to July 1, 2014"</f>
        <v>Est. 2/20/17 FTE for new facilities (Only eligible to schools that had bond issue prior to July 1, 2014</v>
      </c>
      <c r="C70" s="5"/>
      <c r="D70" s="5"/>
      <c r="E70" s="5"/>
      <c r="F70" s="4"/>
      <c r="L70" s="3727"/>
      <c r="M70" s="3727"/>
    </row>
    <row r="71" spans="1:13" ht="12.75" hidden="1" customHeight="1">
      <c r="A71" s="3062"/>
      <c r="B71" s="3061" t="s">
        <v>1778</v>
      </c>
      <c r="C71" s="5"/>
      <c r="D71" s="5"/>
      <c r="E71" s="5"/>
      <c r="F71" s="4"/>
      <c r="H71" s="3644"/>
      <c r="L71" s="3727"/>
      <c r="M71" s="3727"/>
    </row>
    <row r="72" spans="1:13" ht="12.75" hidden="1" customHeight="1">
      <c r="A72" s="3062"/>
      <c r="B72" s="3061" t="s">
        <v>1779</v>
      </c>
      <c r="C72" s="5"/>
      <c r="D72" s="5"/>
      <c r="E72" s="5"/>
      <c r="F72" s="4"/>
      <c r="L72" s="3727"/>
      <c r="M72" s="3727"/>
    </row>
    <row r="73" spans="1:13" ht="12.75" hidden="1" customHeight="1">
      <c r="A73" s="4153" t="s">
        <v>1895</v>
      </c>
      <c r="B73" s="3061" t="str">
        <f>"Est. 2/20/"&amp;RIGHT(S5,2)&amp;" FTE of new students of military families transported or for whom"</f>
        <v>Est. 2/20/17 FTE of new students of military families transported or for whom</v>
      </c>
      <c r="C73" s="5"/>
      <c r="D73" s="5"/>
      <c r="E73" s="5"/>
      <c r="F73" s="4"/>
      <c r="L73" s="3727"/>
      <c r="M73" s="3727"/>
    </row>
    <row r="74" spans="1:13" ht="12.75" hidden="1" customHeight="1">
      <c r="A74" s="3062"/>
      <c r="B74" s="3061" t="str">
        <f>"transportation is being made available 2/20/"&amp;RIGHT(S5,2)&amp;" who reside in the district 2.5 miles or more"</f>
        <v>transportation is being made available 2/20/17 who reside in the district 2.5 miles or more</v>
      </c>
      <c r="C74" s="5"/>
      <c r="D74" s="5"/>
      <c r="E74" s="5"/>
      <c r="F74" s="4"/>
      <c r="G74" s="4"/>
      <c r="L74" s="3727"/>
      <c r="M74" s="3727"/>
    </row>
    <row r="75" spans="1:13" ht="7.5" customHeight="1">
      <c r="A75" s="3062"/>
      <c r="B75" s="3061"/>
      <c r="C75" s="5"/>
      <c r="D75" s="5"/>
      <c r="E75" s="5"/>
      <c r="F75" s="4"/>
      <c r="G75" s="4"/>
      <c r="L75" s="3727">
        <v>114</v>
      </c>
      <c r="M75" s="3727" t="str">
        <f>Q5 &amp; " Assessed Valuation for Recreation Commission #486"</f>
        <v>2016 Assessed Valuation for Recreation Commission #486</v>
      </c>
    </row>
    <row r="76" spans="1:13" ht="6.75" customHeight="1">
      <c r="A76" s="3062"/>
      <c r="B76" s="3061"/>
      <c r="C76" s="5"/>
      <c r="D76" s="5"/>
      <c r="E76" s="5"/>
      <c r="F76" s="4"/>
      <c r="G76" s="4"/>
      <c r="L76" s="3727">
        <v>422</v>
      </c>
      <c r="M76" s="3727" t="str">
        <f>Q5 &amp; " Assessed Valuation for Recreation Commission #424"</f>
        <v>2016 Assessed Valuation for Recreation Commission #424</v>
      </c>
    </row>
    <row r="77" spans="1:13" ht="12.75" customHeight="1">
      <c r="A77" s="5251" t="s">
        <v>1930</v>
      </c>
      <c r="B77" s="5251"/>
      <c r="C77" s="5251"/>
      <c r="D77" s="5251"/>
      <c r="E77" s="5251"/>
      <c r="F77" s="5251"/>
      <c r="G77" s="5251"/>
      <c r="M77" s="3727"/>
    </row>
    <row r="78" spans="1:13" ht="12.75" customHeight="1">
      <c r="A78" s="2728"/>
      <c r="B78" s="4" t="str">
        <f>"Est. 9/20/" &amp;RIGHT(Q5,2)&amp; " FTE Virtual Students  (Full-Time Students)"</f>
        <v>Est. 9/20/16 FTE Virtual Students  (Full-Time Students)</v>
      </c>
      <c r="C78" s="5"/>
      <c r="D78" s="5"/>
      <c r="E78" s="5"/>
      <c r="F78" s="4"/>
      <c r="G78" s="4"/>
      <c r="M78" s="3727"/>
    </row>
    <row r="79" spans="1:13" ht="12.75" customHeight="1">
      <c r="A79" s="3844"/>
      <c r="B79" s="4" t="str">
        <f>"Est. 9/20/" &amp; RIGHT(Q5,2) &amp; " FTE Virtual Students  (Part-Time Students)"</f>
        <v>Est. 9/20/16 FTE Virtual Students  (Part-Time Students)</v>
      </c>
      <c r="C79" s="5"/>
      <c r="D79" s="5"/>
      <c r="E79" s="5"/>
      <c r="F79" s="4"/>
      <c r="G79" s="4"/>
      <c r="M79" s="3727"/>
    </row>
    <row r="80" spans="1:13" ht="12.75" customHeight="1">
      <c r="A80" s="4194"/>
      <c r="B80" s="4" t="str">
        <f>"Total Credits Earned (19 yrs and older as of 9/20/" &amp; RIGHT(Q5,2) &amp; ") (No student shall be counted for more than "</f>
        <v xml:space="preserve">Total Credits Earned (19 yrs and older as of 9/20/16) (No student shall be counted for more than </v>
      </c>
      <c r="C80" s="5"/>
      <c r="D80" s="5"/>
      <c r="E80" s="5"/>
      <c r="F80" s="4"/>
      <c r="G80" s="4"/>
      <c r="I80" s="3644"/>
      <c r="M80" s="3727"/>
    </row>
    <row r="81" spans="1:13" ht="12.75" customHeight="1">
      <c r="A81" s="4155"/>
      <c r="B81" s="4" t="str">
        <f>" 6 credits between July 1, " &amp; Q5 &amp;  " and June 30, " &amp; S5 &amp; ")"</f>
        <v xml:space="preserve"> 6 credits between July 1, 2016 and June 30, 2017)</v>
      </c>
      <c r="C81" s="5"/>
      <c r="D81" s="5"/>
      <c r="E81" s="5"/>
      <c r="F81" s="4"/>
      <c r="G81" s="4"/>
      <c r="M81" s="3727"/>
    </row>
    <row r="82" spans="1:13" ht="4.5" customHeight="1">
      <c r="A82" s="3925"/>
      <c r="B82" s="3925"/>
      <c r="C82" s="3925"/>
      <c r="D82" s="3925"/>
      <c r="E82" s="3925"/>
      <c r="F82" s="3925"/>
      <c r="G82" s="3925"/>
      <c r="M82" s="3727"/>
    </row>
    <row r="83" spans="1:13" ht="5.25" customHeight="1">
      <c r="A83" s="3062"/>
      <c r="B83" s="3240"/>
      <c r="C83" s="5"/>
      <c r="D83" s="5"/>
      <c r="E83" s="5"/>
      <c r="F83" s="4"/>
      <c r="G83" s="4"/>
      <c r="M83" s="3727"/>
    </row>
    <row r="84" spans="1:13" ht="13.5" customHeight="1">
      <c r="A84" s="2727"/>
      <c r="B84" s="4" t="s">
        <v>1880</v>
      </c>
      <c r="C84" s="5"/>
      <c r="D84" s="5"/>
      <c r="E84" s="5"/>
      <c r="F84" s="4"/>
      <c r="G84" s="4"/>
      <c r="M84" s="3727"/>
    </row>
    <row r="85" spans="1:13" ht="15" customHeight="1">
      <c r="A85" s="5038"/>
      <c r="B85" s="4" t="s">
        <v>1881</v>
      </c>
      <c r="C85" s="5"/>
      <c r="D85" s="5"/>
      <c r="E85" s="5"/>
      <c r="F85" s="4"/>
      <c r="G85" s="4"/>
      <c r="M85" s="3727"/>
    </row>
    <row r="86" spans="1:13" ht="15" customHeight="1">
      <c r="A86" s="5038"/>
      <c r="B86" s="4" t="str">
        <f>P14 &amp; " Extraordinary Need (goes to General Fund)"</f>
        <v>2016-17 Extraordinary Need (goes to General Fund)</v>
      </c>
      <c r="C86" s="5"/>
      <c r="D86" s="5"/>
      <c r="E86" s="5"/>
      <c r="F86" s="4"/>
      <c r="G86" s="4"/>
      <c r="M86" s="3727"/>
    </row>
    <row r="87" spans="1:13" ht="15" customHeight="1">
      <c r="A87" s="5039"/>
      <c r="B87" s="4" t="str">
        <f>P14 &amp; " Extraordinary Need (goes to Supplemental General Fund)"</f>
        <v>2016-17 Extraordinary Need (goes to Supplemental General Fund)</v>
      </c>
      <c r="C87" s="5"/>
      <c r="D87" s="5"/>
      <c r="E87" s="5"/>
      <c r="F87" s="4"/>
      <c r="G87" s="4"/>
      <c r="M87" s="3727"/>
    </row>
    <row r="88" spans="1:13" ht="15" customHeight="1">
      <c r="A88" s="5256" t="str">
        <f>"USD " &amp;B4</f>
        <v>USD 270</v>
      </c>
      <c r="B88" s="5256"/>
      <c r="C88" s="5256"/>
      <c r="D88" s="5256"/>
      <c r="E88" s="5256"/>
      <c r="F88" s="5256"/>
      <c r="G88" s="5256"/>
      <c r="M88" s="3727"/>
    </row>
    <row r="89" spans="1:13" ht="15" customHeight="1">
      <c r="A89" s="2425">
        <f>VLOOKUP($B$4,DATA!A3:AT288,10,FALSE)</f>
        <v>275.8</v>
      </c>
      <c r="B89" s="4" t="str">
        <f>"Area of district in square miles 9/20/"&amp;RIGHT(Q5,2)&amp;"."</f>
        <v>Area of district in square miles 9/20/16.</v>
      </c>
      <c r="C89" s="5"/>
      <c r="D89" s="5"/>
      <c r="E89" s="5"/>
      <c r="F89" s="4"/>
      <c r="M89" s="3727"/>
    </row>
    <row r="90" spans="1:13" ht="15" customHeight="1">
      <c r="A90" s="5256"/>
      <c r="B90" s="5256"/>
      <c r="C90" s="5256"/>
      <c r="D90" s="5256"/>
      <c r="E90" s="5256"/>
      <c r="F90" s="5256"/>
      <c r="G90" s="5256"/>
      <c r="H90" s="4"/>
      <c r="I90" s="4"/>
      <c r="J90" s="4"/>
      <c r="M90" s="3727"/>
    </row>
    <row r="91" spans="1:13" ht="12.75" hidden="1" customHeight="1">
      <c r="A91" s="3143"/>
      <c r="B91" s="4"/>
      <c r="C91" s="4"/>
      <c r="D91" s="4"/>
      <c r="E91" s="4"/>
      <c r="F91" s="4"/>
      <c r="M91" s="3727"/>
    </row>
    <row r="92" spans="1:13" ht="12.75" hidden="1" customHeight="1">
      <c r="A92" s="4085" t="s">
        <v>1888</v>
      </c>
      <c r="B92" s="4" t="s">
        <v>1793</v>
      </c>
      <c r="C92" s="4"/>
      <c r="D92" s="4"/>
      <c r="E92" s="4"/>
      <c r="F92" s="4"/>
      <c r="I92" s="3946" t="s">
        <v>1790</v>
      </c>
      <c r="M92" s="3727"/>
    </row>
    <row r="93" spans="1:13" ht="12.75" hidden="1" customHeight="1">
      <c r="A93" s="4086" t="s">
        <v>1888</v>
      </c>
      <c r="B93" s="4" t="s">
        <v>1796</v>
      </c>
      <c r="C93" s="4"/>
      <c r="D93" s="4"/>
      <c r="E93" s="4"/>
      <c r="F93" s="4"/>
      <c r="H93" s="3644"/>
      <c r="I93" s="3289" t="s">
        <v>1494</v>
      </c>
      <c r="J93" s="3425">
        <f>IF(A93&gt;=1,1,A93)</f>
        <v>1</v>
      </c>
      <c r="M93" s="3727"/>
    </row>
    <row r="94" spans="1:13" ht="12.75" hidden="1" customHeight="1">
      <c r="A94" s="4087" t="s">
        <v>1888</v>
      </c>
      <c r="B94" s="4" t="s">
        <v>1794</v>
      </c>
      <c r="C94" s="4"/>
      <c r="D94" s="4"/>
      <c r="E94" s="4"/>
      <c r="F94" s="4"/>
      <c r="M94" s="3727"/>
    </row>
    <row r="95" spans="1:13" ht="12.75" hidden="1" customHeight="1">
      <c r="A95" s="4007"/>
      <c r="B95" s="4"/>
      <c r="C95" s="4"/>
      <c r="D95" s="4"/>
      <c r="E95" s="4"/>
      <c r="F95" s="4"/>
      <c r="I95" s="3946" t="s">
        <v>1846</v>
      </c>
      <c r="M95" s="3727"/>
    </row>
    <row r="96" spans="1:13" ht="12.75" hidden="1" customHeight="1">
      <c r="A96" s="4156" t="s">
        <v>1845</v>
      </c>
      <c r="B96" s="4" t="s">
        <v>1847</v>
      </c>
      <c r="C96" s="4"/>
      <c r="D96" s="4"/>
      <c r="E96" s="4"/>
      <c r="F96" s="4"/>
      <c r="I96" s="4008" t="str">
        <f>A96</f>
        <v>No</v>
      </c>
      <c r="M96" s="3727"/>
    </row>
    <row r="97" spans="1:23" ht="12.75" hidden="1" customHeight="1">
      <c r="A97" s="2830" t="str">
        <f>IF(A93&gt;1,"Increase to LOB authority cannot exceed 1%!","")</f>
        <v>Increase to LOB authority cannot exceed 1%!</v>
      </c>
      <c r="B97" s="4"/>
      <c r="C97" s="4"/>
      <c r="D97" s="4"/>
      <c r="E97" s="4"/>
      <c r="F97" s="4"/>
      <c r="G97" s="4"/>
      <c r="H97" s="4"/>
      <c r="I97" s="4"/>
      <c r="J97" s="4"/>
      <c r="M97" s="3727"/>
    </row>
    <row r="98" spans="1:23" ht="12.75" customHeight="1">
      <c r="A98" s="5179"/>
      <c r="B98" s="4149" t="s">
        <v>1878</v>
      </c>
      <c r="C98" s="4"/>
      <c r="D98" s="4"/>
      <c r="E98" s="4"/>
      <c r="F98" s="4"/>
      <c r="G98" s="4"/>
      <c r="H98" s="4"/>
      <c r="I98" s="3289"/>
      <c r="J98" s="3425" t="s">
        <v>2599</v>
      </c>
      <c r="M98" s="3727"/>
    </row>
    <row r="99" spans="1:23" ht="12.75" customHeight="1">
      <c r="A99" s="5180"/>
      <c r="B99" s="4149" t="s">
        <v>1882</v>
      </c>
      <c r="C99" s="4"/>
      <c r="D99" s="4"/>
      <c r="E99" s="4"/>
      <c r="F99" s="4"/>
      <c r="G99" s="4"/>
      <c r="H99" s="4"/>
      <c r="I99" s="3289"/>
      <c r="J99" s="3425">
        <f>IF(A99&gt;33,33,A99)</f>
        <v>0</v>
      </c>
      <c r="M99" s="3727"/>
    </row>
    <row r="100" spans="1:23" ht="12.75" customHeight="1">
      <c r="A100" s="5181"/>
      <c r="B100" s="4149" t="s">
        <v>2591</v>
      </c>
      <c r="C100" s="4"/>
      <c r="D100" s="4"/>
      <c r="E100" s="4"/>
      <c r="F100" s="4"/>
      <c r="G100" s="4"/>
      <c r="H100" s="4"/>
      <c r="I100" s="4"/>
      <c r="J100" s="4"/>
      <c r="M100" s="3727"/>
    </row>
    <row r="101" spans="1:23" ht="12.75" customHeight="1">
      <c r="A101" s="2830" t="str">
        <f>IF(A99&gt;33,"LOB authority by mail ballot cannot exceed 33%!","")</f>
        <v/>
      </c>
      <c r="B101" s="4"/>
      <c r="C101" s="4"/>
      <c r="D101" s="4"/>
      <c r="E101" s="4"/>
      <c r="F101" s="4"/>
      <c r="G101" s="4"/>
      <c r="H101" s="4"/>
      <c r="I101" s="4"/>
      <c r="J101" s="4"/>
      <c r="M101" s="3727" t="s">
        <v>2448</v>
      </c>
      <c r="N101" s="3727"/>
      <c r="O101" s="3727"/>
    </row>
    <row r="102" spans="1:23" s="4" customFormat="1" ht="12.75" customHeight="1">
      <c r="A102" s="25"/>
      <c r="B102" s="4" t="s">
        <v>1007</v>
      </c>
      <c r="E102" s="24" t="s">
        <v>1008</v>
      </c>
      <c r="L102" s="8"/>
      <c r="M102" s="3727" t="s">
        <v>1680</v>
      </c>
      <c r="N102" s="4983">
        <v>1002.245</v>
      </c>
      <c r="O102" s="3727"/>
      <c r="P102" s="8"/>
      <c r="Q102" s="8"/>
      <c r="R102" s="8"/>
      <c r="S102" s="8"/>
      <c r="T102" s="8"/>
      <c r="U102" s="8"/>
      <c r="V102" s="8"/>
      <c r="W102" s="8"/>
    </row>
    <row r="103" spans="1:23" s="4" customFormat="1" ht="12.75" customHeight="1">
      <c r="A103" s="17"/>
      <c r="B103" s="4" t="s">
        <v>1795</v>
      </c>
      <c r="L103" s="8"/>
      <c r="M103" s="3727" t="s">
        <v>1681</v>
      </c>
      <c r="N103" s="3727">
        <v>-0.2281</v>
      </c>
      <c r="O103" s="3727"/>
      <c r="P103" s="8"/>
      <c r="Q103" s="8"/>
      <c r="R103" s="8"/>
      <c r="S103" s="8"/>
      <c r="T103" s="8"/>
      <c r="U103" s="8"/>
      <c r="V103" s="8"/>
      <c r="W103" s="8"/>
    </row>
    <row r="104" spans="1:23" s="4" customFormat="1" ht="12.75" customHeight="1">
      <c r="A104" s="26"/>
      <c r="B104" s="4" t="s">
        <v>1794</v>
      </c>
      <c r="L104" s="8"/>
      <c r="M104" s="3727" t="s">
        <v>1682</v>
      </c>
      <c r="N104" s="3727">
        <v>585</v>
      </c>
      <c r="O104" s="3727"/>
      <c r="P104" s="8"/>
      <c r="Q104" s="8"/>
      <c r="R104" s="8"/>
      <c r="S104" s="8"/>
      <c r="T104" s="8"/>
      <c r="U104" s="8"/>
      <c r="V104" s="8"/>
      <c r="W104" s="8"/>
    </row>
    <row r="105" spans="1:23" s="4" customFormat="1" ht="12.75" customHeight="1">
      <c r="A105" s="2830" t="str">
        <f>IF(A102&gt;=DATE(2005,7,1),IF(A103&gt;8,"Capital Outlay cannot exceed 8 mills due to date of authorization!",""),"")</f>
        <v/>
      </c>
      <c r="L105" s="8"/>
      <c r="M105" s="3727"/>
      <c r="N105" s="3727"/>
      <c r="O105" s="3727"/>
      <c r="P105" s="8"/>
      <c r="Q105" s="8"/>
      <c r="R105" s="8"/>
      <c r="S105" s="8"/>
      <c r="T105" s="8"/>
      <c r="U105" s="8"/>
      <c r="V105" s="8"/>
      <c r="W105" s="8"/>
    </row>
    <row r="106" spans="1:23" s="4" customFormat="1" ht="12.75" customHeight="1">
      <c r="A106" s="25">
        <v>41771</v>
      </c>
      <c r="B106" s="4" t="s">
        <v>1328</v>
      </c>
      <c r="L106" s="8"/>
      <c r="M106" s="3727" t="s">
        <v>1683</v>
      </c>
      <c r="N106" s="3727">
        <v>1.0175000000000001</v>
      </c>
      <c r="O106" s="3727">
        <v>1.0175000000000001</v>
      </c>
      <c r="P106" s="8"/>
      <c r="Q106" s="8"/>
      <c r="R106" s="8"/>
      <c r="S106" s="8"/>
      <c r="T106" s="8"/>
      <c r="U106" s="8"/>
      <c r="V106" s="8"/>
      <c r="W106" s="8"/>
    </row>
    <row r="107" spans="1:23" s="4" customFormat="1" ht="12.75" customHeight="1">
      <c r="A107" s="2829">
        <v>8</v>
      </c>
      <c r="B107" s="4" t="s">
        <v>1797</v>
      </c>
      <c r="L107" s="8"/>
      <c r="M107" s="8"/>
      <c r="N107" s="8"/>
      <c r="O107" s="8"/>
      <c r="P107" s="8"/>
      <c r="Q107" s="8"/>
      <c r="R107" s="8"/>
      <c r="S107" s="8"/>
      <c r="T107" s="8"/>
      <c r="U107" s="8"/>
      <c r="V107" s="8"/>
      <c r="W107" s="8"/>
    </row>
    <row r="108" spans="1:23" s="4" customFormat="1" ht="12.75" customHeight="1">
      <c r="A108" s="2831"/>
      <c r="B108" s="4" t="s">
        <v>1798</v>
      </c>
      <c r="L108" s="8"/>
      <c r="M108" s="8"/>
      <c r="N108" s="8"/>
      <c r="O108" s="8"/>
      <c r="P108" s="8"/>
      <c r="Q108" s="8"/>
      <c r="R108" s="8"/>
      <c r="S108" s="8"/>
      <c r="T108" s="8"/>
      <c r="U108" s="8"/>
      <c r="V108" s="8"/>
      <c r="W108" s="8"/>
    </row>
    <row r="109" spans="1:23" s="4" customFormat="1" ht="12.75" customHeight="1">
      <c r="A109" s="26">
        <v>9999</v>
      </c>
      <c r="B109" s="4" t="s">
        <v>1799</v>
      </c>
      <c r="L109" s="8"/>
      <c r="M109" s="8"/>
      <c r="N109" s="8"/>
      <c r="O109" s="8"/>
      <c r="P109" s="8"/>
      <c r="Q109" s="8"/>
      <c r="R109" s="8"/>
      <c r="S109" s="8"/>
      <c r="T109" s="8"/>
      <c r="U109" s="8"/>
      <c r="V109" s="8"/>
      <c r="W109" s="8"/>
    </row>
    <row r="110" spans="1:23" s="4" customFormat="1" ht="12.75" customHeight="1">
      <c r="A110" s="2830" t="str">
        <f>IF(A106&gt;=DATE(2005,7,1),IF((A107+A103)&gt;8,"Capital Outlay + Increase to Capital Outlay cannot exceed 8 mills due to date of authorization!",""),"")</f>
        <v/>
      </c>
      <c r="L110" s="8"/>
      <c r="M110" s="8"/>
      <c r="N110" s="8"/>
      <c r="O110" s="8"/>
      <c r="P110" s="8"/>
      <c r="Q110" s="8"/>
      <c r="R110" s="8"/>
      <c r="S110" s="8"/>
      <c r="T110" s="8"/>
      <c r="U110" s="8"/>
      <c r="V110" s="8"/>
      <c r="W110" s="8"/>
    </row>
    <row r="111" spans="1:23" s="4" customFormat="1" ht="12.75" customHeight="1">
      <c r="A111" s="25"/>
      <c r="B111" s="4" t="s">
        <v>1009</v>
      </c>
      <c r="E111" s="24" t="s">
        <v>1008</v>
      </c>
      <c r="L111" s="8"/>
      <c r="M111" s="8"/>
      <c r="N111" s="8"/>
      <c r="O111" s="8"/>
      <c r="P111" s="8"/>
      <c r="Q111" s="8"/>
      <c r="R111" s="8"/>
      <c r="S111" s="8"/>
      <c r="T111" s="8"/>
      <c r="U111" s="8"/>
      <c r="V111" s="8"/>
      <c r="W111" s="8"/>
    </row>
    <row r="112" spans="1:23" s="4" customFormat="1" ht="12.75" customHeight="1">
      <c r="A112" s="17"/>
      <c r="B112" s="4" t="s">
        <v>1800</v>
      </c>
      <c r="L112" s="8"/>
      <c r="M112" s="8"/>
      <c r="N112" s="8"/>
      <c r="O112" s="8"/>
      <c r="P112" s="8"/>
      <c r="Q112" s="8"/>
      <c r="R112" s="8"/>
      <c r="S112" s="8"/>
      <c r="T112" s="8"/>
      <c r="U112" s="8"/>
      <c r="V112" s="8"/>
      <c r="W112" s="8"/>
    </row>
    <row r="113" spans="1:23" s="4" customFormat="1" ht="12.75" customHeight="1">
      <c r="A113" s="26"/>
      <c r="B113" s="4" t="s">
        <v>1789</v>
      </c>
      <c r="L113" s="8"/>
      <c r="M113" s="8"/>
      <c r="N113" s="8"/>
      <c r="O113" s="8"/>
      <c r="P113" s="8"/>
      <c r="Q113" s="8"/>
    </row>
    <row r="114" spans="1:23" s="4" customFormat="1" ht="12.75" customHeight="1">
      <c r="L114" s="8"/>
      <c r="M114" s="8"/>
      <c r="N114" s="8"/>
      <c r="O114" s="8"/>
      <c r="P114" s="8"/>
      <c r="Q114" s="8"/>
    </row>
    <row r="115" spans="1:23" s="4" customFormat="1">
      <c r="A115" s="11">
        <f>VLOOKUP($B$4,DATA!A3:AT288,11,FALSE)</f>
        <v>2971080</v>
      </c>
      <c r="B115" s="4" t="str">
        <f>O14&amp;" General Fund (Final Audited Legal Max)"</f>
        <v>2015-16 General Fund (Final Audited Legal Max)</v>
      </c>
      <c r="C115" s="23"/>
      <c r="D115" s="23"/>
      <c r="E115" s="23"/>
      <c r="F115" s="23"/>
      <c r="G115" s="8"/>
      <c r="H115" s="8"/>
      <c r="I115" s="8"/>
      <c r="J115" s="8"/>
      <c r="L115" s="8"/>
      <c r="M115" s="8"/>
      <c r="N115" s="8"/>
      <c r="O115" s="8"/>
      <c r="P115" s="8"/>
      <c r="Q115" s="8"/>
    </row>
    <row r="116" spans="1:23" ht="12.75" customHeight="1">
      <c r="A116" s="4"/>
      <c r="B116" s="4"/>
      <c r="C116" s="4"/>
      <c r="D116" s="4"/>
      <c r="E116" s="4"/>
      <c r="F116" s="4"/>
      <c r="G116" s="4"/>
      <c r="H116" s="4"/>
      <c r="I116" s="4"/>
      <c r="J116" s="4"/>
      <c r="R116" s="4"/>
      <c r="S116" s="4"/>
      <c r="T116" s="4"/>
      <c r="U116" s="4"/>
      <c r="V116" s="4"/>
      <c r="W116" s="4"/>
    </row>
    <row r="117" spans="1:23" s="4" customFormat="1" ht="12.75" customHeight="1">
      <c r="A117" s="27"/>
      <c r="B117" s="4" t="str">
        <f>"100% of estimated P.L. 382 (formerly P.L. 874) for "&amp;P14&amp;". (Exclude extra aid for Construction, "</f>
        <v xml:space="preserve">100% of estimated P.L. 382 (formerly P.L. 874) for 2016-17. (Exclude extra aid for Construction, </v>
      </c>
      <c r="C117" s="23"/>
      <c r="D117" s="23"/>
      <c r="E117" s="23"/>
      <c r="F117" s="23"/>
      <c r="G117" s="8"/>
      <c r="H117" s="8"/>
      <c r="I117" s="8"/>
      <c r="J117" s="8"/>
      <c r="L117" s="8"/>
      <c r="M117" s="8"/>
      <c r="N117" s="8"/>
      <c r="O117" s="8"/>
      <c r="P117" s="8"/>
      <c r="Q117" s="8"/>
    </row>
    <row r="118" spans="1:23" ht="12.75" customHeight="1">
      <c r="A118" s="4"/>
      <c r="B118" s="4" t="s">
        <v>1883</v>
      </c>
      <c r="C118" s="4"/>
      <c r="D118" s="4"/>
      <c r="E118" s="4"/>
      <c r="F118" s="4"/>
      <c r="G118" s="4"/>
      <c r="H118" s="4"/>
      <c r="I118" s="4"/>
      <c r="J118" s="4"/>
      <c r="R118" s="4"/>
      <c r="S118" s="4"/>
      <c r="T118" s="4"/>
      <c r="U118" s="4"/>
      <c r="V118" s="4"/>
      <c r="W118" s="4"/>
    </row>
    <row r="119" spans="1:23" s="4" customFormat="1" ht="12.75" customHeight="1">
      <c r="L119" s="8"/>
      <c r="M119" s="8"/>
      <c r="N119" s="8"/>
      <c r="O119" s="8"/>
      <c r="P119" s="8"/>
      <c r="Q119" s="8"/>
    </row>
    <row r="120" spans="1:23" s="4" customFormat="1" ht="14.25" customHeight="1">
      <c r="A120" s="17">
        <v>7</v>
      </c>
      <c r="B120" s="2772" t="str">
        <f>"Delinquent tax rate to be used for the "&amp;P4&amp;" budget.  (Goes to Code 01.)"</f>
        <v>Delinquent tax rate to be used for the 2016-2017 budget.  (Goes to Code 01.)</v>
      </c>
      <c r="L120" s="8"/>
      <c r="M120" s="8"/>
      <c r="N120" s="8"/>
      <c r="O120" s="8"/>
      <c r="P120" s="8"/>
      <c r="Q120" s="8"/>
    </row>
    <row r="121" spans="1:23" s="4" customFormat="1" ht="12" customHeight="1">
      <c r="L121" s="8"/>
      <c r="M121" s="8"/>
      <c r="N121" s="8"/>
      <c r="O121" s="8"/>
      <c r="P121" s="8"/>
      <c r="Q121" s="8"/>
    </row>
    <row r="122" spans="1:23" s="4" customFormat="1" ht="12" customHeight="1">
      <c r="A122" s="5" t="s">
        <v>1010</v>
      </c>
      <c r="B122" s="28" t="str">
        <f>"7/1/"&amp;O5</f>
        <v>7/1/2014</v>
      </c>
      <c r="C122" s="15"/>
      <c r="D122" s="28" t="str">
        <f>"7/1/"&amp;P5</f>
        <v>7/1/2015</v>
      </c>
      <c r="E122" s="15"/>
      <c r="F122" s="28" t="str">
        <f>"7/1/"&amp;Q5</f>
        <v>7/1/2016</v>
      </c>
      <c r="L122" s="8"/>
      <c r="M122" s="8"/>
      <c r="N122" s="8"/>
      <c r="O122" s="8"/>
      <c r="P122" s="8"/>
      <c r="Q122" s="8"/>
    </row>
    <row r="123" spans="1:23" s="4" customFormat="1" ht="14.1" customHeight="1">
      <c r="A123" s="2572" t="s">
        <v>1458</v>
      </c>
    </row>
    <row r="124" spans="1:23" s="4" customFormat="1" ht="14.1" customHeight="1">
      <c r="A124" s="4" t="s">
        <v>1011</v>
      </c>
      <c r="B124" s="29">
        <v>2620000</v>
      </c>
      <c r="C124" s="3060"/>
      <c r="D124" s="29">
        <v>2470000</v>
      </c>
      <c r="E124" s="3060"/>
      <c r="F124" s="29">
        <v>2310000</v>
      </c>
      <c r="G124" s="8"/>
      <c r="H124" s="3946"/>
      <c r="I124" s="8"/>
      <c r="J124" s="8"/>
    </row>
    <row r="125" spans="1:23" ht="14.1" customHeight="1">
      <c r="A125" s="4" t="s">
        <v>1012</v>
      </c>
      <c r="B125" s="29"/>
      <c r="C125" s="3060"/>
      <c r="D125" s="29"/>
      <c r="E125" s="3060"/>
      <c r="F125" s="29"/>
      <c r="L125" s="4"/>
      <c r="M125" s="4"/>
      <c r="N125" s="4"/>
      <c r="O125" s="4"/>
      <c r="P125" s="4"/>
      <c r="Q125" s="4"/>
      <c r="R125" s="4"/>
      <c r="S125" s="4"/>
      <c r="T125" s="4"/>
      <c r="U125" s="4"/>
      <c r="V125" s="4"/>
      <c r="W125" s="4"/>
    </row>
    <row r="126" spans="1:23" ht="12.75" customHeight="1">
      <c r="A126" s="4" t="s">
        <v>1000</v>
      </c>
      <c r="B126" s="29"/>
      <c r="C126" s="3060"/>
      <c r="D126" s="29"/>
      <c r="E126" s="3060"/>
      <c r="F126" s="29"/>
      <c r="L126" s="4"/>
      <c r="M126" s="4"/>
      <c r="N126" s="4"/>
      <c r="O126" s="4"/>
      <c r="P126" s="4"/>
      <c r="Q126" s="4"/>
      <c r="R126" s="4"/>
      <c r="S126" s="4"/>
      <c r="T126" s="4"/>
      <c r="U126" s="4"/>
      <c r="V126" s="4"/>
      <c r="W126" s="4"/>
    </row>
    <row r="127" spans="1:23" ht="12.75" customHeight="1">
      <c r="A127" s="4" t="s">
        <v>1013</v>
      </c>
      <c r="B127" s="29"/>
      <c r="C127" s="3060"/>
      <c r="D127" s="29"/>
      <c r="E127" s="3060"/>
      <c r="F127" s="29"/>
      <c r="L127" s="4"/>
      <c r="M127" s="4"/>
      <c r="N127" s="4"/>
      <c r="O127" s="4"/>
      <c r="P127" s="4"/>
      <c r="Q127" s="4"/>
    </row>
    <row r="128" spans="1:23" ht="12.75" customHeight="1">
      <c r="A128" s="4" t="s">
        <v>1014</v>
      </c>
      <c r="B128" s="29"/>
      <c r="C128" s="3060"/>
      <c r="D128" s="29"/>
      <c r="E128" s="3060"/>
      <c r="F128" s="29"/>
      <c r="L128" s="4"/>
      <c r="M128" s="4"/>
      <c r="N128" s="4"/>
      <c r="O128" s="4"/>
      <c r="P128" s="4"/>
      <c r="Q128" s="4"/>
      <c r="R128" s="4"/>
      <c r="S128" s="4"/>
      <c r="T128" s="4"/>
      <c r="U128" s="4"/>
      <c r="V128" s="4"/>
      <c r="W128" s="4"/>
    </row>
    <row r="129" spans="1:23" ht="12.75" customHeight="1">
      <c r="A129" s="4"/>
      <c r="B129" s="4"/>
      <c r="C129" s="4"/>
      <c r="D129" s="4"/>
      <c r="E129" s="4"/>
      <c r="F129" s="4"/>
      <c r="G129" s="4"/>
      <c r="H129" s="4"/>
      <c r="I129" s="4"/>
      <c r="J129" s="4"/>
      <c r="L129" s="4"/>
      <c r="M129" s="4"/>
      <c r="N129" s="4"/>
      <c r="O129" s="4"/>
      <c r="P129" s="4"/>
      <c r="Q129" s="4"/>
    </row>
    <row r="130" spans="1:23" s="4" customFormat="1" ht="4.5" customHeight="1"/>
    <row r="131" spans="1:23" s="4" customFormat="1" ht="14.25" customHeight="1">
      <c r="A131" s="19">
        <v>76922</v>
      </c>
      <c r="B131" s="30" t="str">
        <f>"Estimated Motor Vehicle Property Tax*   7/1/"&amp;RIGHT(Q5,2)&amp;" to 6/30/"&amp;RIGHT(S5,2)</f>
        <v>Estimated Motor Vehicle Property Tax*   7/1/16 to 6/30/17</v>
      </c>
    </row>
    <row r="132" spans="1:23" ht="12.75" customHeight="1">
      <c r="A132" s="19">
        <v>1695</v>
      </c>
      <c r="B132" s="4" t="str">
        <f>"Estimated Recreational Vehicle Property Tax*  7/1/"&amp;RIGHT(Q5,2)&amp;" to 6/30/"&amp;RIGHT(S5,2)</f>
        <v>Estimated Recreational Vehicle Property Tax*  7/1/16 to 6/30/17</v>
      </c>
      <c r="C132" s="4"/>
      <c r="D132" s="4"/>
      <c r="E132" s="4"/>
      <c r="F132" s="4"/>
      <c r="G132" s="4"/>
      <c r="H132" s="4"/>
      <c r="I132" s="4"/>
      <c r="J132" s="4"/>
      <c r="K132" s="4"/>
      <c r="L132" s="4"/>
      <c r="M132" s="4"/>
      <c r="N132" s="4"/>
      <c r="O132" s="4"/>
      <c r="P132" s="4"/>
      <c r="Q132" s="4"/>
      <c r="R132" s="4"/>
      <c r="S132" s="4"/>
      <c r="T132" s="4"/>
      <c r="U132" s="4"/>
      <c r="V132" s="4"/>
      <c r="W132" s="4"/>
    </row>
    <row r="133" spans="1:23" ht="12.75" customHeight="1">
      <c r="A133" s="19"/>
      <c r="B133" s="4" t="str">
        <f>"Estimated In Lieu of Taxes on Industrial Bonds*  7/1/"&amp;RIGHT(Q5,2)&amp;" to 6/30/"&amp;RIGHT(S5,2)</f>
        <v>Estimated In Lieu of Taxes on Industrial Bonds*  7/1/16 to 6/30/17</v>
      </c>
      <c r="C133" s="4"/>
      <c r="D133" s="4"/>
      <c r="E133" s="4"/>
      <c r="F133" s="4"/>
      <c r="G133" s="4"/>
      <c r="H133" s="4"/>
      <c r="I133" s="4"/>
      <c r="J133" s="4"/>
      <c r="K133" s="4"/>
      <c r="L133" s="4"/>
      <c r="M133" s="4"/>
      <c r="N133" s="4"/>
      <c r="O133" s="4"/>
      <c r="P133" s="4"/>
      <c r="Q133" s="4"/>
      <c r="R133" s="4"/>
      <c r="S133" s="4"/>
      <c r="T133" s="4"/>
      <c r="U133" s="4"/>
      <c r="V133" s="4"/>
      <c r="W133" s="4"/>
    </row>
    <row r="134" spans="1:23" ht="12.75" customHeight="1">
      <c r="A134" s="2799">
        <v>6510</v>
      </c>
      <c r="B134" s="4" t="str">
        <f>"Estimated 16/20M Tax* 7/1/"&amp;RIGHT(Q5,2)&amp;" to 6/30/"&amp;RIGHT(S5,2)</f>
        <v>Estimated 16/20M Tax* 7/1/16 to 6/30/17</v>
      </c>
      <c r="C134" s="4"/>
      <c r="D134" s="4"/>
      <c r="E134" s="4"/>
      <c r="F134" s="4"/>
      <c r="G134" s="4"/>
      <c r="H134" s="4"/>
      <c r="I134" s="4"/>
      <c r="J134" s="4"/>
      <c r="K134" s="4"/>
      <c r="L134" s="4"/>
      <c r="M134" s="4"/>
      <c r="N134" s="4"/>
      <c r="O134" s="4"/>
      <c r="P134" s="4"/>
      <c r="Q134" s="4"/>
      <c r="R134" s="4"/>
      <c r="S134" s="4"/>
      <c r="T134" s="4"/>
      <c r="U134" s="4"/>
      <c r="V134" s="4"/>
      <c r="W134" s="4"/>
    </row>
    <row r="135" spans="1:23" ht="12.75" customHeight="1">
      <c r="A135" s="4197">
        <v>10976</v>
      </c>
      <c r="B135" s="4" t="str">
        <f>"Estimated Commercial Vehicle Tax*   7/1/"&amp;RIGHT(Q5,2)&amp;" to 6/30/"&amp;RIGHT(S5,2)</f>
        <v>Estimated Commercial Vehicle Tax*   7/1/16 to 6/30/17</v>
      </c>
      <c r="C135" s="4"/>
      <c r="D135" s="4"/>
      <c r="E135" s="4"/>
      <c r="F135" s="4"/>
      <c r="G135" s="4"/>
      <c r="H135" s="4"/>
      <c r="I135" s="4"/>
      <c r="J135" s="4"/>
      <c r="K135" s="4"/>
      <c r="L135" s="4"/>
      <c r="M135" s="4"/>
      <c r="N135" s="4"/>
      <c r="O135" s="4"/>
      <c r="P135" s="4"/>
      <c r="Q135" s="4"/>
      <c r="R135" s="4"/>
      <c r="S135" s="4"/>
      <c r="T135" s="4"/>
      <c r="U135" s="4"/>
      <c r="V135" s="4"/>
      <c r="W135" s="4"/>
    </row>
    <row r="136" spans="1:23" ht="12.75" customHeight="1">
      <c r="A136" s="20"/>
      <c r="B136" s="4"/>
      <c r="C136" s="4"/>
      <c r="D136" s="4"/>
      <c r="E136" s="4"/>
      <c r="F136" s="4"/>
      <c r="G136" s="4"/>
      <c r="H136" s="4"/>
      <c r="I136" s="4"/>
      <c r="J136" s="4"/>
      <c r="K136" s="4"/>
      <c r="L136" s="4"/>
      <c r="M136" s="4"/>
      <c r="N136" s="4"/>
      <c r="O136" s="4"/>
      <c r="P136" s="4"/>
      <c r="Q136" s="4"/>
    </row>
    <row r="137" spans="1:23" ht="12.75" customHeight="1">
      <c r="A137" s="4" t="s">
        <v>1016</v>
      </c>
      <c r="B137" s="4"/>
      <c r="C137" s="4"/>
      <c r="D137" s="4"/>
      <c r="E137" s="4"/>
      <c r="F137" s="4"/>
      <c r="G137" s="4"/>
      <c r="H137" s="4"/>
      <c r="I137" s="4"/>
      <c r="J137" s="4"/>
      <c r="K137" s="4"/>
    </row>
    <row r="138" spans="1:23" s="4" customFormat="1" ht="12.75" customHeight="1">
      <c r="A138" s="20"/>
      <c r="R138" s="8"/>
      <c r="S138" s="8"/>
      <c r="T138" s="8"/>
      <c r="U138" s="8"/>
      <c r="V138" s="8"/>
      <c r="W138" s="8"/>
    </row>
    <row r="139" spans="1:23" s="4" customFormat="1" ht="12.75" customHeight="1">
      <c r="A139" s="17">
        <v>8</v>
      </c>
      <c r="B139" s="4" t="str">
        <f>P14&amp;" Capital Outlay Mill Levy Rate to be used in this budget"</f>
        <v>2016-17 Capital Outlay Mill Levy Rate to be used in this budget</v>
      </c>
      <c r="E139" s="24"/>
      <c r="F139" s="24"/>
      <c r="G139" s="24" t="s">
        <v>1015</v>
      </c>
      <c r="L139" s="8"/>
      <c r="M139" s="8"/>
      <c r="N139" s="8"/>
      <c r="O139" s="8"/>
      <c r="P139" s="8"/>
      <c r="Q139" s="8"/>
      <c r="R139" s="8"/>
      <c r="S139" s="8"/>
      <c r="T139" s="8"/>
      <c r="U139" s="8"/>
      <c r="V139" s="8"/>
      <c r="W139" s="8"/>
    </row>
    <row r="140" spans="1:23" s="4" customFormat="1" ht="12.75" customHeight="1">
      <c r="A140" s="3118" t="str">
        <f>IF(A139&gt;A103+A107,"Error!!!  Capital outlay levy is greater than authorized at top of this page."," ")</f>
        <v xml:space="preserve"> </v>
      </c>
      <c r="E140" s="24"/>
      <c r="F140" s="24"/>
      <c r="R140" s="8"/>
      <c r="S140" s="8"/>
      <c r="T140" s="8"/>
      <c r="U140" s="8"/>
      <c r="V140" s="8"/>
      <c r="W140" s="8"/>
    </row>
    <row r="141" spans="1:23" s="4" customFormat="1" ht="12.75" customHeight="1">
      <c r="A141" s="17"/>
      <c r="B141" s="4" t="str">
        <f>P14&amp;" Adult Ed. Mill Levy Rate to be used in this budget"</f>
        <v>2016-17 Adult Ed. Mill Levy Rate to be used in this budget</v>
      </c>
      <c r="E141" s="24"/>
      <c r="F141" s="24"/>
      <c r="G141" s="24" t="s">
        <v>1015</v>
      </c>
    </row>
    <row r="142" spans="1:23" s="4" customFormat="1" ht="12.75" customHeight="1">
      <c r="A142" s="3118" t="str">
        <f>IF(A141&gt;A112,"Error!!!  Adult Ed. levy is greater than authorized at top of this page."," ")</f>
        <v xml:space="preserve"> </v>
      </c>
    </row>
    <row r="143" spans="1:23" s="4" customFormat="1" ht="12.75" customHeight="1">
      <c r="R143" s="8"/>
      <c r="S143" s="8"/>
      <c r="T143" s="8"/>
      <c r="U143" s="8"/>
      <c r="V143" s="8"/>
      <c r="W143" s="8"/>
    </row>
    <row r="144" spans="1:23" s="4" customFormat="1" ht="12.75" customHeight="1">
      <c r="A144" s="31"/>
      <c r="R144" s="8"/>
      <c r="S144" s="8"/>
      <c r="T144" s="8"/>
      <c r="U144" s="8"/>
      <c r="V144" s="8"/>
      <c r="W144" s="8"/>
    </row>
    <row r="145" spans="1:23" s="4" customFormat="1" ht="12.75" customHeight="1">
      <c r="A145" s="3583" t="s">
        <v>1535</v>
      </c>
      <c r="R145" s="8"/>
      <c r="S145" s="8"/>
      <c r="T145" s="8"/>
      <c r="U145" s="8"/>
      <c r="V145" s="8"/>
      <c r="W145" s="8"/>
    </row>
    <row r="146" spans="1:23" s="4" customFormat="1" ht="12.75" customHeight="1">
      <c r="A146" s="4102">
        <f>VLOOKUP($B$4,DATA!A3:AT288,12,FALSE)</f>
        <v>375.4</v>
      </c>
      <c r="B146" s="4" t="str">
        <f>"9/20/"&amp;RIGHT(T5,2)&amp;" FTE Enrollment (include 2/20/"&amp;RIGHT(N5,2)&amp;" military count, 4yr old at-risk and virtual)"</f>
        <v>9/20/12 FTE Enrollment (include 2/20/13 military count, 4yr old at-risk and virtual)</v>
      </c>
      <c r="J146" s="2771">
        <f>IF(ISERROR(A146),0,A146)</f>
        <v>375.4</v>
      </c>
      <c r="L146" s="8"/>
      <c r="M146" s="8"/>
      <c r="N146" s="8"/>
      <c r="O146" s="8"/>
      <c r="P146" s="8"/>
      <c r="Q146" s="8"/>
      <c r="R146" s="8"/>
      <c r="S146" s="8"/>
      <c r="T146" s="8"/>
      <c r="U146" s="8"/>
      <c r="V146" s="8"/>
      <c r="W146" s="8"/>
    </row>
    <row r="147" spans="1:23" s="4" customFormat="1" ht="12.75" customHeight="1">
      <c r="A147" s="2425">
        <f>VLOOKUP($B$4,DATA!A3:AT288,13,FALSE)</f>
        <v>365.3</v>
      </c>
      <c r="B147" s="8" t="str">
        <f>"9/20/"&amp;RIGHT(N5,2)&amp;" FTE Enrollment (include 2/20/"&amp;RIGHT(O5,2)&amp;" military count, 4yr old at-risk and virtual)"</f>
        <v>9/20/13 FTE Enrollment (include 2/20/14 military count, 4yr old at-risk and virtual)</v>
      </c>
      <c r="C147" s="8"/>
      <c r="E147" s="8"/>
      <c r="F147" s="8"/>
      <c r="H147" s="4017"/>
      <c r="J147" s="2771">
        <f>IF(ISERROR(A147),0,A147)</f>
        <v>365.3</v>
      </c>
      <c r="L147" s="8"/>
      <c r="M147" s="8"/>
      <c r="N147" s="8"/>
      <c r="O147" s="8"/>
      <c r="P147" s="8"/>
      <c r="Q147" s="8"/>
      <c r="R147" s="8"/>
      <c r="S147" s="8"/>
      <c r="T147" s="8"/>
      <c r="U147" s="8"/>
      <c r="V147" s="8"/>
      <c r="W147" s="8"/>
    </row>
    <row r="148" spans="1:23" s="4" customFormat="1" ht="12.75" customHeight="1">
      <c r="A148" s="4103">
        <f>VLOOKUP($B$4,DATA!A3:AT288,14,FALSE)</f>
        <v>369.5</v>
      </c>
      <c r="B148" s="4" t="str">
        <f>"9/20/"&amp;RIGHT(O5,2)&amp;" FTE Enrollment (include 2/20/"&amp;RIGHT(P5,2)&amp;" military count, 4yr old at-risk and virtual)"</f>
        <v>9/20/14 FTE Enrollment (include 2/20/15 military count, 4yr old at-risk and virtual)</v>
      </c>
      <c r="C148" s="8"/>
      <c r="E148" s="8"/>
      <c r="F148" s="8"/>
      <c r="J148" s="2771">
        <f>IF(ISERROR(A148),0,A148)</f>
        <v>369.5</v>
      </c>
      <c r="L148" s="8"/>
      <c r="M148" s="8"/>
      <c r="N148" s="8"/>
      <c r="O148" s="8"/>
      <c r="P148" s="8"/>
      <c r="Q148" s="8"/>
      <c r="R148" s="8"/>
      <c r="S148" s="8"/>
      <c r="T148" s="8"/>
      <c r="U148" s="8"/>
      <c r="V148" s="8"/>
      <c r="W148" s="8"/>
    </row>
    <row r="149" spans="1:23" s="4" customFormat="1" ht="12.75" customHeight="1">
      <c r="A149" s="4103">
        <f>VLOOKUP($B$4,DATA!A3:AT288,15,FALSE)</f>
        <v>334.8</v>
      </c>
      <c r="B149" s="4" t="str">
        <f>"9/20/"&amp;RIGHT(P5,2)&amp;" FTE Enrollment (include 4yr old at-risk and virtual)"</f>
        <v>9/20/15 FTE Enrollment (include 4yr old at-risk and virtual)</v>
      </c>
      <c r="C149" s="8"/>
      <c r="E149" s="8"/>
      <c r="F149" s="8"/>
      <c r="H149" s="4017"/>
      <c r="J149" s="2771">
        <f>IF(ISERROR(A149),0,A149)</f>
        <v>334.8</v>
      </c>
      <c r="L149" s="8"/>
      <c r="M149" s="8"/>
      <c r="N149" s="8"/>
      <c r="O149" s="8"/>
      <c r="P149" s="8"/>
      <c r="Q149" s="8"/>
    </row>
    <row r="150" spans="1:23" ht="12.75" customHeight="1">
      <c r="A150" s="4103">
        <f>A47+A48+A78+A79+ROUND(A80/6,1)</f>
        <v>340</v>
      </c>
      <c r="B150" s="8" t="str">
        <f>"9/20/"&amp;RIGHT(Q5,2)&amp;" FTE Enrollment (Estimated)"</f>
        <v>9/20/16 FTE Enrollment (Estimated)</v>
      </c>
      <c r="H150" s="3946"/>
      <c r="R150" s="4"/>
      <c r="S150" s="4"/>
      <c r="T150" s="4"/>
      <c r="U150" s="4"/>
      <c r="V150" s="4"/>
      <c r="W150" s="4"/>
    </row>
    <row r="151" spans="1:23" ht="15" customHeight="1">
      <c r="H151" s="3946"/>
      <c r="L151" s="4"/>
      <c r="M151" s="4"/>
      <c r="N151" s="4"/>
      <c r="O151" s="4"/>
      <c r="P151" s="4"/>
      <c r="Q151" s="4"/>
      <c r="R151" s="4"/>
      <c r="S151" s="4"/>
      <c r="T151" s="4"/>
      <c r="U151" s="4"/>
      <c r="V151" s="4"/>
      <c r="W151" s="4"/>
    </row>
    <row r="152" spans="1:23" s="4" customFormat="1" ht="12.75" customHeight="1">
      <c r="A152" s="4" t="s">
        <v>1931</v>
      </c>
    </row>
    <row r="153" spans="1:23" s="4" customFormat="1" ht="12.75" customHeight="1">
      <c r="A153" s="4" t="s">
        <v>1884</v>
      </c>
      <c r="H153" s="4017"/>
      <c r="N153" s="8"/>
      <c r="O153" s="8"/>
      <c r="P153" s="8"/>
      <c r="Q153" s="8"/>
    </row>
    <row r="154" spans="1:23" s="4" customFormat="1" ht="12.75" customHeight="1">
      <c r="A154" s="4017"/>
      <c r="N154" s="8"/>
      <c r="O154" s="8"/>
      <c r="P154" s="8"/>
      <c r="Q154" s="8"/>
    </row>
    <row r="155" spans="1:23" s="4" customFormat="1" ht="12.75" customHeight="1">
      <c r="N155" s="8"/>
      <c r="O155" s="8"/>
      <c r="P155" s="8"/>
      <c r="Q155" s="8"/>
    </row>
    <row r="156" spans="1:23" s="4" customFormat="1" ht="12.75" customHeight="1">
      <c r="A156" s="2727">
        <v>50</v>
      </c>
      <c r="B156" s="4" t="str">
        <f>"9/20/"&amp;RIGHT(Q5,2)&amp;" Headcount Eligible for Reduced Meals (Estimated)"</f>
        <v>9/20/16 Headcount Eligible for Reduced Meals (Estimated)</v>
      </c>
      <c r="H156" s="4017"/>
      <c r="N156" s="8"/>
      <c r="O156" s="8"/>
      <c r="P156" s="8"/>
      <c r="Q156" s="8"/>
    </row>
    <row r="157" spans="1:23" s="4" customFormat="1" ht="12.75" customHeight="1">
      <c r="A157" s="2797" t="str">
        <f>IF(A156&gt;A150,"Headcount Eligible for Reduced Meals is greater than FTE** Enrollment for 9/20/"&amp;Q5&amp;"!"," ")</f>
        <v xml:space="preserve"> </v>
      </c>
      <c r="N157" s="8"/>
      <c r="O157" s="8"/>
      <c r="P157" s="8"/>
      <c r="Q157" s="8"/>
    </row>
    <row r="158" spans="1:23" s="4" customFormat="1" ht="12.75" customHeight="1">
      <c r="N158" s="8"/>
      <c r="O158" s="8"/>
      <c r="P158" s="8"/>
      <c r="Q158" s="8"/>
    </row>
    <row r="159" spans="1:23" s="4" customFormat="1" ht="12.75" customHeight="1"/>
    <row r="160" spans="1:23" s="4" customFormat="1" ht="12.75" customHeight="1"/>
    <row r="161" spans="1:38" s="4" customFormat="1" ht="12.75" customHeight="1">
      <c r="R161" s="8"/>
      <c r="S161" s="8"/>
      <c r="T161" s="8"/>
      <c r="U161" s="8"/>
      <c r="V161" s="8"/>
      <c r="W161" s="8"/>
    </row>
    <row r="162" spans="1:38" s="4" customFormat="1" ht="12.75" customHeight="1">
      <c r="R162" s="8"/>
      <c r="S162" s="8"/>
      <c r="T162" s="8"/>
      <c r="U162" s="8"/>
      <c r="V162" s="8"/>
      <c r="W162" s="8"/>
    </row>
    <row r="163" spans="1:38" s="4" customFormat="1" ht="12.75" customHeight="1"/>
    <row r="164" spans="1:38" s="4" customFormat="1" ht="12.75" customHeight="1"/>
    <row r="165" spans="1:38" s="4" customFormat="1" ht="12.75" customHeight="1"/>
    <row r="166" spans="1:38" s="4" customFormat="1" ht="12.75" customHeight="1"/>
    <row r="167" spans="1:38" s="4" customFormat="1" ht="12.75" customHeight="1"/>
    <row r="168" spans="1:38" s="4" customFormat="1" ht="12.75" customHeight="1"/>
    <row r="169" spans="1:38" s="4" customFormat="1" ht="12.75" customHeight="1"/>
    <row r="170" spans="1:38" s="4" customFormat="1" ht="12.75" customHeight="1"/>
    <row r="171" spans="1:38" s="4" customFormat="1" ht="12.75" customHeight="1">
      <c r="L171" s="8"/>
      <c r="M171" s="8"/>
      <c r="N171" s="8"/>
      <c r="O171" s="8"/>
      <c r="P171" s="8"/>
      <c r="Q171" s="8"/>
    </row>
    <row r="172" spans="1:38" s="4" customFormat="1" ht="24" customHeight="1">
      <c r="A172" s="4" t="s">
        <v>1684</v>
      </c>
      <c r="L172" s="8"/>
      <c r="M172" s="8"/>
      <c r="N172" s="8"/>
      <c r="O172" s="8"/>
      <c r="P172" s="8"/>
      <c r="Q172" s="8"/>
    </row>
    <row r="173" spans="1:38" s="4" customFormat="1" ht="33.75" customHeight="1">
      <c r="A173" s="5254" t="str">
        <f>"USD " &amp;B3</f>
        <v>USD 270 - Plainville</v>
      </c>
      <c r="B173" s="5254"/>
      <c r="C173" s="5254"/>
      <c r="D173" s="5254"/>
      <c r="E173" s="5254"/>
      <c r="F173" s="5254"/>
      <c r="G173" s="5254"/>
    </row>
    <row r="174" spans="1:38" s="4" customFormat="1" ht="30.75" customHeight="1">
      <c r="A174" s="2733" t="str">
        <f>B5</f>
        <v>Rooks</v>
      </c>
    </row>
    <row r="175" spans="1:38" s="4" customFormat="1" ht="30.75" customHeight="1">
      <c r="A175" s="2734">
        <f>B4</f>
        <v>270</v>
      </c>
    </row>
    <row r="176" spans="1:38" ht="34.5" customHeight="1">
      <c r="A176" s="23"/>
      <c r="B176" s="23"/>
      <c r="C176" s="23"/>
      <c r="D176" s="23"/>
      <c r="E176" s="23"/>
      <c r="F176" s="23"/>
      <c r="L176" s="4"/>
      <c r="M176" s="4"/>
      <c r="N176" s="4"/>
      <c r="O176" s="4"/>
      <c r="P176" s="4"/>
      <c r="Q176" s="4"/>
      <c r="R176" s="4"/>
      <c r="S176" s="4"/>
      <c r="T176" s="4"/>
      <c r="U176" s="4"/>
      <c r="V176" s="4"/>
      <c r="W176" s="4"/>
      <c r="AE176" s="3110"/>
      <c r="AF176" s="21"/>
      <c r="AG176" s="3110"/>
      <c r="AH176" s="21"/>
      <c r="AK176" s="3288"/>
      <c r="AL176" s="21"/>
    </row>
    <row r="177" spans="1:44" ht="32.25" customHeight="1">
      <c r="A177" s="5255" t="str">
        <f>B3</f>
        <v>270 - Plainville</v>
      </c>
      <c r="B177" s="5255"/>
      <c r="C177" s="5255"/>
      <c r="D177" s="5255"/>
      <c r="E177" s="5255"/>
      <c r="F177" s="5255"/>
      <c r="G177" s="3261"/>
      <c r="I177" s="3301"/>
      <c r="K177" s="3300"/>
      <c r="L177" s="4"/>
      <c r="M177" s="4"/>
      <c r="N177" s="4"/>
      <c r="O177" s="4"/>
      <c r="P177" s="4"/>
      <c r="Q177" s="4"/>
      <c r="R177" s="4"/>
      <c r="S177" s="4"/>
      <c r="T177" s="4"/>
      <c r="U177" s="4"/>
      <c r="V177" s="4"/>
      <c r="W177" s="4"/>
      <c r="X177" s="2894"/>
      <c r="AE177" s="3288"/>
      <c r="AF177" s="3320"/>
      <c r="AG177" s="3288"/>
      <c r="AH177" s="3288"/>
      <c r="AI177" s="3311"/>
      <c r="AJ177" s="3320"/>
      <c r="AK177" s="3311"/>
      <c r="AL177" s="3288"/>
      <c r="AP177" s="3323"/>
      <c r="AQ177" s="3323"/>
    </row>
    <row r="178" spans="1:44" ht="12.75" customHeight="1">
      <c r="A178" s="3383"/>
      <c r="B178" s="3317"/>
      <c r="C178" s="3555"/>
      <c r="D178" s="3383"/>
      <c r="E178" s="3317"/>
      <c r="F178" s="3317"/>
      <c r="G178" s="3311"/>
      <c r="H178" s="3556"/>
      <c r="I178" s="3568"/>
      <c r="J178" s="3569"/>
      <c r="K178" s="3568"/>
      <c r="L178" s="4"/>
      <c r="M178" s="4"/>
      <c r="N178" s="4"/>
      <c r="O178" s="4"/>
      <c r="P178" s="4"/>
      <c r="Q178" s="4"/>
      <c r="R178" s="4"/>
      <c r="S178" s="4"/>
      <c r="T178" s="4"/>
      <c r="U178" s="4"/>
      <c r="V178" s="4"/>
      <c r="W178" s="4"/>
      <c r="X178" s="3570"/>
      <c r="Y178" s="3570"/>
      <c r="Z178" s="3572"/>
      <c r="AA178" s="3570"/>
      <c r="AB178" s="3570"/>
      <c r="AC178" s="3570"/>
      <c r="AD178" s="3570"/>
      <c r="AE178" s="3582"/>
      <c r="AF178" s="3582"/>
      <c r="AG178" s="3578"/>
      <c r="AH178" s="3110"/>
      <c r="AI178" s="3582"/>
      <c r="AJ178" s="3582"/>
      <c r="AK178" s="3580"/>
      <c r="AL178" s="3580"/>
      <c r="AP178" s="5250"/>
      <c r="AQ178" s="5250"/>
    </row>
    <row r="179" spans="1:44" s="36" customFormat="1" ht="12.75" customHeight="1">
      <c r="A179" s="3317"/>
      <c r="B179" s="3317"/>
      <c r="C179" s="3312"/>
      <c r="D179" s="3318"/>
      <c r="E179" s="3317"/>
      <c r="F179" s="3317"/>
      <c r="G179" s="3320"/>
      <c r="H179" s="3288"/>
      <c r="I179" s="3569"/>
      <c r="J179" s="3569"/>
      <c r="K179" s="3571"/>
      <c r="L179" s="4"/>
      <c r="M179" s="4"/>
      <c r="N179" s="4"/>
      <c r="O179" s="4"/>
      <c r="P179" s="4"/>
      <c r="Q179" s="4"/>
      <c r="R179" s="4"/>
      <c r="S179" s="4"/>
      <c r="T179" s="4"/>
      <c r="U179" s="4"/>
      <c r="V179" s="4"/>
      <c r="W179" s="4"/>
      <c r="X179" s="3559"/>
      <c r="Y179" s="3559"/>
      <c r="Z179" s="3559"/>
      <c r="AA179" s="3559"/>
      <c r="AB179" s="3559"/>
      <c r="AC179" s="3559"/>
      <c r="AD179" s="3559"/>
      <c r="AE179" s="3581"/>
      <c r="AF179" s="3581"/>
      <c r="AG179" s="3323"/>
      <c r="AH179" s="3323"/>
      <c r="AI179" s="3582"/>
      <c r="AJ179" s="3582"/>
      <c r="AK179" s="3580"/>
      <c r="AL179" s="3580"/>
      <c r="AM179" s="3579"/>
      <c r="AN179" s="3579"/>
      <c r="AO179" s="3579"/>
      <c r="AP179" s="5250"/>
      <c r="AQ179" s="5250"/>
      <c r="AR179" s="3320"/>
    </row>
    <row r="180" spans="1:44" s="36" customFormat="1" ht="12.75" customHeight="1">
      <c r="A180" s="3561"/>
      <c r="B180" s="3561"/>
      <c r="C180" s="3562"/>
      <c r="D180" s="3561"/>
      <c r="E180" s="3561"/>
      <c r="F180" s="3561"/>
      <c r="G180" s="3563"/>
      <c r="H180" s="3562"/>
      <c r="I180" s="3569"/>
      <c r="J180" s="3569"/>
      <c r="K180" s="4175"/>
      <c r="L180" s="4"/>
      <c r="M180" s="4"/>
      <c r="N180" s="4"/>
      <c r="O180" s="4"/>
      <c r="P180" s="4"/>
      <c r="Q180" s="4"/>
      <c r="R180" s="4"/>
      <c r="S180" s="4"/>
      <c r="T180" s="4"/>
      <c r="U180" s="4"/>
      <c r="V180" s="4"/>
      <c r="W180" s="4"/>
      <c r="X180" s="3577"/>
      <c r="Y180" s="3577"/>
      <c r="Z180" s="3577"/>
      <c r="AA180" s="3577"/>
      <c r="AB180" s="3577"/>
      <c r="AC180" s="3577"/>
      <c r="AD180" s="3577"/>
      <c r="AE180" s="3581"/>
      <c r="AF180" s="3581"/>
      <c r="AG180" s="3323"/>
      <c r="AH180" s="3323"/>
      <c r="AI180" s="3581"/>
      <c r="AJ180" s="3581"/>
      <c r="AK180" s="3323"/>
      <c r="AL180" s="3323"/>
      <c r="AM180" s="3580"/>
      <c r="AN180" s="3323"/>
      <c r="AO180" s="3323"/>
      <c r="AP180" s="5249"/>
      <c r="AQ180" s="5249"/>
      <c r="AR180" s="3321"/>
    </row>
    <row r="181" spans="1:44" ht="12.75" customHeight="1">
      <c r="A181" s="3316"/>
      <c r="B181" s="3316"/>
      <c r="C181" s="3316"/>
      <c r="D181" s="3316"/>
      <c r="E181" s="3316"/>
      <c r="F181" s="3316"/>
      <c r="G181" s="3316"/>
      <c r="H181" s="3316"/>
      <c r="I181" s="3559"/>
      <c r="J181" s="3316"/>
      <c r="K181" s="3559"/>
      <c r="L181" s="4"/>
      <c r="M181" s="4"/>
      <c r="N181" s="4"/>
      <c r="O181" s="4"/>
      <c r="P181" s="4"/>
      <c r="Q181" s="4"/>
      <c r="R181" s="4"/>
      <c r="S181" s="4"/>
      <c r="T181" s="4"/>
      <c r="U181" s="4"/>
      <c r="V181" s="4"/>
      <c r="W181" s="4"/>
      <c r="X181" s="3576"/>
      <c r="Y181" s="2597"/>
      <c r="Z181" s="3576"/>
      <c r="AA181" s="2597"/>
      <c r="AB181" s="3576"/>
      <c r="AC181" s="2597"/>
      <c r="AD181" s="3576"/>
      <c r="AE181" s="21"/>
      <c r="AF181" s="21"/>
      <c r="AG181" s="21"/>
      <c r="AH181" s="21"/>
      <c r="AI181" s="21"/>
      <c r="AJ181" s="21"/>
      <c r="AK181" s="3288"/>
      <c r="AL181" s="3288"/>
      <c r="AM181" s="3318"/>
      <c r="AN181" s="3318"/>
      <c r="AO181" s="3318"/>
      <c r="AP181" s="3324"/>
      <c r="AQ181" s="3311"/>
      <c r="AR181" s="3320"/>
    </row>
    <row r="182" spans="1:44" ht="12.75" customHeight="1">
      <c r="A182" s="3325"/>
      <c r="B182" s="3340"/>
      <c r="C182" s="3248"/>
      <c r="D182" s="3325"/>
      <c r="E182" s="3315"/>
      <c r="F182" s="3340"/>
      <c r="G182" s="3244"/>
      <c r="H182" s="3304"/>
      <c r="I182" s="3564"/>
      <c r="J182" s="3565"/>
      <c r="K182" s="3566"/>
      <c r="L182" s="4"/>
      <c r="M182" s="4"/>
      <c r="N182" s="4"/>
      <c r="O182" s="4"/>
      <c r="P182" s="4"/>
      <c r="Q182" s="4"/>
      <c r="R182" s="4"/>
      <c r="S182" s="4"/>
      <c r="T182" s="4"/>
      <c r="U182" s="4"/>
      <c r="V182" s="4"/>
      <c r="W182" s="4"/>
      <c r="X182" s="3251"/>
      <c r="Y182" s="2597"/>
      <c r="Z182" s="3251"/>
      <c r="AA182" s="2597"/>
      <c r="AB182" s="3251"/>
      <c r="AC182" s="2597"/>
      <c r="AD182" s="3251"/>
      <c r="AE182" s="3325"/>
      <c r="AF182" s="3342"/>
      <c r="AG182" s="3343"/>
      <c r="AH182" s="3303"/>
      <c r="AI182" s="3244"/>
      <c r="AJ182" s="3302"/>
      <c r="AK182" s="3244"/>
      <c r="AL182" s="3303"/>
      <c r="AM182" s="3325"/>
      <c r="AN182" s="3015"/>
      <c r="AO182" s="3344"/>
      <c r="AP182" s="3325"/>
      <c r="AQ182" s="3303"/>
      <c r="AR182" s="3303"/>
    </row>
    <row r="183" spans="1:44" ht="12.75" customHeight="1">
      <c r="A183" s="3325"/>
      <c r="B183" s="3340"/>
      <c r="C183" s="3248"/>
      <c r="D183" s="3325"/>
      <c r="E183" s="3315"/>
      <c r="F183" s="3340"/>
      <c r="G183" s="3244"/>
      <c r="H183" s="3304"/>
      <c r="I183" s="3564"/>
      <c r="J183" s="3565"/>
      <c r="K183" s="3566"/>
      <c r="L183" s="4"/>
      <c r="M183" s="4"/>
      <c r="N183" s="4"/>
      <c r="O183" s="4"/>
      <c r="P183" s="4"/>
      <c r="Q183" s="4"/>
      <c r="R183" s="4"/>
      <c r="S183" s="4"/>
      <c r="T183" s="4"/>
      <c r="U183" s="4"/>
      <c r="V183" s="4"/>
      <c r="W183" s="4"/>
      <c r="X183" s="3251"/>
      <c r="Y183" s="2597"/>
      <c r="Z183" s="3251"/>
      <c r="AA183" s="2597"/>
      <c r="AB183" s="3251"/>
      <c r="AC183" s="2597"/>
      <c r="AD183" s="3251"/>
      <c r="AE183" s="3325"/>
      <c r="AF183" s="3342"/>
      <c r="AG183" s="3343"/>
      <c r="AH183" s="3303"/>
      <c r="AI183" s="3244"/>
      <c r="AJ183" s="3302"/>
      <c r="AK183" s="3244"/>
      <c r="AL183" s="3303"/>
      <c r="AM183" s="3325"/>
      <c r="AN183" s="3015"/>
      <c r="AO183" s="3344"/>
      <c r="AP183" s="3325"/>
      <c r="AQ183" s="3303"/>
      <c r="AR183" s="3303"/>
    </row>
    <row r="184" spans="1:44" ht="12.75" customHeight="1">
      <c r="A184" s="3325"/>
      <c r="B184" s="3340"/>
      <c r="C184" s="3248"/>
      <c r="D184" s="3325"/>
      <c r="E184" s="3315"/>
      <c r="F184" s="3340"/>
      <c r="G184" s="3244"/>
      <c r="H184" s="3304"/>
      <c r="I184" s="3564"/>
      <c r="J184" s="3565"/>
      <c r="K184" s="3566"/>
      <c r="L184" s="4"/>
      <c r="M184" s="4"/>
      <c r="N184" s="4"/>
      <c r="O184" s="4"/>
      <c r="P184" s="4"/>
      <c r="Q184" s="4"/>
      <c r="R184" s="4"/>
      <c r="S184" s="4"/>
      <c r="T184" s="4"/>
      <c r="U184" s="4"/>
      <c r="V184" s="4"/>
      <c r="W184" s="4"/>
      <c r="X184" s="3251"/>
      <c r="Y184" s="2597"/>
      <c r="Z184" s="3251"/>
      <c r="AA184" s="2597"/>
      <c r="AB184" s="3251"/>
      <c r="AC184" s="2597"/>
      <c r="AD184" s="3251"/>
      <c r="AE184" s="3325"/>
      <c r="AF184" s="3342"/>
      <c r="AG184" s="3343"/>
      <c r="AH184" s="3303"/>
      <c r="AI184" s="3244"/>
      <c r="AJ184" s="3302"/>
      <c r="AK184" s="3244"/>
      <c r="AL184" s="3303"/>
      <c r="AM184" s="3325"/>
      <c r="AN184" s="3015"/>
      <c r="AO184" s="3344"/>
      <c r="AP184" s="3325"/>
      <c r="AQ184" s="3303"/>
      <c r="AR184" s="3303"/>
    </row>
    <row r="185" spans="1:44" ht="12.75" customHeight="1">
      <c r="A185" s="3325"/>
      <c r="B185" s="3340"/>
      <c r="C185" s="3248"/>
      <c r="D185" s="3325"/>
      <c r="E185" s="3315"/>
      <c r="F185" s="3340"/>
      <c r="G185" s="3244"/>
      <c r="H185" s="3304"/>
      <c r="I185" s="3564"/>
      <c r="J185" s="3565"/>
      <c r="K185" s="3566"/>
      <c r="L185" s="4"/>
      <c r="M185" s="4"/>
      <c r="N185" s="4"/>
      <c r="O185" s="4"/>
      <c r="P185" s="4"/>
      <c r="Q185" s="4"/>
      <c r="R185" s="4"/>
      <c r="S185" s="4"/>
      <c r="T185" s="4"/>
      <c r="U185" s="4"/>
      <c r="V185" s="4"/>
      <c r="W185" s="4"/>
      <c r="X185" s="3251"/>
      <c r="Y185" s="2597"/>
      <c r="Z185" s="3251"/>
      <c r="AA185" s="2597"/>
      <c r="AB185" s="3251"/>
      <c r="AC185" s="2597"/>
      <c r="AD185" s="3251"/>
      <c r="AE185" s="3325"/>
      <c r="AF185" s="3342"/>
      <c r="AG185" s="3343"/>
      <c r="AH185" s="3303"/>
      <c r="AI185" s="3244"/>
      <c r="AJ185" s="3302"/>
      <c r="AK185" s="3244"/>
      <c r="AL185" s="3303"/>
      <c r="AM185" s="3325"/>
      <c r="AN185" s="3015"/>
      <c r="AO185" s="3344"/>
      <c r="AP185" s="3325"/>
      <c r="AQ185" s="3303"/>
      <c r="AR185" s="3303"/>
    </row>
    <row r="186" spans="1:44" ht="12.75" customHeight="1">
      <c r="A186" s="3325"/>
      <c r="B186" s="3340"/>
      <c r="C186" s="3248"/>
      <c r="D186" s="3325"/>
      <c r="E186" s="3315"/>
      <c r="F186" s="3340"/>
      <c r="G186" s="3244"/>
      <c r="H186" s="3304"/>
      <c r="I186" s="3564"/>
      <c r="J186" s="3565"/>
      <c r="K186" s="3566"/>
      <c r="L186" s="4"/>
      <c r="M186" s="4"/>
      <c r="N186" s="4"/>
      <c r="O186" s="4"/>
      <c r="P186" s="4"/>
      <c r="Q186" s="4"/>
      <c r="R186" s="4"/>
      <c r="S186" s="4"/>
      <c r="T186" s="4"/>
      <c r="U186" s="4"/>
      <c r="V186" s="4"/>
      <c r="W186" s="4"/>
      <c r="X186" s="3251"/>
      <c r="Y186" s="2597"/>
      <c r="Z186" s="3251"/>
      <c r="AA186" s="2597"/>
      <c r="AB186" s="3251"/>
      <c r="AC186" s="2597"/>
      <c r="AD186" s="3251"/>
      <c r="AE186" s="3325"/>
      <c r="AF186" s="3342"/>
      <c r="AG186" s="3343"/>
      <c r="AH186" s="3303"/>
      <c r="AI186" s="3244"/>
      <c r="AJ186" s="3302"/>
      <c r="AK186" s="3244"/>
      <c r="AL186" s="3303"/>
      <c r="AM186" s="3325"/>
      <c r="AN186" s="3015"/>
      <c r="AO186" s="3344"/>
      <c r="AP186" s="3325"/>
      <c r="AQ186" s="3303"/>
      <c r="AR186" s="3303"/>
    </row>
    <row r="187" spans="1:44" ht="12.75" customHeight="1">
      <c r="A187" s="3325"/>
      <c r="B187" s="3340"/>
      <c r="C187" s="3248"/>
      <c r="D187" s="3325"/>
      <c r="E187" s="3315"/>
      <c r="F187" s="3340"/>
      <c r="G187" s="3244"/>
      <c r="H187" s="3304"/>
      <c r="I187" s="3564"/>
      <c r="J187" s="3565"/>
      <c r="K187" s="3566"/>
      <c r="L187" s="4"/>
      <c r="M187" s="4"/>
      <c r="N187" s="4"/>
      <c r="O187" s="4"/>
      <c r="P187" s="4"/>
      <c r="Q187" s="4"/>
      <c r="U187" s="3110"/>
      <c r="V187" s="21"/>
      <c r="X187" s="3251"/>
      <c r="Y187" s="2597"/>
      <c r="Z187" s="3251"/>
      <c r="AA187" s="2597"/>
      <c r="AB187" s="3251"/>
      <c r="AC187" s="2597"/>
      <c r="AD187" s="3251"/>
      <c r="AE187" s="3325"/>
      <c r="AF187" s="3342"/>
      <c r="AG187" s="3343"/>
      <c r="AH187" s="3303"/>
      <c r="AI187" s="3244"/>
      <c r="AJ187" s="3302"/>
      <c r="AK187" s="3244"/>
      <c r="AL187" s="3303"/>
      <c r="AM187" s="3325"/>
      <c r="AN187" s="3015"/>
      <c r="AO187" s="3344"/>
      <c r="AP187" s="3325"/>
      <c r="AQ187" s="3303"/>
      <c r="AR187" s="3303"/>
    </row>
    <row r="188" spans="1:44" ht="12.75" customHeight="1">
      <c r="A188" s="3325"/>
      <c r="B188" s="3340"/>
      <c r="C188" s="3248"/>
      <c r="D188" s="3325"/>
      <c r="E188" s="3315"/>
      <c r="F188" s="3340"/>
      <c r="G188" s="3244"/>
      <c r="H188" s="3304"/>
      <c r="I188" s="3564"/>
      <c r="J188" s="3565"/>
      <c r="K188" s="3566"/>
      <c r="L188" s="4"/>
      <c r="M188" s="4"/>
      <c r="N188" s="4"/>
      <c r="O188" s="4"/>
      <c r="P188" s="4"/>
      <c r="Q188" s="4"/>
      <c r="R188" s="3582"/>
      <c r="S188" s="3311"/>
      <c r="T188" s="3288"/>
      <c r="U188" s="3568"/>
      <c r="V188" s="3575"/>
      <c r="W188" s="2894"/>
      <c r="X188" s="3251"/>
      <c r="Y188" s="2597"/>
      <c r="Z188" s="3251"/>
      <c r="AA188" s="2597"/>
      <c r="AB188" s="3251"/>
      <c r="AC188" s="2597"/>
      <c r="AD188" s="3251"/>
      <c r="AE188" s="3325"/>
      <c r="AF188" s="3342"/>
      <c r="AG188" s="3343"/>
      <c r="AH188" s="3303"/>
      <c r="AI188" s="3244"/>
      <c r="AJ188" s="3302"/>
      <c r="AK188" s="3244"/>
      <c r="AL188" s="3303"/>
      <c r="AM188" s="3325"/>
      <c r="AN188" s="3015"/>
      <c r="AO188" s="3344"/>
      <c r="AP188" s="3325"/>
      <c r="AQ188" s="3303"/>
      <c r="AR188" s="3303"/>
    </row>
    <row r="189" spans="1:44" ht="12.75" customHeight="1">
      <c r="A189" s="3325"/>
      <c r="B189" s="3340"/>
      <c r="C189" s="3248"/>
      <c r="D189" s="3325"/>
      <c r="E189" s="3315"/>
      <c r="F189" s="3340"/>
      <c r="G189" s="3244"/>
      <c r="H189" s="3304"/>
      <c r="I189" s="3564"/>
      <c r="J189" s="3565"/>
      <c r="K189" s="3566"/>
      <c r="L189" s="4"/>
      <c r="M189" s="4"/>
      <c r="N189" s="4"/>
      <c r="O189" s="4"/>
      <c r="P189" s="4"/>
      <c r="Q189" s="4"/>
      <c r="R189" s="3572"/>
      <c r="S189" s="3568"/>
      <c r="T189" s="3572"/>
      <c r="U189" s="3568"/>
      <c r="V189" s="3572"/>
      <c r="W189" s="3570"/>
      <c r="X189" s="3251"/>
      <c r="Y189" s="2597"/>
      <c r="Z189" s="3251"/>
      <c r="AA189" s="2597"/>
      <c r="AB189" s="3251"/>
      <c r="AC189" s="2597"/>
      <c r="AD189" s="3251"/>
      <c r="AE189" s="3325"/>
      <c r="AF189" s="3342"/>
      <c r="AG189" s="3343"/>
      <c r="AH189" s="3303"/>
      <c r="AI189" s="3244"/>
      <c r="AJ189" s="3302"/>
      <c r="AK189" s="3244"/>
      <c r="AL189" s="3303"/>
      <c r="AM189" s="3325"/>
      <c r="AN189" s="3015"/>
      <c r="AO189" s="3344"/>
      <c r="AP189" s="3325"/>
      <c r="AQ189" s="3303"/>
      <c r="AR189" s="3303"/>
    </row>
    <row r="190" spans="1:44" ht="12.75" customHeight="1">
      <c r="A190" s="3325"/>
      <c r="B190" s="3340"/>
      <c r="C190" s="3248"/>
      <c r="D190" s="3325"/>
      <c r="E190" s="3315"/>
      <c r="F190" s="3340"/>
      <c r="G190" s="3244"/>
      <c r="H190" s="3304"/>
      <c r="I190" s="3564"/>
      <c r="J190" s="3565"/>
      <c r="K190" s="3566"/>
      <c r="L190" s="4"/>
      <c r="M190" s="4"/>
      <c r="N190" s="4"/>
      <c r="O190" s="4"/>
      <c r="P190" s="4"/>
      <c r="Q190" s="4"/>
      <c r="R190" s="3577"/>
      <c r="S190" s="3571"/>
      <c r="T190" s="3571"/>
      <c r="U190" s="3572"/>
      <c r="V190" s="3572"/>
      <c r="W190" s="3559"/>
      <c r="X190" s="3251"/>
      <c r="Y190" s="2597"/>
      <c r="Z190" s="3251"/>
      <c r="AA190" s="2597"/>
      <c r="AB190" s="3251"/>
      <c r="AC190" s="2597"/>
      <c r="AD190" s="3251"/>
      <c r="AE190" s="3325"/>
      <c r="AF190" s="3342"/>
      <c r="AG190" s="3343"/>
      <c r="AH190" s="3303"/>
      <c r="AI190" s="3244"/>
      <c r="AJ190" s="3302"/>
      <c r="AK190" s="3244"/>
      <c r="AL190" s="3303"/>
      <c r="AM190" s="3325"/>
      <c r="AN190" s="3015"/>
      <c r="AO190" s="3344"/>
      <c r="AP190" s="3325"/>
      <c r="AQ190" s="3303"/>
      <c r="AR190" s="3303"/>
    </row>
    <row r="191" spans="1:44" ht="12.75" customHeight="1">
      <c r="A191" s="3325"/>
      <c r="B191" s="3340"/>
      <c r="C191" s="3248"/>
      <c r="D191" s="3325"/>
      <c r="E191" s="3315"/>
      <c r="F191" s="3340"/>
      <c r="G191" s="3244"/>
      <c r="H191" s="3304"/>
      <c r="I191" s="3564"/>
      <c r="J191" s="3565"/>
      <c r="K191" s="3566"/>
      <c r="L191" s="4"/>
      <c r="M191" s="4"/>
      <c r="N191" s="4"/>
      <c r="O191" s="4"/>
      <c r="P191" s="4"/>
      <c r="Q191" s="4"/>
      <c r="R191" s="3573"/>
      <c r="S191" s="3569"/>
      <c r="T191" s="3571"/>
      <c r="U191" s="3572"/>
      <c r="V191" s="3572"/>
      <c r="W191" s="3577"/>
      <c r="X191" s="3251"/>
      <c r="Y191" s="2597"/>
      <c r="Z191" s="3251"/>
      <c r="AA191" s="2597"/>
      <c r="AB191" s="3251"/>
      <c r="AC191" s="2597"/>
      <c r="AD191" s="3251"/>
      <c r="AE191" s="3325"/>
      <c r="AF191" s="3342"/>
      <c r="AG191" s="3343"/>
      <c r="AH191" s="3303"/>
      <c r="AI191" s="3244"/>
      <c r="AJ191" s="3302"/>
      <c r="AK191" s="3244"/>
      <c r="AL191" s="3303"/>
      <c r="AM191" s="3325"/>
      <c r="AN191" s="3015"/>
      <c r="AO191" s="3344"/>
      <c r="AP191" s="3325"/>
      <c r="AQ191" s="3303"/>
      <c r="AR191" s="3303"/>
    </row>
    <row r="192" spans="1:44" ht="12.75" customHeight="1">
      <c r="A192" s="3325"/>
      <c r="B192" s="3340"/>
      <c r="C192" s="3248"/>
      <c r="D192" s="3325"/>
      <c r="E192" s="3315"/>
      <c r="F192" s="3340"/>
      <c r="G192" s="3244"/>
      <c r="H192" s="3304"/>
      <c r="I192" s="3564"/>
      <c r="J192" s="3565"/>
      <c r="K192" s="3566"/>
      <c r="L192" s="4"/>
      <c r="M192" s="4"/>
      <c r="N192" s="4"/>
      <c r="O192" s="4"/>
      <c r="P192" s="4"/>
      <c r="Q192" s="4"/>
      <c r="R192" s="3559"/>
      <c r="S192" s="3571"/>
      <c r="T192" s="3571"/>
      <c r="U192" s="3559"/>
      <c r="V192" s="3559"/>
      <c r="W192" s="2597"/>
      <c r="X192" s="3251"/>
      <c r="Y192" s="2597"/>
      <c r="Z192" s="3251"/>
      <c r="AA192" s="2597"/>
      <c r="AB192" s="3251"/>
      <c r="AC192" s="2597"/>
      <c r="AD192" s="3251"/>
      <c r="AE192" s="3325"/>
      <c r="AF192" s="3341"/>
      <c r="AG192" s="3343"/>
      <c r="AH192" s="3303"/>
      <c r="AI192" s="3244"/>
      <c r="AJ192" s="3302"/>
      <c r="AK192" s="3244"/>
      <c r="AL192" s="3303"/>
      <c r="AM192" s="3325"/>
      <c r="AN192" s="3015"/>
      <c r="AO192" s="3344"/>
      <c r="AP192" s="3325"/>
      <c r="AQ192" s="3303"/>
      <c r="AR192" s="3303"/>
    </row>
    <row r="193" spans="1:44" ht="12.75" customHeight="1">
      <c r="A193" s="3325"/>
      <c r="B193" s="3340"/>
      <c r="C193" s="3248"/>
      <c r="D193" s="3325"/>
      <c r="E193" s="3315"/>
      <c r="F193" s="3340"/>
      <c r="G193" s="3244"/>
      <c r="H193" s="3304"/>
      <c r="I193" s="3564"/>
      <c r="J193" s="3565"/>
      <c r="K193" s="3566"/>
      <c r="L193" s="4"/>
      <c r="M193" s="4"/>
      <c r="N193" s="4"/>
      <c r="O193" s="4"/>
      <c r="P193" s="4"/>
      <c r="Q193" s="4"/>
      <c r="R193" s="3251"/>
      <c r="S193" s="3566"/>
      <c r="T193" s="3557"/>
      <c r="U193" s="3566"/>
      <c r="V193" s="3567"/>
      <c r="W193" s="2597"/>
      <c r="X193" s="3251"/>
      <c r="Y193" s="2597"/>
      <c r="Z193" s="3251"/>
      <c r="AA193" s="2597"/>
      <c r="AB193" s="3251"/>
      <c r="AC193" s="2597"/>
      <c r="AD193" s="3251"/>
      <c r="AE193" s="3325"/>
      <c r="AF193" s="3341"/>
      <c r="AG193" s="3343"/>
      <c r="AH193" s="3303"/>
      <c r="AI193" s="3244"/>
      <c r="AJ193" s="3302"/>
      <c r="AK193" s="3244"/>
      <c r="AL193" s="3303"/>
      <c r="AM193" s="3325"/>
      <c r="AN193" s="3015"/>
      <c r="AO193" s="3344"/>
      <c r="AP193" s="3325"/>
      <c r="AQ193" s="3303"/>
      <c r="AR193" s="3303"/>
    </row>
    <row r="194" spans="1:44" ht="12.75" customHeight="1">
      <c r="A194" s="3325"/>
      <c r="B194" s="3340"/>
      <c r="C194" s="3248"/>
      <c r="D194" s="3325"/>
      <c r="E194" s="3315"/>
      <c r="F194" s="3340"/>
      <c r="G194" s="3244"/>
      <c r="H194" s="3304"/>
      <c r="I194" s="3564"/>
      <c r="J194" s="3565"/>
      <c r="K194" s="3566"/>
      <c r="L194" s="4"/>
      <c r="M194" s="4"/>
      <c r="N194" s="4"/>
      <c r="O194" s="4"/>
      <c r="P194" s="4"/>
      <c r="Q194" s="4"/>
      <c r="R194" s="3251"/>
      <c r="S194" s="3566"/>
      <c r="T194" s="3557"/>
      <c r="U194" s="3566"/>
      <c r="V194" s="3567"/>
      <c r="W194" s="2597"/>
      <c r="X194" s="3251"/>
      <c r="Y194" s="2597"/>
      <c r="Z194" s="3251"/>
      <c r="AA194" s="2597"/>
      <c r="AB194" s="3251"/>
      <c r="AC194" s="2597"/>
      <c r="AD194" s="3251"/>
      <c r="AE194" s="3325"/>
      <c r="AF194" s="3341"/>
      <c r="AG194" s="3343"/>
      <c r="AH194" s="3303"/>
      <c r="AI194" s="3244"/>
      <c r="AJ194" s="3302"/>
      <c r="AK194" s="3244"/>
      <c r="AL194" s="3303"/>
      <c r="AM194" s="3325"/>
      <c r="AN194" s="3015"/>
      <c r="AO194" s="3344"/>
      <c r="AP194" s="3325"/>
      <c r="AQ194" s="3303"/>
      <c r="AR194" s="3303"/>
    </row>
    <row r="195" spans="1:44" ht="12.75" customHeight="1">
      <c r="A195" s="3325"/>
      <c r="B195" s="3340"/>
      <c r="C195" s="3248"/>
      <c r="D195" s="3325"/>
      <c r="E195" s="3315"/>
      <c r="F195" s="3340"/>
      <c r="G195" s="3244"/>
      <c r="H195" s="3304"/>
      <c r="I195" s="3564"/>
      <c r="J195" s="3565"/>
      <c r="K195" s="3566"/>
      <c r="L195" s="4"/>
      <c r="M195" s="4"/>
      <c r="N195" s="4"/>
      <c r="O195" s="4"/>
      <c r="P195" s="4"/>
      <c r="Q195" s="4"/>
      <c r="R195" s="3251"/>
      <c r="S195" s="3566"/>
      <c r="T195" s="3557"/>
      <c r="U195" s="3566"/>
      <c r="V195" s="3567"/>
      <c r="W195" s="2597"/>
      <c r="X195" s="3251"/>
      <c r="Y195" s="2597"/>
      <c r="Z195" s="3251"/>
      <c r="AA195" s="2597"/>
      <c r="AB195" s="3251"/>
      <c r="AC195" s="2597"/>
      <c r="AD195" s="3251"/>
      <c r="AE195" s="3325"/>
      <c r="AF195" s="3342"/>
      <c r="AG195" s="3343"/>
      <c r="AH195" s="3303"/>
      <c r="AI195" s="3244"/>
      <c r="AJ195" s="3302"/>
      <c r="AK195" s="3244"/>
      <c r="AL195" s="3303"/>
      <c r="AM195" s="3325"/>
      <c r="AN195" s="3015"/>
      <c r="AO195" s="3344"/>
      <c r="AP195" s="3325"/>
      <c r="AQ195" s="3303"/>
      <c r="AR195" s="3303"/>
    </row>
    <row r="196" spans="1:44" ht="12.75" customHeight="1">
      <c r="A196" s="3325"/>
      <c r="B196" s="3340"/>
      <c r="C196" s="3248"/>
      <c r="D196" s="3325"/>
      <c r="E196" s="3315"/>
      <c r="F196" s="3340"/>
      <c r="G196" s="3244"/>
      <c r="H196" s="3304"/>
      <c r="I196" s="3564"/>
      <c r="J196" s="3565"/>
      <c r="K196" s="3566"/>
      <c r="L196" s="4"/>
      <c r="M196" s="4"/>
      <c r="N196" s="4"/>
      <c r="O196" s="4"/>
      <c r="P196" s="4"/>
      <c r="Q196" s="4"/>
      <c r="R196" s="3251"/>
      <c r="S196" s="3566"/>
      <c r="T196" s="3557"/>
      <c r="U196" s="3566"/>
      <c r="V196" s="3567"/>
      <c r="W196" s="2597"/>
      <c r="X196" s="3251"/>
      <c r="Y196" s="2597"/>
      <c r="Z196" s="3251"/>
      <c r="AA196" s="2597"/>
      <c r="AB196" s="3251"/>
      <c r="AC196" s="2597"/>
      <c r="AD196" s="3251"/>
      <c r="AE196" s="3325"/>
      <c r="AF196" s="3342"/>
      <c r="AG196" s="3343"/>
      <c r="AH196" s="3303"/>
      <c r="AI196" s="3244"/>
      <c r="AJ196" s="3302"/>
      <c r="AK196" s="3244"/>
      <c r="AL196" s="3303"/>
      <c r="AM196" s="3325"/>
      <c r="AN196" s="3015"/>
      <c r="AO196" s="3344"/>
      <c r="AP196" s="3325"/>
      <c r="AQ196" s="3303"/>
      <c r="AR196" s="3303"/>
    </row>
    <row r="197" spans="1:44" ht="12.75" customHeight="1">
      <c r="A197" s="3325"/>
      <c r="B197" s="3340"/>
      <c r="C197" s="3248"/>
      <c r="D197" s="3325"/>
      <c r="E197" s="3315"/>
      <c r="F197" s="3340"/>
      <c r="G197" s="3244"/>
      <c r="H197" s="3304"/>
      <c r="I197" s="3564"/>
      <c r="J197" s="3565"/>
      <c r="K197" s="3566"/>
      <c r="O197" s="3261"/>
      <c r="R197" s="3251"/>
      <c r="S197" s="3566"/>
      <c r="T197" s="3557"/>
      <c r="U197" s="3566"/>
      <c r="V197" s="3567"/>
      <c r="W197" s="2597"/>
      <c r="X197" s="3251"/>
      <c r="Y197" s="2597"/>
      <c r="Z197" s="3251"/>
      <c r="AA197" s="2597"/>
      <c r="AB197" s="3251"/>
      <c r="AC197" s="2597"/>
      <c r="AD197" s="3251"/>
      <c r="AE197" s="3325"/>
      <c r="AF197" s="3342"/>
      <c r="AG197" s="3343"/>
      <c r="AH197" s="3303"/>
      <c r="AI197" s="3244"/>
      <c r="AJ197" s="3302"/>
      <c r="AK197" s="3244"/>
      <c r="AL197" s="3303"/>
      <c r="AM197" s="3325"/>
      <c r="AN197" s="3015"/>
      <c r="AO197" s="3344"/>
      <c r="AP197" s="3325"/>
      <c r="AQ197" s="3303"/>
      <c r="AR197" s="3303"/>
    </row>
    <row r="198" spans="1:44" ht="12.75" customHeight="1">
      <c r="A198" s="3325"/>
      <c r="B198" s="3340"/>
      <c r="C198" s="3249"/>
      <c r="D198" s="3325"/>
      <c r="E198" s="3315"/>
      <c r="F198" s="3340"/>
      <c r="G198" s="3244"/>
      <c r="H198" s="3304"/>
      <c r="I198" s="3564"/>
      <c r="J198" s="3565"/>
      <c r="K198" s="3566"/>
      <c r="L198" s="3110"/>
      <c r="M198" s="4174"/>
      <c r="N198" s="4174"/>
      <c r="O198" s="4174"/>
      <c r="P198" s="4174"/>
      <c r="Q198" s="3582"/>
      <c r="R198" s="3251"/>
      <c r="S198" s="3566"/>
      <c r="T198" s="3557"/>
      <c r="U198" s="3566"/>
      <c r="V198" s="3567"/>
      <c r="W198" s="2597"/>
      <c r="X198" s="3251"/>
      <c r="Y198" s="2597"/>
      <c r="Z198" s="3251"/>
      <c r="AA198" s="2597"/>
      <c r="AB198" s="3251"/>
      <c r="AC198" s="2597"/>
      <c r="AD198" s="3251"/>
      <c r="AE198" s="3325"/>
      <c r="AF198" s="3342"/>
      <c r="AG198" s="3343"/>
      <c r="AH198" s="3303"/>
      <c r="AI198" s="3244"/>
      <c r="AJ198" s="3302"/>
      <c r="AK198" s="3244"/>
      <c r="AL198" s="3303"/>
      <c r="AM198" s="3325"/>
      <c r="AN198" s="3015"/>
      <c r="AO198" s="3344"/>
      <c r="AP198" s="3325"/>
      <c r="AQ198" s="3303"/>
      <c r="AR198" s="3303"/>
    </row>
    <row r="199" spans="1:44" ht="12.75" customHeight="1">
      <c r="A199" s="3325"/>
      <c r="B199" s="3340"/>
      <c r="C199" s="3249"/>
      <c r="D199" s="3325"/>
      <c r="E199" s="3315"/>
      <c r="F199" s="3340"/>
      <c r="G199" s="3244"/>
      <c r="H199" s="3304"/>
      <c r="I199" s="3564"/>
      <c r="J199" s="3565"/>
      <c r="K199" s="3566"/>
      <c r="L199" s="3570"/>
      <c r="M199" s="3310"/>
      <c r="N199" s="3261"/>
      <c r="O199" s="3568"/>
      <c r="P199" s="3572"/>
      <c r="Q199" s="3568"/>
      <c r="R199" s="3251"/>
      <c r="S199" s="3566"/>
      <c r="T199" s="3557"/>
      <c r="U199" s="3566"/>
      <c r="V199" s="3567"/>
      <c r="W199" s="2597"/>
      <c r="X199" s="3251"/>
      <c r="Y199" s="2597"/>
      <c r="Z199" s="3251"/>
      <c r="AA199" s="2597"/>
      <c r="AB199" s="3251"/>
      <c r="AC199" s="2597"/>
      <c r="AD199" s="3251"/>
      <c r="AE199" s="3325"/>
      <c r="AF199" s="3342"/>
      <c r="AG199" s="3343"/>
      <c r="AH199" s="3303"/>
      <c r="AI199" s="3244"/>
      <c r="AJ199" s="3302"/>
      <c r="AK199" s="3244"/>
      <c r="AL199" s="3303"/>
      <c r="AM199" s="3325"/>
      <c r="AN199" s="3015"/>
      <c r="AO199" s="3344"/>
      <c r="AP199" s="3325"/>
      <c r="AQ199" s="3303"/>
      <c r="AR199" s="3303"/>
    </row>
    <row r="200" spans="1:44" ht="12.75" customHeight="1">
      <c r="A200" s="3325"/>
      <c r="B200" s="3340"/>
      <c r="C200" s="3249"/>
      <c r="D200" s="3325"/>
      <c r="E200" s="3247"/>
      <c r="F200" s="3340"/>
      <c r="G200" s="3244"/>
      <c r="H200" s="3304"/>
      <c r="I200" s="3564"/>
      <c r="J200" s="3565"/>
      <c r="K200" s="3566"/>
      <c r="L200" s="3571"/>
      <c r="M200" s="3581"/>
      <c r="N200" s="3581"/>
      <c r="O200" s="3568"/>
      <c r="P200" s="3572"/>
      <c r="Q200" s="3577"/>
      <c r="R200" s="3251"/>
      <c r="S200" s="3566"/>
      <c r="T200" s="3557"/>
      <c r="U200" s="3566"/>
      <c r="V200" s="3567"/>
      <c r="W200" s="2597"/>
      <c r="X200" s="3251"/>
      <c r="Y200" s="2597"/>
      <c r="Z200" s="3251"/>
      <c r="AA200" s="2597"/>
      <c r="AB200" s="3251"/>
      <c r="AC200" s="2597"/>
      <c r="AD200" s="3251"/>
      <c r="AE200" s="3325"/>
      <c r="AF200" s="3342"/>
      <c r="AG200" s="3343"/>
      <c r="AH200" s="3303"/>
      <c r="AI200" s="3244"/>
      <c r="AJ200" s="3302"/>
      <c r="AK200" s="3244"/>
      <c r="AL200" s="3303"/>
      <c r="AM200" s="3325"/>
      <c r="AN200" s="3015"/>
      <c r="AO200" s="3344"/>
      <c r="AP200" s="3325"/>
      <c r="AQ200" s="3303"/>
      <c r="AR200" s="3303"/>
    </row>
    <row r="201" spans="1:44" ht="12.75" customHeight="1">
      <c r="A201" s="3325"/>
      <c r="B201" s="3340"/>
      <c r="C201" s="3249"/>
      <c r="D201" s="3325"/>
      <c r="E201" s="3247"/>
      <c r="F201" s="3340"/>
      <c r="G201" s="3244"/>
      <c r="H201" s="3304"/>
      <c r="I201" s="3564"/>
      <c r="J201" s="3565"/>
      <c r="K201" s="3566"/>
      <c r="L201" s="4175"/>
      <c r="M201" s="3581"/>
      <c r="N201" s="3581"/>
      <c r="O201" s="3572"/>
      <c r="P201" s="3572"/>
      <c r="Q201" s="3573"/>
      <c r="R201" s="3251"/>
      <c r="S201" s="3566"/>
      <c r="T201" s="3557"/>
      <c r="U201" s="3566"/>
      <c r="V201" s="3567"/>
      <c r="W201" s="2597"/>
      <c r="X201" s="3251"/>
      <c r="Y201" s="2597"/>
      <c r="Z201" s="3251"/>
      <c r="AA201" s="2597"/>
      <c r="AB201" s="3251"/>
      <c r="AC201" s="2597"/>
      <c r="AD201" s="3251"/>
      <c r="AE201" s="3325"/>
      <c r="AF201" s="3342"/>
      <c r="AG201" s="3343"/>
      <c r="AH201" s="3303"/>
      <c r="AI201" s="3244"/>
      <c r="AJ201" s="3302"/>
      <c r="AK201" s="3244"/>
      <c r="AL201" s="3303"/>
      <c r="AM201" s="3325"/>
      <c r="AN201" s="3015"/>
      <c r="AO201" s="3344"/>
      <c r="AP201" s="3325"/>
      <c r="AQ201" s="3303"/>
      <c r="AR201" s="3303"/>
    </row>
    <row r="202" spans="1:44" ht="12.75" customHeight="1">
      <c r="A202" s="3325"/>
      <c r="B202" s="3340"/>
      <c r="C202" s="3249"/>
      <c r="D202" s="3325"/>
      <c r="E202" s="3247"/>
      <c r="F202" s="3340"/>
      <c r="G202" s="3244"/>
      <c r="H202" s="3304"/>
      <c r="I202" s="3564"/>
      <c r="J202" s="3565"/>
      <c r="K202" s="3566"/>
      <c r="L202" s="3559"/>
      <c r="M202" s="3249"/>
      <c r="N202" s="3249"/>
      <c r="O202" s="3559"/>
      <c r="P202" s="3559"/>
      <c r="Q202" s="3559"/>
      <c r="R202" s="3251"/>
      <c r="S202" s="3566"/>
      <c r="T202" s="3557"/>
      <c r="U202" s="3566"/>
      <c r="V202" s="3567"/>
      <c r="W202" s="2597"/>
      <c r="X202" s="3251"/>
      <c r="Y202" s="2597"/>
      <c r="Z202" s="3251"/>
      <c r="AA202" s="2597"/>
      <c r="AB202" s="3251"/>
      <c r="AC202" s="2597"/>
      <c r="AD202" s="3251"/>
      <c r="AE202" s="3325"/>
      <c r="AF202" s="3342"/>
      <c r="AG202" s="3343"/>
      <c r="AH202" s="3303"/>
      <c r="AI202" s="3244"/>
      <c r="AJ202" s="3302"/>
      <c r="AK202" s="3244"/>
      <c r="AL202" s="3303"/>
      <c r="AM202" s="3325"/>
      <c r="AN202" s="3015"/>
      <c r="AO202" s="3344"/>
      <c r="AP202" s="3325"/>
      <c r="AQ202" s="3303"/>
      <c r="AR202" s="3303"/>
    </row>
    <row r="203" spans="1:44" ht="12.75" customHeight="1">
      <c r="A203" s="3325"/>
      <c r="B203" s="3340"/>
      <c r="C203" s="3249"/>
      <c r="D203" s="3325"/>
      <c r="E203" s="3247"/>
      <c r="F203" s="3340"/>
      <c r="G203" s="3244"/>
      <c r="H203" s="3304"/>
      <c r="I203" s="3564"/>
      <c r="J203" s="3565"/>
      <c r="K203" s="3566"/>
      <c r="L203" s="3251"/>
      <c r="M203" s="3325"/>
      <c r="N203" s="3342"/>
      <c r="O203" s="3564"/>
      <c r="P203" s="3574"/>
      <c r="Q203" s="3566"/>
      <c r="R203" s="3567"/>
      <c r="S203" s="3566"/>
      <c r="T203" s="3557"/>
      <c r="U203" s="3566"/>
      <c r="V203" s="3567"/>
      <c r="W203" s="2597"/>
      <c r="X203" s="3251"/>
      <c r="Y203" s="2597"/>
      <c r="Z203" s="3251"/>
      <c r="AA203" s="2597"/>
      <c r="AB203" s="3251"/>
      <c r="AC203" s="2597"/>
      <c r="AD203" s="3251"/>
      <c r="AE203" s="3325"/>
      <c r="AF203" s="3342"/>
      <c r="AG203" s="3343"/>
      <c r="AH203" s="3303"/>
      <c r="AI203" s="3244"/>
      <c r="AJ203" s="3302"/>
      <c r="AK203" s="3244"/>
      <c r="AL203" s="3303"/>
      <c r="AM203" s="3325"/>
      <c r="AN203" s="3015"/>
      <c r="AO203" s="3344"/>
      <c r="AP203" s="3325"/>
      <c r="AQ203" s="3303"/>
      <c r="AR203" s="3303"/>
    </row>
    <row r="204" spans="1:44" ht="12.75" customHeight="1">
      <c r="A204" s="3325"/>
      <c r="B204" s="3340"/>
      <c r="C204" s="3249"/>
      <c r="D204" s="3325"/>
      <c r="E204" s="3247"/>
      <c r="F204" s="3340"/>
      <c r="G204" s="3244"/>
      <c r="H204" s="3304"/>
      <c r="I204" s="3564"/>
      <c r="J204" s="3565"/>
      <c r="K204" s="3566"/>
      <c r="L204" s="3251"/>
      <c r="M204" s="3325"/>
      <c r="N204" s="3342"/>
      <c r="O204" s="3564"/>
      <c r="P204" s="3574"/>
      <c r="Q204" s="3566"/>
      <c r="R204" s="3567"/>
      <c r="S204" s="3566"/>
      <c r="T204" s="3557"/>
      <c r="U204" s="3566"/>
      <c r="V204" s="3567"/>
      <c r="W204" s="2597"/>
      <c r="X204" s="3251"/>
      <c r="Y204" s="2597"/>
      <c r="Z204" s="3251"/>
      <c r="AA204" s="2597"/>
      <c r="AB204" s="3251"/>
      <c r="AC204" s="2597"/>
      <c r="AD204" s="3251"/>
      <c r="AE204" s="3325"/>
      <c r="AF204" s="3342"/>
      <c r="AG204" s="3343"/>
      <c r="AH204" s="3303"/>
      <c r="AI204" s="3244"/>
      <c r="AJ204" s="3302"/>
      <c r="AK204" s="3244"/>
      <c r="AL204" s="3303"/>
      <c r="AM204" s="3325"/>
      <c r="AN204" s="3015"/>
      <c r="AO204" s="3344"/>
      <c r="AP204" s="3325"/>
      <c r="AQ204" s="3303"/>
      <c r="AR204" s="3303"/>
    </row>
    <row r="205" spans="1:44" ht="12.75" customHeight="1">
      <c r="A205" s="3325"/>
      <c r="B205" s="3340"/>
      <c r="C205" s="3249"/>
      <c r="D205" s="3325"/>
      <c r="E205" s="3247"/>
      <c r="F205" s="3340"/>
      <c r="G205" s="3244"/>
      <c r="H205" s="3304"/>
      <c r="I205" s="3564"/>
      <c r="J205" s="3565"/>
      <c r="K205" s="3566"/>
      <c r="L205" s="3251"/>
      <c r="M205" s="3325"/>
      <c r="N205" s="3342"/>
      <c r="O205" s="3564"/>
      <c r="P205" s="3574"/>
      <c r="Q205" s="3566"/>
      <c r="R205" s="3567"/>
      <c r="S205" s="3566"/>
      <c r="T205" s="3557"/>
      <c r="U205" s="3566"/>
      <c r="V205" s="3567"/>
      <c r="W205" s="2597"/>
      <c r="X205" s="3251"/>
      <c r="Y205" s="2597"/>
      <c r="Z205" s="3251"/>
      <c r="AA205" s="2597"/>
      <c r="AB205" s="3251"/>
      <c r="AC205" s="2597"/>
      <c r="AD205" s="3251"/>
      <c r="AE205" s="3325"/>
      <c r="AF205" s="3342"/>
      <c r="AG205" s="3343"/>
      <c r="AH205" s="3303"/>
      <c r="AI205" s="3244"/>
      <c r="AJ205" s="3302"/>
      <c r="AK205" s="3244"/>
      <c r="AL205" s="3303"/>
      <c r="AM205" s="3325"/>
      <c r="AN205" s="3015"/>
      <c r="AO205" s="3344"/>
      <c r="AP205" s="3325"/>
      <c r="AQ205" s="3303"/>
      <c r="AR205" s="3303"/>
    </row>
    <row r="206" spans="1:44" ht="12.75" customHeight="1">
      <c r="A206" s="3325"/>
      <c r="B206" s="3340"/>
      <c r="C206" s="3249"/>
      <c r="D206" s="3325"/>
      <c r="E206" s="3247"/>
      <c r="F206" s="3340"/>
      <c r="G206" s="3244"/>
      <c r="H206" s="3304"/>
      <c r="I206" s="3564"/>
      <c r="J206" s="3565"/>
      <c r="K206" s="3566"/>
      <c r="L206" s="3251"/>
      <c r="M206" s="3325"/>
      <c r="N206" s="3342"/>
      <c r="O206" s="3564"/>
      <c r="P206" s="3574"/>
      <c r="Q206" s="3566"/>
      <c r="R206" s="3251"/>
      <c r="S206" s="3566"/>
      <c r="T206" s="3557"/>
      <c r="U206" s="3566"/>
      <c r="V206" s="3567"/>
      <c r="W206" s="2597"/>
      <c r="X206" s="3251"/>
      <c r="Y206" s="2597"/>
      <c r="Z206" s="3251"/>
      <c r="AA206" s="2597"/>
      <c r="AB206" s="3251"/>
      <c r="AC206" s="2597"/>
      <c r="AD206" s="3251"/>
      <c r="AE206" s="3325"/>
      <c r="AF206" s="3342"/>
      <c r="AG206" s="3343"/>
      <c r="AH206" s="3303"/>
      <c r="AI206" s="3244"/>
      <c r="AJ206" s="3302"/>
      <c r="AK206" s="3244"/>
      <c r="AL206" s="3303"/>
      <c r="AM206" s="3325"/>
      <c r="AN206" s="3015"/>
      <c r="AO206" s="3344"/>
      <c r="AP206" s="3325"/>
      <c r="AQ206" s="3303"/>
      <c r="AR206" s="3303"/>
    </row>
    <row r="207" spans="1:44" ht="12.75" customHeight="1">
      <c r="A207" s="3325"/>
      <c r="B207" s="3340"/>
      <c r="C207" s="3249"/>
      <c r="D207" s="3325"/>
      <c r="E207" s="3247"/>
      <c r="F207" s="3340"/>
      <c r="G207" s="3244"/>
      <c r="H207" s="3304"/>
      <c r="I207" s="3564"/>
      <c r="J207" s="3565"/>
      <c r="K207" s="3566"/>
      <c r="L207" s="3251"/>
      <c r="M207" s="3325"/>
      <c r="N207" s="3342"/>
      <c r="O207" s="3564"/>
      <c r="P207" s="3574"/>
      <c r="Q207" s="3566"/>
      <c r="R207" s="3251"/>
      <c r="S207" s="3566"/>
      <c r="T207" s="3557"/>
      <c r="U207" s="3566"/>
      <c r="V207" s="3567"/>
      <c r="W207" s="2597"/>
      <c r="X207" s="3251"/>
      <c r="Y207" s="2597"/>
      <c r="Z207" s="3251"/>
      <c r="AA207" s="2597"/>
      <c r="AB207" s="3251"/>
      <c r="AC207" s="2597"/>
      <c r="AD207" s="3251"/>
      <c r="AE207" s="3325"/>
      <c r="AF207" s="3342"/>
      <c r="AG207" s="3343"/>
      <c r="AH207" s="3303"/>
      <c r="AI207" s="3244"/>
      <c r="AJ207" s="3302"/>
      <c r="AK207" s="3244"/>
      <c r="AL207" s="3303"/>
      <c r="AM207" s="3325"/>
      <c r="AN207" s="3015"/>
      <c r="AO207" s="3344"/>
      <c r="AP207" s="3325"/>
      <c r="AQ207" s="3303"/>
      <c r="AR207" s="3303"/>
    </row>
    <row r="208" spans="1:44" ht="12.75" customHeight="1">
      <c r="A208" s="3325"/>
      <c r="B208" s="3340"/>
      <c r="C208" s="3249"/>
      <c r="D208" s="3325"/>
      <c r="E208" s="3247"/>
      <c r="F208" s="3340"/>
      <c r="G208" s="3244"/>
      <c r="H208" s="3304"/>
      <c r="I208" s="3564"/>
      <c r="J208" s="3565"/>
      <c r="K208" s="3566"/>
      <c r="L208" s="3251"/>
      <c r="M208" s="3325"/>
      <c r="N208" s="3342"/>
      <c r="O208" s="3564"/>
      <c r="P208" s="3574"/>
      <c r="Q208" s="3566"/>
      <c r="R208" s="3251"/>
      <c r="S208" s="3566"/>
      <c r="T208" s="3557"/>
      <c r="U208" s="3566"/>
      <c r="V208" s="3567"/>
      <c r="W208" s="2597"/>
      <c r="X208" s="3251"/>
      <c r="Y208" s="2597"/>
      <c r="Z208" s="3251"/>
      <c r="AA208" s="2597"/>
      <c r="AB208" s="3251"/>
      <c r="AC208" s="2597"/>
      <c r="AD208" s="3251"/>
      <c r="AE208" s="3325"/>
      <c r="AF208" s="3342"/>
      <c r="AG208" s="3343"/>
      <c r="AH208" s="3303"/>
      <c r="AI208" s="3244"/>
      <c r="AJ208" s="3302"/>
      <c r="AK208" s="3244"/>
      <c r="AL208" s="3303"/>
      <c r="AM208" s="3325"/>
      <c r="AN208" s="3015"/>
      <c r="AO208" s="3344"/>
      <c r="AP208" s="3325"/>
      <c r="AQ208" s="3303"/>
      <c r="AR208" s="3303"/>
    </row>
    <row r="209" spans="1:44" ht="12.75" customHeight="1">
      <c r="A209" s="3325"/>
      <c r="B209" s="3340"/>
      <c r="C209" s="3249"/>
      <c r="D209" s="3325"/>
      <c r="E209" s="3247"/>
      <c r="F209" s="3340"/>
      <c r="G209" s="3244"/>
      <c r="H209" s="3304"/>
      <c r="I209" s="3564"/>
      <c r="J209" s="3565"/>
      <c r="K209" s="3566"/>
      <c r="L209" s="3251"/>
      <c r="M209" s="3325"/>
      <c r="N209" s="3342"/>
      <c r="O209" s="3564"/>
      <c r="P209" s="3574"/>
      <c r="Q209" s="3566"/>
      <c r="R209" s="3251"/>
      <c r="S209" s="3566"/>
      <c r="T209" s="3557"/>
      <c r="U209" s="3566"/>
      <c r="V209" s="3567"/>
      <c r="W209" s="2597"/>
      <c r="X209" s="3251"/>
      <c r="Y209" s="2597"/>
      <c r="Z209" s="3251"/>
      <c r="AA209" s="2597"/>
      <c r="AB209" s="3251"/>
      <c r="AC209" s="2597"/>
      <c r="AD209" s="3251"/>
      <c r="AE209" s="3325"/>
      <c r="AF209" s="3342"/>
      <c r="AG209" s="3343"/>
      <c r="AH209" s="3303"/>
      <c r="AI209" s="3244"/>
      <c r="AJ209" s="3302"/>
      <c r="AK209" s="3244"/>
      <c r="AL209" s="3303"/>
      <c r="AM209" s="3325"/>
      <c r="AN209" s="3015"/>
      <c r="AO209" s="3344"/>
      <c r="AP209" s="3325"/>
      <c r="AQ209" s="3303"/>
      <c r="AR209" s="3303"/>
    </row>
    <row r="210" spans="1:44" ht="12.75" customHeight="1">
      <c r="A210" s="3325"/>
      <c r="B210" s="3340"/>
      <c r="C210" s="3249"/>
      <c r="D210" s="3325"/>
      <c r="E210" s="3247"/>
      <c r="F210" s="3340"/>
      <c r="G210" s="3244"/>
      <c r="H210" s="3304"/>
      <c r="I210" s="3564"/>
      <c r="J210" s="3565"/>
      <c r="K210" s="3566"/>
      <c r="L210" s="3251"/>
      <c r="M210" s="3325"/>
      <c r="N210" s="3342"/>
      <c r="O210" s="3564"/>
      <c r="P210" s="3574"/>
      <c r="Q210" s="3566"/>
      <c r="R210" s="3251"/>
      <c r="S210" s="3566"/>
      <c r="T210" s="3557"/>
      <c r="U210" s="3566"/>
      <c r="V210" s="3567"/>
      <c r="W210" s="2597"/>
      <c r="X210" s="3251"/>
      <c r="Y210" s="2597"/>
      <c r="Z210" s="3251"/>
      <c r="AA210" s="2597"/>
      <c r="AB210" s="3251"/>
      <c r="AC210" s="2597"/>
      <c r="AD210" s="3251"/>
      <c r="AE210" s="3325"/>
      <c r="AF210" s="3342"/>
      <c r="AG210" s="3343"/>
      <c r="AH210" s="3303"/>
      <c r="AI210" s="3244"/>
      <c r="AJ210" s="3302"/>
      <c r="AK210" s="3244"/>
      <c r="AL210" s="3303"/>
      <c r="AM210" s="3325"/>
      <c r="AN210" s="3015"/>
      <c r="AO210" s="3344"/>
      <c r="AP210" s="3325"/>
      <c r="AQ210" s="3303"/>
      <c r="AR210" s="3303"/>
    </row>
    <row r="211" spans="1:44" ht="12.75" customHeight="1">
      <c r="A211" s="3325"/>
      <c r="B211" s="3340"/>
      <c r="C211" s="3249"/>
      <c r="D211" s="3325"/>
      <c r="E211" s="3247"/>
      <c r="F211" s="3340"/>
      <c r="G211" s="3244"/>
      <c r="H211" s="3304"/>
      <c r="I211" s="3564"/>
      <c r="J211" s="3565"/>
      <c r="K211" s="3566"/>
      <c r="L211" s="3251"/>
      <c r="M211" s="3325"/>
      <c r="N211" s="3342"/>
      <c r="O211" s="3564"/>
      <c r="P211" s="3574"/>
      <c r="Q211" s="3566"/>
      <c r="R211" s="3251"/>
      <c r="S211" s="3566"/>
      <c r="T211" s="3557"/>
      <c r="U211" s="3566"/>
      <c r="V211" s="3567"/>
      <c r="W211" s="2597"/>
      <c r="X211" s="3251"/>
      <c r="Y211" s="2597"/>
      <c r="Z211" s="3251"/>
      <c r="AA211" s="2597"/>
      <c r="AB211" s="3251"/>
      <c r="AC211" s="2597"/>
      <c r="AD211" s="3251"/>
      <c r="AE211" s="3325"/>
      <c r="AF211" s="3342"/>
      <c r="AG211" s="3343"/>
      <c r="AH211" s="3303"/>
      <c r="AI211" s="3244"/>
      <c r="AJ211" s="3302"/>
      <c r="AK211" s="3244"/>
      <c r="AL211" s="3303"/>
      <c r="AM211" s="3325"/>
      <c r="AN211" s="3015"/>
      <c r="AO211" s="3344"/>
      <c r="AP211" s="3325"/>
      <c r="AQ211" s="3303"/>
      <c r="AR211" s="3303"/>
    </row>
    <row r="212" spans="1:44" ht="12.75" customHeight="1">
      <c r="A212" s="3325"/>
      <c r="B212" s="3340"/>
      <c r="C212" s="3249"/>
      <c r="D212" s="3325"/>
      <c r="E212" s="3247"/>
      <c r="F212" s="3340"/>
      <c r="G212" s="3244"/>
      <c r="H212" s="3304"/>
      <c r="I212" s="3564"/>
      <c r="J212" s="3565"/>
      <c r="K212" s="3566"/>
      <c r="L212" s="3251"/>
      <c r="M212" s="3325"/>
      <c r="N212" s="3342"/>
      <c r="O212" s="3564"/>
      <c r="P212" s="3574"/>
      <c r="Q212" s="3566"/>
      <c r="R212" s="3251"/>
      <c r="S212" s="3566"/>
      <c r="T212" s="3557"/>
      <c r="U212" s="3566"/>
      <c r="V212" s="3567"/>
      <c r="W212" s="2597"/>
      <c r="X212" s="3251"/>
      <c r="Y212" s="2597"/>
      <c r="Z212" s="3251"/>
      <c r="AA212" s="2597"/>
      <c r="AB212" s="3251"/>
      <c r="AC212" s="2597"/>
      <c r="AD212" s="3251"/>
      <c r="AE212" s="3325"/>
      <c r="AF212" s="3342"/>
      <c r="AG212" s="3343"/>
      <c r="AH212" s="3303"/>
      <c r="AI212" s="3244"/>
      <c r="AJ212" s="3302"/>
      <c r="AK212" s="3244"/>
      <c r="AL212" s="3303"/>
      <c r="AM212" s="3325"/>
      <c r="AN212" s="3015"/>
      <c r="AO212" s="3344"/>
      <c r="AP212" s="3325"/>
      <c r="AQ212" s="3303"/>
      <c r="AR212" s="3303"/>
    </row>
    <row r="213" spans="1:44" ht="12.75" customHeight="1">
      <c r="A213" s="3325"/>
      <c r="B213" s="3340"/>
      <c r="C213" s="3249"/>
      <c r="D213" s="3325"/>
      <c r="E213" s="3247"/>
      <c r="F213" s="3340"/>
      <c r="G213" s="3244"/>
      <c r="H213" s="3304"/>
      <c r="I213" s="3564"/>
      <c r="J213" s="3565"/>
      <c r="K213" s="3566"/>
      <c r="L213" s="3567"/>
      <c r="M213" s="3325"/>
      <c r="N213" s="3342"/>
      <c r="O213" s="3564"/>
      <c r="P213" s="3574"/>
      <c r="Q213" s="3566"/>
      <c r="R213" s="3251"/>
      <c r="S213" s="3566"/>
      <c r="T213" s="3557"/>
      <c r="U213" s="3566"/>
      <c r="V213" s="3567"/>
      <c r="W213" s="2597"/>
      <c r="X213" s="3251"/>
      <c r="Y213" s="2597"/>
      <c r="Z213" s="3251"/>
      <c r="AA213" s="2597"/>
      <c r="AB213" s="3251"/>
      <c r="AC213" s="2597"/>
      <c r="AD213" s="3251"/>
      <c r="AE213" s="3325"/>
      <c r="AF213" s="3342"/>
      <c r="AG213" s="3343"/>
      <c r="AH213" s="3303"/>
      <c r="AI213" s="3244"/>
      <c r="AJ213" s="3302"/>
      <c r="AK213" s="3244"/>
      <c r="AL213" s="3303"/>
      <c r="AM213" s="3325"/>
      <c r="AN213" s="3015"/>
      <c r="AO213" s="3344"/>
      <c r="AP213" s="3325"/>
      <c r="AQ213" s="3303"/>
      <c r="AR213" s="3303"/>
    </row>
    <row r="214" spans="1:44" ht="12.75" customHeight="1">
      <c r="A214" s="3325"/>
      <c r="B214" s="3340"/>
      <c r="C214" s="3249"/>
      <c r="D214" s="3325"/>
      <c r="E214" s="3247"/>
      <c r="F214" s="3340"/>
      <c r="G214" s="3244"/>
      <c r="H214" s="3304"/>
      <c r="I214" s="3564"/>
      <c r="J214" s="3565"/>
      <c r="K214" s="3566"/>
      <c r="L214" s="3567"/>
      <c r="M214" s="3325"/>
      <c r="N214" s="3342"/>
      <c r="O214" s="3564"/>
      <c r="P214" s="3574"/>
      <c r="Q214" s="3566"/>
      <c r="R214" s="3251"/>
      <c r="S214" s="3566"/>
      <c r="T214" s="3557"/>
      <c r="U214" s="3566"/>
      <c r="V214" s="3567"/>
      <c r="W214" s="2597"/>
      <c r="X214" s="3251"/>
      <c r="Y214" s="2597"/>
      <c r="Z214" s="3251"/>
      <c r="AA214" s="2597"/>
      <c r="AB214" s="3251"/>
      <c r="AC214" s="2597"/>
      <c r="AD214" s="3251"/>
      <c r="AE214" s="3325"/>
      <c r="AF214" s="3342"/>
      <c r="AG214" s="3343"/>
      <c r="AH214" s="3303"/>
      <c r="AI214" s="3244"/>
      <c r="AJ214" s="3302"/>
      <c r="AK214" s="3244"/>
      <c r="AL214" s="3303"/>
      <c r="AM214" s="3325"/>
      <c r="AN214" s="3015"/>
      <c r="AO214" s="3344"/>
      <c r="AP214" s="3325"/>
      <c r="AQ214" s="3303"/>
      <c r="AR214" s="3303"/>
    </row>
    <row r="215" spans="1:44" ht="12.75" customHeight="1">
      <c r="A215" s="3325"/>
      <c r="B215" s="3340"/>
      <c r="C215" s="3249"/>
      <c r="D215" s="3325"/>
      <c r="E215" s="3247"/>
      <c r="F215" s="3340"/>
      <c r="G215" s="3244"/>
      <c r="H215" s="3304"/>
      <c r="I215" s="3564"/>
      <c r="J215" s="3565"/>
      <c r="K215" s="3566"/>
      <c r="L215" s="3567"/>
      <c r="M215" s="3325"/>
      <c r="N215" s="3342"/>
      <c r="O215" s="3564"/>
      <c r="P215" s="3574"/>
      <c r="Q215" s="3566"/>
      <c r="R215" s="3251"/>
      <c r="S215" s="3566"/>
      <c r="T215" s="3557"/>
      <c r="U215" s="3566"/>
      <c r="V215" s="3567"/>
      <c r="W215" s="2597"/>
      <c r="X215" s="3251"/>
      <c r="Y215" s="2597"/>
      <c r="Z215" s="3251"/>
      <c r="AA215" s="2597"/>
      <c r="AB215" s="3251"/>
      <c r="AC215" s="2597"/>
      <c r="AD215" s="3251"/>
      <c r="AE215" s="3325"/>
      <c r="AF215" s="3342"/>
      <c r="AG215" s="3343"/>
      <c r="AH215" s="3303"/>
      <c r="AI215" s="3244"/>
      <c r="AJ215" s="3302"/>
      <c r="AK215" s="3244"/>
      <c r="AL215" s="3303"/>
      <c r="AM215" s="3325"/>
      <c r="AN215" s="3015"/>
      <c r="AO215" s="3344"/>
      <c r="AP215" s="3325"/>
      <c r="AQ215" s="3303"/>
      <c r="AR215" s="3303"/>
    </row>
    <row r="216" spans="1:44" ht="12.75" customHeight="1">
      <c r="A216" s="3325"/>
      <c r="B216" s="3340"/>
      <c r="C216" s="3249"/>
      <c r="D216" s="3325"/>
      <c r="E216" s="3247"/>
      <c r="F216" s="3340"/>
      <c r="G216" s="3244"/>
      <c r="H216" s="3304"/>
      <c r="I216" s="3564"/>
      <c r="J216" s="3565"/>
      <c r="K216" s="3566"/>
      <c r="L216" s="3251"/>
      <c r="M216" s="3325"/>
      <c r="N216" s="3342"/>
      <c r="O216" s="3564"/>
      <c r="P216" s="3574"/>
      <c r="Q216" s="3566"/>
      <c r="R216" s="3251"/>
      <c r="S216" s="3566"/>
      <c r="T216" s="3557"/>
      <c r="U216" s="3566"/>
      <c r="V216" s="3567"/>
      <c r="W216" s="2597"/>
      <c r="X216" s="3251"/>
      <c r="Y216" s="2597"/>
      <c r="Z216" s="3251"/>
      <c r="AA216" s="2597"/>
      <c r="AB216" s="3251"/>
      <c r="AC216" s="2597"/>
      <c r="AD216" s="3251"/>
      <c r="AE216" s="3325"/>
      <c r="AF216" s="3342"/>
      <c r="AG216" s="3343"/>
      <c r="AH216" s="3303"/>
      <c r="AI216" s="3244"/>
      <c r="AJ216" s="3302"/>
      <c r="AK216" s="3244"/>
      <c r="AL216" s="3303"/>
      <c r="AM216" s="3325"/>
      <c r="AN216" s="3015"/>
      <c r="AO216" s="3344"/>
      <c r="AP216" s="3325"/>
      <c r="AQ216" s="3303"/>
      <c r="AR216" s="3303"/>
    </row>
    <row r="217" spans="1:44" ht="12.75" customHeight="1">
      <c r="A217" s="3325"/>
      <c r="B217" s="3340"/>
      <c r="C217" s="3249"/>
      <c r="D217" s="3325"/>
      <c r="E217" s="3247"/>
      <c r="F217" s="3340"/>
      <c r="G217" s="3244"/>
      <c r="H217" s="3304"/>
      <c r="I217" s="3564"/>
      <c r="J217" s="3565"/>
      <c r="K217" s="3566"/>
      <c r="L217" s="3251"/>
      <c r="M217" s="3325"/>
      <c r="N217" s="3342"/>
      <c r="O217" s="3564"/>
      <c r="P217" s="3574"/>
      <c r="Q217" s="3566"/>
      <c r="R217" s="3251"/>
      <c r="S217" s="3566"/>
      <c r="T217" s="3557"/>
      <c r="U217" s="3566"/>
      <c r="V217" s="3567"/>
      <c r="W217" s="2597"/>
      <c r="X217" s="3251"/>
      <c r="Y217" s="2597"/>
      <c r="Z217" s="3251"/>
      <c r="AA217" s="2597"/>
      <c r="AB217" s="3251"/>
      <c r="AC217" s="2597"/>
      <c r="AD217" s="3251"/>
      <c r="AE217" s="3325"/>
      <c r="AF217" s="3342"/>
      <c r="AG217" s="3343"/>
      <c r="AH217" s="3303"/>
      <c r="AI217" s="3244"/>
      <c r="AJ217" s="3302"/>
      <c r="AK217" s="3244"/>
      <c r="AL217" s="3303"/>
      <c r="AM217" s="3325"/>
      <c r="AN217" s="3015"/>
      <c r="AO217" s="3344"/>
      <c r="AP217" s="3325"/>
      <c r="AQ217" s="3303"/>
      <c r="AR217" s="3303"/>
    </row>
    <row r="218" spans="1:44" ht="12.75" customHeight="1">
      <c r="A218" s="3325"/>
      <c r="B218" s="3340"/>
      <c r="C218" s="3249"/>
      <c r="D218" s="3325"/>
      <c r="E218" s="3247"/>
      <c r="F218" s="3340"/>
      <c r="G218" s="3244"/>
      <c r="H218" s="3304"/>
      <c r="I218" s="3564"/>
      <c r="J218" s="3565"/>
      <c r="K218" s="3566"/>
      <c r="L218" s="3251"/>
      <c r="M218" s="3325"/>
      <c r="N218" s="3342"/>
      <c r="O218" s="3564"/>
      <c r="P218" s="3574"/>
      <c r="Q218" s="3566"/>
      <c r="R218" s="3251"/>
      <c r="S218" s="3566"/>
      <c r="T218" s="3557"/>
      <c r="U218" s="3566"/>
      <c r="V218" s="3567"/>
      <c r="W218" s="2597"/>
      <c r="X218" s="3251"/>
      <c r="Y218" s="2597"/>
      <c r="Z218" s="3251"/>
      <c r="AA218" s="2597"/>
      <c r="AB218" s="3251"/>
      <c r="AC218" s="2597"/>
      <c r="AD218" s="3251"/>
      <c r="AE218" s="3325"/>
      <c r="AF218" s="3342"/>
      <c r="AG218" s="3343"/>
      <c r="AH218" s="3303"/>
      <c r="AI218" s="3244"/>
      <c r="AJ218" s="3302"/>
      <c r="AK218" s="3244"/>
      <c r="AL218" s="3303"/>
      <c r="AM218" s="3325"/>
      <c r="AN218" s="3015"/>
      <c r="AO218" s="3344"/>
      <c r="AP218" s="3325"/>
      <c r="AQ218" s="3303"/>
      <c r="AR218" s="3303"/>
    </row>
    <row r="219" spans="1:44" ht="12.75" customHeight="1">
      <c r="A219" s="3325"/>
      <c r="B219" s="3340"/>
      <c r="C219" s="3249"/>
      <c r="D219" s="3325"/>
      <c r="E219" s="3247"/>
      <c r="F219" s="3340"/>
      <c r="G219" s="3244"/>
      <c r="H219" s="3304"/>
      <c r="I219" s="3564"/>
      <c r="J219" s="3565"/>
      <c r="K219" s="3566"/>
      <c r="L219" s="3251"/>
      <c r="M219" s="3325"/>
      <c r="N219" s="3342"/>
      <c r="O219" s="3564"/>
      <c r="P219" s="3574"/>
      <c r="Q219" s="3566"/>
      <c r="R219" s="3251"/>
      <c r="S219" s="3566"/>
      <c r="T219" s="3557"/>
      <c r="U219" s="3566"/>
      <c r="V219" s="3567"/>
      <c r="W219" s="2597"/>
      <c r="X219" s="3251"/>
      <c r="Y219" s="2597"/>
      <c r="Z219" s="3251"/>
      <c r="AA219" s="2597"/>
      <c r="AB219" s="3251"/>
      <c r="AC219" s="2597"/>
      <c r="AD219" s="3251"/>
      <c r="AE219" s="3325"/>
      <c r="AF219" s="3342"/>
      <c r="AG219" s="3343"/>
      <c r="AH219" s="3303"/>
      <c r="AI219" s="3244"/>
      <c r="AJ219" s="3302"/>
      <c r="AK219" s="3244"/>
      <c r="AL219" s="3303"/>
      <c r="AM219" s="3325"/>
      <c r="AN219" s="3015"/>
      <c r="AO219" s="3344"/>
      <c r="AP219" s="3325"/>
      <c r="AQ219" s="3303"/>
      <c r="AR219" s="3303"/>
    </row>
    <row r="220" spans="1:44" ht="12.75" customHeight="1">
      <c r="A220" s="3325"/>
      <c r="B220" s="3340"/>
      <c r="C220" s="3249"/>
      <c r="D220" s="3325"/>
      <c r="E220" s="3247"/>
      <c r="F220" s="3340"/>
      <c r="G220" s="3244"/>
      <c r="H220" s="3304"/>
      <c r="I220" s="3564"/>
      <c r="J220" s="3565"/>
      <c r="K220" s="3566"/>
      <c r="L220" s="3251"/>
      <c r="M220" s="3325"/>
      <c r="N220" s="3342"/>
      <c r="O220" s="3564"/>
      <c r="P220" s="3574"/>
      <c r="Q220" s="3566"/>
      <c r="R220" s="3251"/>
      <c r="S220" s="3566"/>
      <c r="T220" s="3557"/>
      <c r="U220" s="3566"/>
      <c r="V220" s="3567"/>
      <c r="W220" s="2597"/>
      <c r="X220" s="3251"/>
      <c r="Y220" s="2597"/>
      <c r="Z220" s="3251"/>
      <c r="AA220" s="2597"/>
      <c r="AB220" s="3251"/>
      <c r="AC220" s="2597"/>
      <c r="AD220" s="3251"/>
      <c r="AE220" s="3325"/>
      <c r="AF220" s="3342"/>
      <c r="AG220" s="3343"/>
      <c r="AH220" s="3303"/>
      <c r="AI220" s="3244"/>
      <c r="AJ220" s="3302"/>
      <c r="AK220" s="3244"/>
      <c r="AL220" s="3303"/>
      <c r="AM220" s="3325"/>
      <c r="AN220" s="3015"/>
      <c r="AO220" s="3344"/>
      <c r="AP220" s="3325"/>
      <c r="AQ220" s="3303"/>
      <c r="AR220" s="3303"/>
    </row>
    <row r="221" spans="1:44" ht="12.75" customHeight="1">
      <c r="A221" s="3325"/>
      <c r="B221" s="3340"/>
      <c r="C221" s="3249"/>
      <c r="D221" s="3325"/>
      <c r="E221" s="3247"/>
      <c r="F221" s="3340"/>
      <c r="G221" s="3244"/>
      <c r="H221" s="3304"/>
      <c r="I221" s="3564"/>
      <c r="J221" s="3565"/>
      <c r="K221" s="3566"/>
      <c r="L221" s="3251"/>
      <c r="M221" s="3325"/>
      <c r="N221" s="3342"/>
      <c r="O221" s="3564"/>
      <c r="P221" s="3574"/>
      <c r="Q221" s="3566"/>
      <c r="R221" s="3251"/>
      <c r="S221" s="3566"/>
      <c r="T221" s="3557"/>
      <c r="U221" s="3566"/>
      <c r="V221" s="3567"/>
      <c r="W221" s="2597"/>
      <c r="X221" s="3251"/>
      <c r="Y221" s="2597"/>
      <c r="Z221" s="3251"/>
      <c r="AA221" s="2597"/>
      <c r="AB221" s="3251"/>
      <c r="AC221" s="2597"/>
      <c r="AD221" s="3251"/>
      <c r="AE221" s="3325"/>
      <c r="AF221" s="3342"/>
      <c r="AG221" s="3343"/>
      <c r="AH221" s="3303"/>
      <c r="AI221" s="3244"/>
      <c r="AJ221" s="3302"/>
      <c r="AK221" s="3244"/>
      <c r="AL221" s="3303"/>
      <c r="AM221" s="3325"/>
      <c r="AN221" s="3015"/>
      <c r="AO221" s="3344"/>
      <c r="AP221" s="3325"/>
      <c r="AQ221" s="3303"/>
      <c r="AR221" s="3303"/>
    </row>
    <row r="222" spans="1:44" ht="12.75" customHeight="1">
      <c r="A222" s="3325"/>
      <c r="B222" s="3340"/>
      <c r="C222" s="3249"/>
      <c r="D222" s="3325"/>
      <c r="E222" s="3247"/>
      <c r="F222" s="3340"/>
      <c r="G222" s="3244"/>
      <c r="H222" s="3304"/>
      <c r="I222" s="3564"/>
      <c r="J222" s="3565"/>
      <c r="K222" s="3566"/>
      <c r="L222" s="3251"/>
      <c r="M222" s="3325"/>
      <c r="N222" s="3342"/>
      <c r="O222" s="3564"/>
      <c r="P222" s="3574"/>
      <c r="Q222" s="3566"/>
      <c r="R222" s="3251"/>
      <c r="S222" s="3566"/>
      <c r="T222" s="3557"/>
      <c r="U222" s="3566"/>
      <c r="V222" s="3567"/>
      <c r="W222" s="2597"/>
      <c r="X222" s="3251"/>
      <c r="Y222" s="2597"/>
      <c r="Z222" s="3251"/>
      <c r="AA222" s="2597"/>
      <c r="AB222" s="3251"/>
      <c r="AC222" s="2597"/>
      <c r="AD222" s="3251"/>
      <c r="AE222" s="3325"/>
      <c r="AF222" s="3342"/>
      <c r="AG222" s="3343"/>
      <c r="AH222" s="3303"/>
      <c r="AI222" s="3244"/>
      <c r="AJ222" s="3302"/>
      <c r="AK222" s="3244"/>
      <c r="AL222" s="3303"/>
      <c r="AM222" s="3325"/>
      <c r="AN222" s="3015"/>
      <c r="AO222" s="3344"/>
      <c r="AP222" s="3325"/>
      <c r="AQ222" s="3303"/>
      <c r="AR222" s="3303"/>
    </row>
    <row r="223" spans="1:44" ht="12.75" customHeight="1">
      <c r="A223" s="3325"/>
      <c r="B223" s="3340"/>
      <c r="C223" s="3249"/>
      <c r="D223" s="3325"/>
      <c r="E223" s="3247"/>
      <c r="F223" s="3340"/>
      <c r="G223" s="3244"/>
      <c r="H223" s="3304"/>
      <c r="I223" s="3564"/>
      <c r="J223" s="3565"/>
      <c r="K223" s="3566"/>
      <c r="L223" s="3251"/>
      <c r="M223" s="3325"/>
      <c r="N223" s="3342"/>
      <c r="O223" s="3564"/>
      <c r="P223" s="3574"/>
      <c r="Q223" s="3566"/>
      <c r="R223" s="3251"/>
      <c r="S223" s="3566"/>
      <c r="T223" s="3557"/>
      <c r="U223" s="3566"/>
      <c r="V223" s="3567"/>
      <c r="W223" s="2597"/>
      <c r="X223" s="3251"/>
      <c r="Y223" s="2597"/>
      <c r="Z223" s="3251"/>
      <c r="AA223" s="2597"/>
      <c r="AB223" s="3251"/>
      <c r="AC223" s="2597"/>
      <c r="AD223" s="3251"/>
      <c r="AE223" s="3325"/>
      <c r="AF223" s="3342"/>
      <c r="AG223" s="3343"/>
      <c r="AH223" s="3303"/>
      <c r="AI223" s="3244"/>
      <c r="AJ223" s="3302"/>
      <c r="AK223" s="3244"/>
      <c r="AL223" s="3303"/>
      <c r="AM223" s="3325"/>
      <c r="AN223" s="3015"/>
      <c r="AO223" s="3344"/>
      <c r="AP223" s="3325"/>
      <c r="AQ223" s="3303"/>
      <c r="AR223" s="3303"/>
    </row>
    <row r="224" spans="1:44" ht="12.75" customHeight="1">
      <c r="A224" s="3325"/>
      <c r="B224" s="3340"/>
      <c r="C224" s="3249"/>
      <c r="D224" s="3325"/>
      <c r="E224" s="3247"/>
      <c r="F224" s="3340"/>
      <c r="G224" s="3244"/>
      <c r="H224" s="3304"/>
      <c r="I224" s="3564"/>
      <c r="J224" s="3565"/>
      <c r="K224" s="3566"/>
      <c r="L224" s="3251"/>
      <c r="M224" s="3325"/>
      <c r="N224" s="3342"/>
      <c r="O224" s="3564"/>
      <c r="P224" s="3574"/>
      <c r="Q224" s="3566"/>
      <c r="R224" s="3251"/>
      <c r="S224" s="3566"/>
      <c r="T224" s="3557"/>
      <c r="U224" s="3566"/>
      <c r="V224" s="3567"/>
      <c r="W224" s="2597"/>
      <c r="X224" s="3251"/>
      <c r="Y224" s="2597"/>
      <c r="Z224" s="3251"/>
      <c r="AA224" s="2597"/>
      <c r="AB224" s="3251"/>
      <c r="AC224" s="2597"/>
      <c r="AD224" s="3251"/>
      <c r="AE224" s="3325"/>
      <c r="AF224" s="3342"/>
      <c r="AG224" s="3343"/>
      <c r="AH224" s="3303"/>
      <c r="AI224" s="3244"/>
      <c r="AJ224" s="3302"/>
      <c r="AK224" s="3244"/>
      <c r="AL224" s="3303"/>
      <c r="AM224" s="3325"/>
      <c r="AN224" s="3015"/>
      <c r="AO224" s="3344"/>
      <c r="AP224" s="3325"/>
      <c r="AQ224" s="3303"/>
      <c r="AR224" s="3303"/>
    </row>
    <row r="225" spans="1:44" ht="12.75" customHeight="1">
      <c r="A225" s="3325"/>
      <c r="B225" s="3340"/>
      <c r="C225" s="3249"/>
      <c r="D225" s="3325"/>
      <c r="E225" s="3247"/>
      <c r="F225" s="3340"/>
      <c r="G225" s="3244"/>
      <c r="H225" s="3304"/>
      <c r="I225" s="3564"/>
      <c r="J225" s="3565"/>
      <c r="K225" s="3566"/>
      <c r="L225" s="3251"/>
      <c r="M225" s="3325"/>
      <c r="N225" s="3342"/>
      <c r="O225" s="3564"/>
      <c r="P225" s="3574"/>
      <c r="Q225" s="3566"/>
      <c r="R225" s="3251"/>
      <c r="S225" s="3566"/>
      <c r="T225" s="3557"/>
      <c r="U225" s="3566"/>
      <c r="V225" s="3567"/>
      <c r="W225" s="2597"/>
      <c r="X225" s="3251"/>
      <c r="Y225" s="2597"/>
      <c r="Z225" s="3251"/>
      <c r="AA225" s="2597"/>
      <c r="AB225" s="3251"/>
      <c r="AC225" s="2597"/>
      <c r="AD225" s="3251"/>
      <c r="AE225" s="3325"/>
      <c r="AF225" s="3342"/>
      <c r="AG225" s="3343"/>
      <c r="AH225" s="3303"/>
      <c r="AI225" s="3244"/>
      <c r="AJ225" s="3302"/>
      <c r="AK225" s="3244"/>
      <c r="AL225" s="3303"/>
      <c r="AM225" s="3325"/>
      <c r="AN225" s="3015"/>
      <c r="AO225" s="3344"/>
      <c r="AP225" s="3325"/>
      <c r="AQ225" s="3303"/>
      <c r="AR225" s="3303"/>
    </row>
    <row r="226" spans="1:44" ht="12.75" customHeight="1">
      <c r="A226" s="3325"/>
      <c r="B226" s="3340"/>
      <c r="C226" s="3249"/>
      <c r="D226" s="3325"/>
      <c r="E226" s="3247"/>
      <c r="F226" s="3340"/>
      <c r="G226" s="3244"/>
      <c r="H226" s="3304"/>
      <c r="I226" s="3564"/>
      <c r="J226" s="3565"/>
      <c r="K226" s="3566"/>
      <c r="L226" s="3251"/>
      <c r="M226" s="3325"/>
      <c r="N226" s="3342"/>
      <c r="O226" s="3564"/>
      <c r="P226" s="3574"/>
      <c r="Q226" s="3566"/>
      <c r="R226" s="3251"/>
      <c r="S226" s="3566"/>
      <c r="T226" s="3557"/>
      <c r="U226" s="3566"/>
      <c r="V226" s="3567"/>
      <c r="W226" s="2597"/>
      <c r="X226" s="3251"/>
      <c r="Y226" s="2597"/>
      <c r="Z226" s="3251"/>
      <c r="AA226" s="2597"/>
      <c r="AB226" s="3251"/>
      <c r="AC226" s="2597"/>
      <c r="AD226" s="3251"/>
      <c r="AE226" s="3325"/>
      <c r="AF226" s="3342"/>
      <c r="AG226" s="3343"/>
      <c r="AH226" s="3303"/>
      <c r="AI226" s="3244"/>
      <c r="AJ226" s="3302"/>
      <c r="AK226" s="3244"/>
      <c r="AL226" s="3303"/>
      <c r="AM226" s="3325"/>
      <c r="AN226" s="3015"/>
      <c r="AO226" s="3344"/>
      <c r="AP226" s="3325"/>
      <c r="AQ226" s="3303"/>
      <c r="AR226" s="3303"/>
    </row>
    <row r="227" spans="1:44" ht="12.75" customHeight="1">
      <c r="A227" s="3325"/>
      <c r="B227" s="3340"/>
      <c r="C227" s="3249"/>
      <c r="D227" s="3325"/>
      <c r="E227" s="3247"/>
      <c r="F227" s="3340"/>
      <c r="G227" s="3244"/>
      <c r="H227" s="3304"/>
      <c r="I227" s="3564"/>
      <c r="J227" s="3565"/>
      <c r="K227" s="3566"/>
      <c r="L227" s="3251"/>
      <c r="M227" s="3325"/>
      <c r="N227" s="3342"/>
      <c r="O227" s="3564"/>
      <c r="P227" s="3574"/>
      <c r="Q227" s="3566"/>
      <c r="R227" s="3251"/>
      <c r="S227" s="3566"/>
      <c r="T227" s="3557"/>
      <c r="U227" s="3566"/>
      <c r="V227" s="3567"/>
      <c r="W227" s="2597"/>
      <c r="X227" s="3251"/>
      <c r="Y227" s="2597"/>
      <c r="Z227" s="3251"/>
      <c r="AA227" s="2597"/>
      <c r="AB227" s="3251"/>
      <c r="AC227" s="2597"/>
      <c r="AD227" s="3251"/>
      <c r="AE227" s="3325"/>
      <c r="AF227" s="3342"/>
      <c r="AG227" s="3343"/>
      <c r="AH227" s="3303"/>
      <c r="AI227" s="3244"/>
      <c r="AJ227" s="3302"/>
      <c r="AK227" s="3244"/>
      <c r="AL227" s="3303"/>
      <c r="AM227" s="3325"/>
      <c r="AN227" s="3015"/>
      <c r="AO227" s="3344"/>
      <c r="AP227" s="3325"/>
      <c r="AQ227" s="3303"/>
      <c r="AR227" s="3303"/>
    </row>
    <row r="228" spans="1:44" ht="12.75" customHeight="1">
      <c r="A228" s="3325"/>
      <c r="B228" s="3340"/>
      <c r="C228" s="3249"/>
      <c r="D228" s="3325"/>
      <c r="E228" s="3247"/>
      <c r="F228" s="3340"/>
      <c r="G228" s="3244"/>
      <c r="H228" s="3304"/>
      <c r="I228" s="3564"/>
      <c r="J228" s="3565"/>
      <c r="K228" s="3566"/>
      <c r="L228" s="3251"/>
      <c r="M228" s="3325"/>
      <c r="N228" s="3342"/>
      <c r="O228" s="3564"/>
      <c r="P228" s="3574"/>
      <c r="Q228" s="3566"/>
      <c r="R228" s="3251"/>
      <c r="S228" s="3566"/>
      <c r="T228" s="3557"/>
      <c r="U228" s="3566"/>
      <c r="V228" s="3567"/>
      <c r="W228" s="2597"/>
      <c r="X228" s="3251"/>
      <c r="Y228" s="2597"/>
      <c r="Z228" s="3251"/>
      <c r="AA228" s="2597"/>
      <c r="AB228" s="3251"/>
      <c r="AC228" s="2597"/>
      <c r="AD228" s="3251"/>
      <c r="AE228" s="3325"/>
      <c r="AF228" s="3342"/>
      <c r="AG228" s="3343"/>
      <c r="AH228" s="3303"/>
      <c r="AI228" s="3244"/>
      <c r="AJ228" s="3302"/>
      <c r="AK228" s="3244"/>
      <c r="AL228" s="3303"/>
      <c r="AM228" s="3325"/>
      <c r="AN228" s="3015"/>
      <c r="AO228" s="3344"/>
      <c r="AP228" s="3325"/>
      <c r="AQ228" s="3303"/>
      <c r="AR228" s="3303"/>
    </row>
    <row r="229" spans="1:44" ht="12.75" customHeight="1">
      <c r="A229" s="3325"/>
      <c r="B229" s="3340"/>
      <c r="C229" s="3249"/>
      <c r="D229" s="3325"/>
      <c r="E229" s="3247"/>
      <c r="F229" s="3340"/>
      <c r="G229" s="3244"/>
      <c r="H229" s="3304"/>
      <c r="I229" s="3564"/>
      <c r="J229" s="3565"/>
      <c r="K229" s="3566"/>
      <c r="L229" s="3251"/>
      <c r="M229" s="3325"/>
      <c r="N229" s="3342"/>
      <c r="O229" s="3564"/>
      <c r="P229" s="3574"/>
      <c r="Q229" s="3566"/>
      <c r="R229" s="3251"/>
      <c r="S229" s="3566"/>
      <c r="T229" s="3557"/>
      <c r="U229" s="3566"/>
      <c r="V229" s="3567"/>
      <c r="W229" s="2597"/>
      <c r="X229" s="3251"/>
      <c r="Y229" s="2597"/>
      <c r="Z229" s="3251"/>
      <c r="AA229" s="2597"/>
      <c r="AB229" s="3251"/>
      <c r="AC229" s="2597"/>
      <c r="AD229" s="3251"/>
      <c r="AE229" s="3325"/>
      <c r="AF229" s="3342"/>
      <c r="AG229" s="3343"/>
      <c r="AH229" s="3303"/>
      <c r="AI229" s="3244"/>
      <c r="AJ229" s="3302"/>
      <c r="AK229" s="3244"/>
      <c r="AL229" s="3303"/>
      <c r="AM229" s="3325"/>
      <c r="AN229" s="3015"/>
      <c r="AO229" s="3344"/>
      <c r="AP229" s="3325"/>
      <c r="AQ229" s="3303"/>
      <c r="AR229" s="3303"/>
    </row>
    <row r="230" spans="1:44" ht="12.75" customHeight="1">
      <c r="A230" s="3325"/>
      <c r="B230" s="3340"/>
      <c r="C230" s="3249"/>
      <c r="D230" s="3325"/>
      <c r="E230" s="3247"/>
      <c r="F230" s="3340"/>
      <c r="G230" s="3244"/>
      <c r="H230" s="3304"/>
      <c r="I230" s="3564"/>
      <c r="J230" s="3565"/>
      <c r="K230" s="3566"/>
      <c r="L230" s="3251"/>
      <c r="M230" s="3325"/>
      <c r="N230" s="3342"/>
      <c r="O230" s="3564"/>
      <c r="P230" s="3574"/>
      <c r="Q230" s="3566"/>
      <c r="R230" s="3251"/>
      <c r="S230" s="3566"/>
      <c r="T230" s="3557"/>
      <c r="U230" s="3566"/>
      <c r="V230" s="3567"/>
      <c r="W230" s="2597"/>
      <c r="X230" s="3251"/>
      <c r="Y230" s="2597"/>
      <c r="Z230" s="3251"/>
      <c r="AA230" s="2597"/>
      <c r="AB230" s="3251"/>
      <c r="AC230" s="2597"/>
      <c r="AD230" s="3251"/>
      <c r="AE230" s="3325"/>
      <c r="AF230" s="3342"/>
      <c r="AG230" s="3343"/>
      <c r="AH230" s="3303"/>
      <c r="AI230" s="3244"/>
      <c r="AJ230" s="3302"/>
      <c r="AK230" s="3244"/>
      <c r="AL230" s="3303"/>
      <c r="AM230" s="3325"/>
      <c r="AN230" s="3015"/>
      <c r="AO230" s="3344"/>
      <c r="AP230" s="3325"/>
      <c r="AQ230" s="3303"/>
      <c r="AR230" s="3303"/>
    </row>
    <row r="231" spans="1:44" ht="12.75" customHeight="1">
      <c r="A231" s="3325"/>
      <c r="B231" s="3340"/>
      <c r="C231" s="3249"/>
      <c r="D231" s="3325"/>
      <c r="E231" s="3247"/>
      <c r="F231" s="3340"/>
      <c r="G231" s="3244"/>
      <c r="H231" s="3304"/>
      <c r="I231" s="3564"/>
      <c r="J231" s="3565"/>
      <c r="K231" s="3566"/>
      <c r="L231" s="3251"/>
      <c r="M231" s="3325"/>
      <c r="N231" s="3342"/>
      <c r="O231" s="3564"/>
      <c r="P231" s="3574"/>
      <c r="Q231" s="3566"/>
      <c r="R231" s="3251"/>
      <c r="S231" s="3566"/>
      <c r="T231" s="3557"/>
      <c r="U231" s="3566"/>
      <c r="V231" s="3567"/>
      <c r="W231" s="2597"/>
      <c r="X231" s="3251"/>
      <c r="Y231" s="2597"/>
      <c r="Z231" s="3251"/>
      <c r="AA231" s="2597"/>
      <c r="AB231" s="3251"/>
      <c r="AC231" s="2597"/>
      <c r="AD231" s="3251"/>
      <c r="AE231" s="3325"/>
      <c r="AF231" s="3342"/>
      <c r="AG231" s="3343"/>
      <c r="AH231" s="3303"/>
      <c r="AI231" s="3244"/>
      <c r="AJ231" s="3302"/>
      <c r="AK231" s="3244"/>
      <c r="AL231" s="3303"/>
      <c r="AM231" s="3325"/>
      <c r="AN231" s="3015"/>
      <c r="AO231" s="3344"/>
      <c r="AP231" s="3325"/>
      <c r="AQ231" s="3303"/>
      <c r="AR231" s="3303"/>
    </row>
    <row r="232" spans="1:44" ht="12.75" customHeight="1">
      <c r="A232" s="3325"/>
      <c r="B232" s="3340"/>
      <c r="C232" s="3249"/>
      <c r="D232" s="3325"/>
      <c r="E232" s="3247"/>
      <c r="F232" s="3340"/>
      <c r="G232" s="3244"/>
      <c r="H232" s="3304"/>
      <c r="I232" s="3564"/>
      <c r="J232" s="3565"/>
      <c r="K232" s="3566"/>
      <c r="L232" s="3251"/>
      <c r="M232" s="3325"/>
      <c r="N232" s="3342"/>
      <c r="O232" s="3564"/>
      <c r="P232" s="3574"/>
      <c r="Q232" s="3566"/>
      <c r="R232" s="3251"/>
      <c r="S232" s="3566"/>
      <c r="T232" s="3557"/>
      <c r="U232" s="3566"/>
      <c r="V232" s="3567"/>
      <c r="W232" s="2597"/>
      <c r="X232" s="3251"/>
      <c r="Y232" s="2597"/>
      <c r="Z232" s="3251"/>
      <c r="AA232" s="2597"/>
      <c r="AB232" s="3251"/>
      <c r="AC232" s="2597"/>
      <c r="AD232" s="3251"/>
      <c r="AE232" s="3325"/>
      <c r="AF232" s="3342"/>
      <c r="AG232" s="3343"/>
      <c r="AH232" s="3303"/>
      <c r="AI232" s="3244"/>
      <c r="AJ232" s="3302"/>
      <c r="AK232" s="3244"/>
      <c r="AL232" s="3303"/>
      <c r="AM232" s="3325"/>
      <c r="AN232" s="3015"/>
      <c r="AO232" s="3344"/>
      <c r="AP232" s="3325"/>
      <c r="AQ232" s="3303"/>
      <c r="AR232" s="3303"/>
    </row>
    <row r="233" spans="1:44" ht="12.75" customHeight="1">
      <c r="A233" s="3325"/>
      <c r="B233" s="3340"/>
      <c r="C233" s="3249"/>
      <c r="D233" s="3325"/>
      <c r="E233" s="3247"/>
      <c r="F233" s="3340"/>
      <c r="G233" s="3244"/>
      <c r="H233" s="3304"/>
      <c r="I233" s="3564"/>
      <c r="J233" s="3565"/>
      <c r="K233" s="3566"/>
      <c r="L233" s="3251"/>
      <c r="M233" s="3325"/>
      <c r="N233" s="3342"/>
      <c r="O233" s="3564"/>
      <c r="P233" s="3574"/>
      <c r="Q233" s="3566"/>
      <c r="R233" s="3251"/>
      <c r="S233" s="3566"/>
      <c r="T233" s="3557"/>
      <c r="U233" s="3566"/>
      <c r="V233" s="3567"/>
      <c r="W233" s="2597"/>
      <c r="X233" s="3251"/>
      <c r="Y233" s="2597"/>
      <c r="Z233" s="3251"/>
      <c r="AA233" s="2597"/>
      <c r="AB233" s="3251"/>
      <c r="AC233" s="2597"/>
      <c r="AD233" s="3251"/>
      <c r="AE233" s="3325"/>
      <c r="AF233" s="3342"/>
      <c r="AG233" s="3343"/>
      <c r="AH233" s="3303"/>
      <c r="AI233" s="3244"/>
      <c r="AJ233" s="3302"/>
      <c r="AK233" s="3244"/>
      <c r="AL233" s="3303"/>
      <c r="AM233" s="3325"/>
      <c r="AN233" s="3015"/>
      <c r="AO233" s="3344"/>
      <c r="AP233" s="3325"/>
      <c r="AQ233" s="3303"/>
      <c r="AR233" s="3303"/>
    </row>
    <row r="234" spans="1:44" ht="12.75" customHeight="1">
      <c r="A234" s="3325"/>
      <c r="B234" s="3340"/>
      <c r="C234" s="3249"/>
      <c r="D234" s="3325"/>
      <c r="E234" s="3247"/>
      <c r="F234" s="3340"/>
      <c r="G234" s="3244"/>
      <c r="H234" s="3304"/>
      <c r="I234" s="3564"/>
      <c r="J234" s="3565"/>
      <c r="K234" s="3566"/>
      <c r="L234" s="3251"/>
      <c r="M234" s="3325"/>
      <c r="N234" s="3342"/>
      <c r="O234" s="3564"/>
      <c r="P234" s="3574"/>
      <c r="Q234" s="3566"/>
      <c r="R234" s="3251"/>
      <c r="S234" s="3566"/>
      <c r="T234" s="3557"/>
      <c r="U234" s="3566"/>
      <c r="V234" s="3567"/>
      <c r="W234" s="2597"/>
      <c r="X234" s="3251"/>
      <c r="Y234" s="2597"/>
      <c r="Z234" s="3251"/>
      <c r="AA234" s="2597"/>
      <c r="AB234" s="3251"/>
      <c r="AC234" s="2597"/>
      <c r="AD234" s="3251"/>
      <c r="AE234" s="3325"/>
      <c r="AF234" s="3342"/>
      <c r="AG234" s="3343"/>
      <c r="AH234" s="3303"/>
      <c r="AI234" s="3244"/>
      <c r="AJ234" s="3302"/>
      <c r="AK234" s="3244"/>
      <c r="AL234" s="3303"/>
      <c r="AM234" s="3325"/>
      <c r="AN234" s="3015"/>
      <c r="AO234" s="3344"/>
      <c r="AP234" s="3325"/>
      <c r="AQ234" s="3303"/>
      <c r="AR234" s="3303"/>
    </row>
    <row r="235" spans="1:44" ht="12.75" customHeight="1">
      <c r="A235" s="3325"/>
      <c r="B235" s="3340"/>
      <c r="C235" s="3249"/>
      <c r="D235" s="3325"/>
      <c r="E235" s="3247"/>
      <c r="F235" s="3340"/>
      <c r="G235" s="3244"/>
      <c r="H235" s="3304"/>
      <c r="I235" s="3564"/>
      <c r="J235" s="3565"/>
      <c r="K235" s="3566"/>
      <c r="L235" s="3251"/>
      <c r="M235" s="3325"/>
      <c r="N235" s="3342"/>
      <c r="O235" s="3564"/>
      <c r="P235" s="3574"/>
      <c r="Q235" s="3566"/>
      <c r="R235" s="3251"/>
      <c r="S235" s="3566"/>
      <c r="T235" s="3557"/>
      <c r="U235" s="3566"/>
      <c r="V235" s="3567"/>
      <c r="W235" s="2597"/>
      <c r="X235" s="3251"/>
      <c r="Y235" s="2597"/>
      <c r="Z235" s="3251"/>
      <c r="AA235" s="2597"/>
      <c r="AB235" s="3251"/>
      <c r="AC235" s="2597"/>
      <c r="AD235" s="3251"/>
      <c r="AE235" s="3325"/>
      <c r="AF235" s="3342"/>
      <c r="AG235" s="3343"/>
      <c r="AH235" s="3303"/>
      <c r="AI235" s="3244"/>
      <c r="AJ235" s="3302"/>
      <c r="AK235" s="3244"/>
      <c r="AL235" s="3303"/>
      <c r="AM235" s="3325"/>
      <c r="AN235" s="3015"/>
      <c r="AO235" s="3344"/>
      <c r="AP235" s="3325"/>
      <c r="AQ235" s="3303"/>
      <c r="AR235" s="3303"/>
    </row>
    <row r="236" spans="1:44" ht="12.75" customHeight="1">
      <c r="A236" s="3325"/>
      <c r="B236" s="3340"/>
      <c r="C236" s="3249"/>
      <c r="D236" s="3325"/>
      <c r="E236" s="3247"/>
      <c r="F236" s="3340"/>
      <c r="G236" s="3244"/>
      <c r="H236" s="3304"/>
      <c r="I236" s="3564"/>
      <c r="J236" s="3565"/>
      <c r="K236" s="3566"/>
      <c r="L236" s="3251"/>
      <c r="M236" s="3325"/>
      <c r="N236" s="3342"/>
      <c r="O236" s="3564"/>
      <c r="P236" s="3574"/>
      <c r="Q236" s="3566"/>
      <c r="R236" s="3251"/>
      <c r="S236" s="3566"/>
      <c r="T236" s="3557"/>
      <c r="U236" s="3566"/>
      <c r="V236" s="3567"/>
      <c r="W236" s="2597"/>
      <c r="X236" s="3251"/>
      <c r="Y236" s="2597"/>
      <c r="Z236" s="3251"/>
      <c r="AA236" s="2597"/>
      <c r="AB236" s="3251"/>
      <c r="AC236" s="2597"/>
      <c r="AD236" s="3251"/>
      <c r="AE236" s="3325"/>
      <c r="AF236" s="3342"/>
      <c r="AG236" s="3343"/>
      <c r="AH236" s="3303"/>
      <c r="AI236" s="3244"/>
      <c r="AJ236" s="3302"/>
      <c r="AK236" s="3244"/>
      <c r="AL236" s="3303"/>
      <c r="AM236" s="3325"/>
      <c r="AN236" s="3015"/>
      <c r="AO236" s="3344"/>
      <c r="AP236" s="3325"/>
      <c r="AQ236" s="3303"/>
      <c r="AR236" s="3303"/>
    </row>
    <row r="237" spans="1:44" ht="12.75" customHeight="1">
      <c r="A237" s="3325"/>
      <c r="B237" s="3340"/>
      <c r="C237" s="3249"/>
      <c r="D237" s="3325"/>
      <c r="E237" s="3247"/>
      <c r="F237" s="3340"/>
      <c r="G237" s="3244"/>
      <c r="H237" s="3304"/>
      <c r="I237" s="3564"/>
      <c r="J237" s="3565"/>
      <c r="K237" s="3566"/>
      <c r="L237" s="3251"/>
      <c r="M237" s="3325"/>
      <c r="N237" s="3342"/>
      <c r="O237" s="3564"/>
      <c r="P237" s="3574"/>
      <c r="Q237" s="3566"/>
      <c r="R237" s="3251"/>
      <c r="S237" s="3566"/>
      <c r="T237" s="3557"/>
      <c r="U237" s="3566"/>
      <c r="V237" s="3567"/>
      <c r="W237" s="2597"/>
      <c r="X237" s="3251"/>
      <c r="Y237" s="2597"/>
      <c r="Z237" s="3251"/>
      <c r="AA237" s="2597"/>
      <c r="AB237" s="3251"/>
      <c r="AC237" s="2597"/>
      <c r="AD237" s="3251"/>
      <c r="AE237" s="3325"/>
      <c r="AF237" s="3342"/>
      <c r="AG237" s="3343"/>
      <c r="AH237" s="3303"/>
      <c r="AI237" s="3244"/>
      <c r="AJ237" s="3302"/>
      <c r="AK237" s="3244"/>
      <c r="AL237" s="3303"/>
      <c r="AM237" s="3325"/>
      <c r="AN237" s="3015"/>
      <c r="AO237" s="3344"/>
      <c r="AP237" s="3325"/>
      <c r="AQ237" s="3303"/>
      <c r="AR237" s="3303"/>
    </row>
    <row r="238" spans="1:44" ht="12.75" customHeight="1">
      <c r="A238" s="3325"/>
      <c r="B238" s="3340"/>
      <c r="C238" s="3249"/>
      <c r="D238" s="3325"/>
      <c r="E238" s="3247"/>
      <c r="F238" s="3340"/>
      <c r="G238" s="3244"/>
      <c r="H238" s="3304"/>
      <c r="I238" s="3564"/>
      <c r="J238" s="3565"/>
      <c r="K238" s="3566"/>
      <c r="L238" s="3251"/>
      <c r="M238" s="3325"/>
      <c r="N238" s="3342"/>
      <c r="O238" s="3564"/>
      <c r="P238" s="3574"/>
      <c r="Q238" s="3566"/>
      <c r="R238" s="3251"/>
      <c r="S238" s="3566"/>
      <c r="T238" s="3557"/>
      <c r="U238" s="3566"/>
      <c r="V238" s="3567"/>
      <c r="W238" s="2597"/>
      <c r="X238" s="3251"/>
      <c r="Y238" s="2597"/>
      <c r="Z238" s="3251"/>
      <c r="AA238" s="2597"/>
      <c r="AB238" s="3251"/>
      <c r="AC238" s="2597"/>
      <c r="AD238" s="3251"/>
      <c r="AE238" s="3325"/>
      <c r="AF238" s="3342"/>
      <c r="AG238" s="3343"/>
      <c r="AH238" s="3303"/>
      <c r="AI238" s="3244"/>
      <c r="AJ238" s="3302"/>
      <c r="AK238" s="3244"/>
      <c r="AL238" s="3303"/>
      <c r="AM238" s="3325"/>
      <c r="AN238" s="3015"/>
      <c r="AO238" s="3344"/>
      <c r="AP238" s="3325"/>
      <c r="AQ238" s="3303"/>
      <c r="AR238" s="3303"/>
    </row>
    <row r="239" spans="1:44" ht="12.75" customHeight="1">
      <c r="A239" s="3325"/>
      <c r="B239" s="3340"/>
      <c r="C239" s="3249"/>
      <c r="D239" s="3325"/>
      <c r="E239" s="3247"/>
      <c r="F239" s="3340"/>
      <c r="G239" s="3244"/>
      <c r="H239" s="3304"/>
      <c r="I239" s="3564"/>
      <c r="J239" s="3565"/>
      <c r="K239" s="3566"/>
      <c r="L239" s="3251"/>
      <c r="M239" s="3325"/>
      <c r="N239" s="3342"/>
      <c r="O239" s="3564"/>
      <c r="P239" s="3574"/>
      <c r="Q239" s="3566"/>
      <c r="R239" s="3251"/>
      <c r="S239" s="3566"/>
      <c r="T239" s="3557"/>
      <c r="U239" s="3566"/>
      <c r="V239" s="3567"/>
      <c r="W239" s="2597"/>
      <c r="X239" s="3251"/>
      <c r="Y239" s="2597"/>
      <c r="Z239" s="3251"/>
      <c r="AA239" s="2597"/>
      <c r="AB239" s="3251"/>
      <c r="AC239" s="2597"/>
      <c r="AD239" s="3251"/>
      <c r="AE239" s="3325"/>
      <c r="AF239" s="3342"/>
      <c r="AG239" s="3343"/>
      <c r="AH239" s="3303"/>
      <c r="AI239" s="3244"/>
      <c r="AJ239" s="3302"/>
      <c r="AK239" s="3244"/>
      <c r="AL239" s="3303"/>
      <c r="AM239" s="3325"/>
      <c r="AN239" s="3015"/>
      <c r="AO239" s="3344"/>
      <c r="AP239" s="3325"/>
      <c r="AQ239" s="3303"/>
      <c r="AR239" s="3303"/>
    </row>
    <row r="240" spans="1:44" ht="12.75" customHeight="1">
      <c r="A240" s="3325"/>
      <c r="B240" s="3340"/>
      <c r="C240" s="3249"/>
      <c r="D240" s="3325"/>
      <c r="E240" s="3247"/>
      <c r="F240" s="3340"/>
      <c r="G240" s="3244"/>
      <c r="H240" s="3304"/>
      <c r="I240" s="3564"/>
      <c r="J240" s="3565"/>
      <c r="K240" s="3566"/>
      <c r="L240" s="3251"/>
      <c r="M240" s="3325"/>
      <c r="N240" s="3342"/>
      <c r="O240" s="3564"/>
      <c r="P240" s="3574"/>
      <c r="Q240" s="3566"/>
      <c r="R240" s="3251"/>
      <c r="S240" s="3566"/>
      <c r="T240" s="3557"/>
      <c r="U240" s="3566"/>
      <c r="V240" s="3567"/>
      <c r="W240" s="2597"/>
      <c r="X240" s="3251"/>
      <c r="Y240" s="2597"/>
      <c r="Z240" s="3251"/>
      <c r="AA240" s="2597"/>
      <c r="AB240" s="3251"/>
      <c r="AC240" s="2597"/>
      <c r="AD240" s="3251"/>
      <c r="AE240" s="3325"/>
      <c r="AF240" s="3342"/>
      <c r="AG240" s="3343"/>
      <c r="AH240" s="3303"/>
      <c r="AI240" s="3244"/>
      <c r="AJ240" s="3302"/>
      <c r="AK240" s="3244"/>
      <c r="AL240" s="3303"/>
      <c r="AM240" s="3325"/>
      <c r="AN240" s="3015"/>
      <c r="AO240" s="3344"/>
      <c r="AP240" s="3325"/>
      <c r="AQ240" s="3303"/>
      <c r="AR240" s="3303"/>
    </row>
    <row r="241" spans="1:44" ht="12.75" customHeight="1">
      <c r="A241" s="3325"/>
      <c r="B241" s="3340"/>
      <c r="C241" s="3249"/>
      <c r="D241" s="3325"/>
      <c r="E241" s="3247"/>
      <c r="F241" s="3340"/>
      <c r="G241" s="3244"/>
      <c r="H241" s="3304"/>
      <c r="I241" s="3564"/>
      <c r="J241" s="3565"/>
      <c r="K241" s="3566"/>
      <c r="L241" s="3251"/>
      <c r="M241" s="3325"/>
      <c r="N241" s="3342"/>
      <c r="O241" s="3564"/>
      <c r="P241" s="3574"/>
      <c r="Q241" s="3566"/>
      <c r="R241" s="3251"/>
      <c r="S241" s="3566"/>
      <c r="T241" s="3557"/>
      <c r="U241" s="3566"/>
      <c r="V241" s="3567"/>
      <c r="W241" s="2597"/>
      <c r="X241" s="3251"/>
      <c r="Y241" s="2597"/>
      <c r="Z241" s="3251"/>
      <c r="AA241" s="2597"/>
      <c r="AB241" s="3251"/>
      <c r="AC241" s="2597"/>
      <c r="AD241" s="3251"/>
      <c r="AE241" s="3325"/>
      <c r="AF241" s="3342"/>
      <c r="AG241" s="3343"/>
      <c r="AH241" s="3303"/>
      <c r="AI241" s="3244"/>
      <c r="AJ241" s="3302"/>
      <c r="AK241" s="3244"/>
      <c r="AL241" s="3303"/>
      <c r="AM241" s="3325"/>
      <c r="AN241" s="3015"/>
      <c r="AO241" s="3344"/>
      <c r="AP241" s="3325"/>
      <c r="AQ241" s="3303"/>
      <c r="AR241" s="3303"/>
    </row>
    <row r="242" spans="1:44" ht="12.75" customHeight="1">
      <c r="A242" s="3325"/>
      <c r="B242" s="3340"/>
      <c r="C242" s="3249"/>
      <c r="D242" s="3325"/>
      <c r="E242" s="3247"/>
      <c r="F242" s="3340"/>
      <c r="G242" s="3244"/>
      <c r="H242" s="3304"/>
      <c r="I242" s="3564"/>
      <c r="J242" s="3565"/>
      <c r="K242" s="3566"/>
      <c r="L242" s="3251"/>
      <c r="M242" s="3325"/>
      <c r="N242" s="3342"/>
      <c r="O242" s="3564"/>
      <c r="P242" s="3574"/>
      <c r="Q242" s="3566"/>
      <c r="R242" s="3251"/>
      <c r="S242" s="3566"/>
      <c r="T242" s="3557"/>
      <c r="U242" s="3566"/>
      <c r="V242" s="3567"/>
      <c r="W242" s="2597"/>
      <c r="X242" s="3251"/>
      <c r="Y242" s="2597"/>
      <c r="Z242" s="3251"/>
      <c r="AA242" s="2597"/>
      <c r="AB242" s="3251"/>
      <c r="AC242" s="2597"/>
      <c r="AD242" s="3251"/>
      <c r="AE242" s="3325"/>
      <c r="AF242" s="3342"/>
      <c r="AG242" s="3343"/>
      <c r="AH242" s="3303"/>
      <c r="AI242" s="3244"/>
      <c r="AJ242" s="3302"/>
      <c r="AK242" s="3244"/>
      <c r="AL242" s="3303"/>
      <c r="AM242" s="3325"/>
      <c r="AN242" s="3015"/>
      <c r="AO242" s="3344"/>
      <c r="AP242" s="3325"/>
      <c r="AQ242" s="3303"/>
      <c r="AR242" s="3303"/>
    </row>
    <row r="243" spans="1:44" ht="12.75" customHeight="1">
      <c r="A243" s="3325"/>
      <c r="B243" s="3340"/>
      <c r="C243" s="3249"/>
      <c r="D243" s="3325"/>
      <c r="E243" s="3247"/>
      <c r="F243" s="3340"/>
      <c r="G243" s="3244"/>
      <c r="H243" s="3304"/>
      <c r="I243" s="3564"/>
      <c r="J243" s="3565"/>
      <c r="K243" s="3566"/>
      <c r="L243" s="3251"/>
      <c r="M243" s="3325"/>
      <c r="N243" s="3342"/>
      <c r="O243" s="3564"/>
      <c r="P243" s="3574"/>
      <c r="Q243" s="3566"/>
      <c r="R243" s="3251"/>
      <c r="S243" s="3566"/>
      <c r="T243" s="3557"/>
      <c r="U243" s="3566"/>
      <c r="V243" s="3567"/>
      <c r="W243" s="2597"/>
      <c r="X243" s="3251"/>
      <c r="Y243" s="2597"/>
      <c r="Z243" s="3251"/>
      <c r="AA243" s="2597"/>
      <c r="AB243" s="3251"/>
      <c r="AC243" s="2597"/>
      <c r="AD243" s="3251"/>
      <c r="AE243" s="3325"/>
      <c r="AF243" s="3342"/>
      <c r="AG243" s="3343"/>
      <c r="AH243" s="3303"/>
      <c r="AI243" s="3244"/>
      <c r="AJ243" s="3302"/>
      <c r="AK243" s="3244"/>
      <c r="AL243" s="3303"/>
      <c r="AM243" s="3325"/>
      <c r="AN243" s="3015"/>
      <c r="AO243" s="3344"/>
      <c r="AP243" s="3325"/>
      <c r="AQ243" s="3303"/>
      <c r="AR243" s="3303"/>
    </row>
    <row r="244" spans="1:44" ht="12.75" customHeight="1">
      <c r="A244" s="3325"/>
      <c r="B244" s="3340"/>
      <c r="C244" s="3249"/>
      <c r="D244" s="3325"/>
      <c r="E244" s="3247"/>
      <c r="F244" s="3340"/>
      <c r="G244" s="3244"/>
      <c r="H244" s="3304"/>
      <c r="I244" s="3564"/>
      <c r="J244" s="3565"/>
      <c r="K244" s="3566"/>
      <c r="L244" s="3251"/>
      <c r="M244" s="3325"/>
      <c r="N244" s="3342"/>
      <c r="O244" s="3564"/>
      <c r="P244" s="3574"/>
      <c r="Q244" s="3566"/>
      <c r="R244" s="3251"/>
      <c r="S244" s="3566"/>
      <c r="T244" s="3557"/>
      <c r="U244" s="3566"/>
      <c r="V244" s="3567"/>
      <c r="W244" s="2597"/>
      <c r="X244" s="3251"/>
      <c r="Y244" s="2597"/>
      <c r="Z244" s="3251"/>
      <c r="AA244" s="2597"/>
      <c r="AB244" s="3251"/>
      <c r="AC244" s="2597"/>
      <c r="AD244" s="3251"/>
      <c r="AE244" s="3325"/>
      <c r="AF244" s="3342"/>
      <c r="AG244" s="3343"/>
      <c r="AH244" s="3303"/>
      <c r="AI244" s="3244"/>
      <c r="AJ244" s="3302"/>
      <c r="AK244" s="3244"/>
      <c r="AL244" s="3303"/>
      <c r="AM244" s="3325"/>
      <c r="AN244" s="3015"/>
      <c r="AO244" s="3344"/>
      <c r="AP244" s="3325"/>
      <c r="AQ244" s="3303"/>
      <c r="AR244" s="3303"/>
    </row>
    <row r="245" spans="1:44" ht="12.75" customHeight="1">
      <c r="A245" s="3325"/>
      <c r="B245" s="3340"/>
      <c r="C245" s="3249"/>
      <c r="D245" s="3325"/>
      <c r="E245" s="3247"/>
      <c r="F245" s="3340"/>
      <c r="G245" s="3244"/>
      <c r="H245" s="3304"/>
      <c r="I245" s="3564"/>
      <c r="J245" s="3565"/>
      <c r="K245" s="3566"/>
      <c r="L245" s="3251"/>
      <c r="M245" s="3325"/>
      <c r="N245" s="3342"/>
      <c r="O245" s="3564"/>
      <c r="P245" s="3574"/>
      <c r="Q245" s="3566"/>
      <c r="R245" s="3251"/>
      <c r="S245" s="3566"/>
      <c r="T245" s="3557"/>
      <c r="U245" s="3566"/>
      <c r="V245" s="3567"/>
      <c r="W245" s="2597"/>
      <c r="X245" s="3251"/>
      <c r="Y245" s="2597"/>
      <c r="Z245" s="3251"/>
      <c r="AA245" s="2597"/>
      <c r="AB245" s="3251"/>
      <c r="AC245" s="2597"/>
      <c r="AD245" s="3251"/>
      <c r="AE245" s="3325"/>
      <c r="AF245" s="3342"/>
      <c r="AG245" s="3343"/>
      <c r="AH245" s="3303"/>
      <c r="AI245" s="3244"/>
      <c r="AJ245" s="3302"/>
      <c r="AK245" s="3244"/>
      <c r="AL245" s="3303"/>
      <c r="AM245" s="3325"/>
      <c r="AN245" s="3015"/>
      <c r="AO245" s="3344"/>
      <c r="AP245" s="3325"/>
      <c r="AQ245" s="3303"/>
      <c r="AR245" s="3303"/>
    </row>
    <row r="246" spans="1:44" ht="12.75" customHeight="1">
      <c r="A246" s="3325"/>
      <c r="B246" s="3340"/>
      <c r="C246" s="3249"/>
      <c r="D246" s="3325"/>
      <c r="E246" s="3247"/>
      <c r="F246" s="3340"/>
      <c r="G246" s="3244"/>
      <c r="H246" s="3304"/>
      <c r="I246" s="3564"/>
      <c r="J246" s="3565"/>
      <c r="K246" s="3566"/>
      <c r="L246" s="3251"/>
      <c r="M246" s="3325"/>
      <c r="N246" s="3342"/>
      <c r="O246" s="3564"/>
      <c r="P246" s="3574"/>
      <c r="Q246" s="3566"/>
      <c r="R246" s="3251"/>
      <c r="S246" s="3566"/>
      <c r="T246" s="3557"/>
      <c r="U246" s="3566"/>
      <c r="V246" s="3567"/>
      <c r="W246" s="2597"/>
      <c r="X246" s="3251"/>
      <c r="Y246" s="2597"/>
      <c r="Z246" s="3251"/>
      <c r="AA246" s="2597"/>
      <c r="AB246" s="3251"/>
      <c r="AC246" s="2597"/>
      <c r="AD246" s="3251"/>
      <c r="AE246" s="3325"/>
      <c r="AF246" s="3342"/>
      <c r="AG246" s="3343"/>
      <c r="AH246" s="3303"/>
      <c r="AI246" s="3244"/>
      <c r="AJ246" s="3302"/>
      <c r="AK246" s="3244"/>
      <c r="AL246" s="3303"/>
      <c r="AM246" s="3325"/>
      <c r="AN246" s="3015"/>
      <c r="AO246" s="3344"/>
      <c r="AP246" s="3325"/>
      <c r="AQ246" s="3303"/>
      <c r="AR246" s="3303"/>
    </row>
    <row r="247" spans="1:44" ht="12.75" customHeight="1">
      <c r="A247" s="3325"/>
      <c r="B247" s="3340"/>
      <c r="C247" s="3249"/>
      <c r="D247" s="3325"/>
      <c r="E247" s="3247"/>
      <c r="F247" s="3340"/>
      <c r="G247" s="3244"/>
      <c r="H247" s="3304"/>
      <c r="I247" s="3564"/>
      <c r="J247" s="3565"/>
      <c r="K247" s="3566"/>
      <c r="L247" s="3251"/>
      <c r="M247" s="3325"/>
      <c r="N247" s="3342"/>
      <c r="O247" s="3564"/>
      <c r="P247" s="3574"/>
      <c r="Q247" s="3566"/>
      <c r="R247" s="3251"/>
      <c r="S247" s="3566"/>
      <c r="T247" s="3557"/>
      <c r="U247" s="3566"/>
      <c r="V247" s="3567"/>
      <c r="W247" s="2597"/>
      <c r="X247" s="3251"/>
      <c r="Y247" s="2597"/>
      <c r="Z247" s="3251"/>
      <c r="AA247" s="2597"/>
      <c r="AB247" s="3251"/>
      <c r="AC247" s="2597"/>
      <c r="AD247" s="3251"/>
      <c r="AE247" s="3325"/>
      <c r="AF247" s="3342"/>
      <c r="AG247" s="3343"/>
      <c r="AH247" s="3303"/>
      <c r="AI247" s="3244"/>
      <c r="AJ247" s="3302"/>
      <c r="AK247" s="3244"/>
      <c r="AL247" s="3303"/>
      <c r="AM247" s="3325"/>
      <c r="AN247" s="3015"/>
      <c r="AO247" s="3344"/>
      <c r="AP247" s="3325"/>
      <c r="AQ247" s="3303"/>
      <c r="AR247" s="3303"/>
    </row>
    <row r="248" spans="1:44" ht="12.75" customHeight="1">
      <c r="A248" s="3325"/>
      <c r="B248" s="3340"/>
      <c r="C248" s="3249"/>
      <c r="D248" s="3325"/>
      <c r="E248" s="3247"/>
      <c r="F248" s="3340"/>
      <c r="G248" s="3244"/>
      <c r="H248" s="3304"/>
      <c r="I248" s="3564"/>
      <c r="J248" s="3565"/>
      <c r="K248" s="3566"/>
      <c r="L248" s="3251"/>
      <c r="M248" s="3325"/>
      <c r="N248" s="3342"/>
      <c r="O248" s="3564"/>
      <c r="P248" s="3574"/>
      <c r="Q248" s="3566"/>
      <c r="R248" s="3251"/>
      <c r="S248" s="3566"/>
      <c r="T248" s="3557"/>
      <c r="U248" s="3566"/>
      <c r="V248" s="3567"/>
      <c r="W248" s="2597"/>
      <c r="X248" s="3251"/>
      <c r="Y248" s="2597"/>
      <c r="Z248" s="3251"/>
      <c r="AA248" s="2597"/>
      <c r="AB248" s="3251"/>
      <c r="AC248" s="2597"/>
      <c r="AD248" s="3251"/>
      <c r="AE248" s="3325"/>
      <c r="AF248" s="3342"/>
      <c r="AG248" s="3343"/>
      <c r="AH248" s="3303"/>
      <c r="AI248" s="3244"/>
      <c r="AJ248" s="3302"/>
      <c r="AK248" s="3244"/>
      <c r="AL248" s="3303"/>
      <c r="AM248" s="3325"/>
      <c r="AN248" s="3015"/>
      <c r="AO248" s="3344"/>
      <c r="AP248" s="3325"/>
      <c r="AQ248" s="3303"/>
      <c r="AR248" s="3303"/>
    </row>
    <row r="249" spans="1:44" ht="12.75" customHeight="1">
      <c r="A249" s="3325"/>
      <c r="B249" s="3340"/>
      <c r="C249" s="3249"/>
      <c r="D249" s="3325"/>
      <c r="E249" s="3247"/>
      <c r="F249" s="3340"/>
      <c r="G249" s="3244"/>
      <c r="H249" s="3304"/>
      <c r="I249" s="3564"/>
      <c r="J249" s="3565"/>
      <c r="K249" s="3566"/>
      <c r="L249" s="3251"/>
      <c r="M249" s="3325"/>
      <c r="N249" s="3342"/>
      <c r="O249" s="3564"/>
      <c r="P249" s="3574"/>
      <c r="Q249" s="3566"/>
      <c r="R249" s="3251"/>
      <c r="S249" s="3566"/>
      <c r="T249" s="3557"/>
      <c r="U249" s="3566"/>
      <c r="V249" s="3567"/>
      <c r="W249" s="2597"/>
      <c r="X249" s="3251"/>
      <c r="Y249" s="2597"/>
      <c r="Z249" s="3251"/>
      <c r="AA249" s="2597"/>
      <c r="AB249" s="3251"/>
      <c r="AC249" s="2597"/>
      <c r="AD249" s="3251"/>
      <c r="AE249" s="3325"/>
      <c r="AF249" s="3342"/>
      <c r="AG249" s="3343"/>
      <c r="AH249" s="3305"/>
      <c r="AI249" s="3244"/>
      <c r="AJ249" s="3302"/>
      <c r="AK249" s="3244"/>
      <c r="AL249" s="3305"/>
      <c r="AM249" s="3325"/>
      <c r="AN249" s="3015"/>
      <c r="AO249" s="3344"/>
      <c r="AP249" s="3325"/>
      <c r="AQ249" s="3303"/>
      <c r="AR249" s="3303"/>
    </row>
    <row r="250" spans="1:44" ht="12.75" customHeight="1">
      <c r="A250" s="3325"/>
      <c r="B250" s="3340"/>
      <c r="C250" s="3249"/>
      <c r="D250" s="3325"/>
      <c r="E250" s="3247"/>
      <c r="F250" s="3340"/>
      <c r="G250" s="3244"/>
      <c r="H250" s="3304"/>
      <c r="I250" s="3564"/>
      <c r="J250" s="3565"/>
      <c r="K250" s="3566"/>
      <c r="L250" s="3251"/>
      <c r="M250" s="3325"/>
      <c r="N250" s="3342"/>
      <c r="O250" s="3564"/>
      <c r="P250" s="3574"/>
      <c r="Q250" s="3566"/>
      <c r="R250" s="3251"/>
      <c r="S250" s="3566"/>
      <c r="T250" s="3557"/>
      <c r="U250" s="3566"/>
      <c r="V250" s="3567"/>
      <c r="W250" s="2597"/>
      <c r="X250" s="3251"/>
      <c r="Y250" s="2597"/>
      <c r="Z250" s="3251"/>
      <c r="AA250" s="2597"/>
      <c r="AB250" s="3251"/>
      <c r="AC250" s="2597"/>
      <c r="AD250" s="3251"/>
      <c r="AE250" s="3325"/>
      <c r="AF250" s="3342"/>
      <c r="AG250" s="3343"/>
      <c r="AH250" s="3303"/>
      <c r="AI250" s="3244"/>
      <c r="AJ250" s="3302"/>
      <c r="AK250" s="3244"/>
      <c r="AL250" s="3303"/>
      <c r="AM250" s="3325"/>
      <c r="AN250" s="3015"/>
      <c r="AO250" s="3344"/>
      <c r="AP250" s="3325"/>
      <c r="AQ250" s="3303"/>
      <c r="AR250" s="3303"/>
    </row>
    <row r="251" spans="1:44" ht="12.75" customHeight="1">
      <c r="A251" s="3325"/>
      <c r="B251" s="3340"/>
      <c r="C251" s="3249"/>
      <c r="D251" s="3325"/>
      <c r="E251" s="3247"/>
      <c r="F251" s="3340"/>
      <c r="G251" s="3244"/>
      <c r="H251" s="3304"/>
      <c r="I251" s="3564"/>
      <c r="J251" s="3565"/>
      <c r="K251" s="3566"/>
      <c r="L251" s="3251"/>
      <c r="M251" s="3325"/>
      <c r="N251" s="3342"/>
      <c r="O251" s="3564"/>
      <c r="P251" s="3574"/>
      <c r="Q251" s="3566"/>
      <c r="R251" s="3251"/>
      <c r="S251" s="3566"/>
      <c r="T251" s="3557"/>
      <c r="U251" s="3566"/>
      <c r="V251" s="3567"/>
      <c r="W251" s="2597"/>
      <c r="X251" s="3251"/>
      <c r="Y251" s="2597"/>
      <c r="Z251" s="3251"/>
      <c r="AA251" s="2597"/>
      <c r="AB251" s="3251"/>
      <c r="AC251" s="2597"/>
      <c r="AD251" s="3251"/>
      <c r="AE251" s="3325"/>
      <c r="AF251" s="3342"/>
      <c r="AG251" s="3343"/>
      <c r="AH251" s="3303"/>
      <c r="AI251" s="3244"/>
      <c r="AJ251" s="3302"/>
      <c r="AK251" s="3244"/>
      <c r="AL251" s="3303"/>
      <c r="AM251" s="3325"/>
      <c r="AN251" s="3015"/>
      <c r="AO251" s="3344"/>
      <c r="AP251" s="3325"/>
      <c r="AQ251" s="3303"/>
      <c r="AR251" s="3303"/>
    </row>
    <row r="252" spans="1:44" ht="12.75" customHeight="1">
      <c r="A252" s="3325"/>
      <c r="B252" s="3340"/>
      <c r="C252" s="3249"/>
      <c r="D252" s="3325"/>
      <c r="E252" s="3247"/>
      <c r="F252" s="3340"/>
      <c r="G252" s="3244"/>
      <c r="H252" s="3304"/>
      <c r="I252" s="3564"/>
      <c r="J252" s="3565"/>
      <c r="K252" s="3566"/>
      <c r="L252" s="3251"/>
      <c r="M252" s="3325"/>
      <c r="N252" s="3342"/>
      <c r="O252" s="3564"/>
      <c r="P252" s="3574"/>
      <c r="Q252" s="3566"/>
      <c r="R252" s="3251"/>
      <c r="S252" s="3566"/>
      <c r="T252" s="3557"/>
      <c r="U252" s="3566"/>
      <c r="V252" s="3567"/>
      <c r="W252" s="2597"/>
      <c r="X252" s="3251"/>
      <c r="Y252" s="2597"/>
      <c r="Z252" s="3251"/>
      <c r="AA252" s="2597"/>
      <c r="AB252" s="3251"/>
      <c r="AC252" s="2597"/>
      <c r="AD252" s="3251"/>
      <c r="AE252" s="3325"/>
      <c r="AF252" s="3342"/>
      <c r="AG252" s="3343"/>
      <c r="AH252" s="3303"/>
      <c r="AI252" s="3244"/>
      <c r="AJ252" s="3302"/>
      <c r="AK252" s="3244"/>
      <c r="AL252" s="3303"/>
      <c r="AM252" s="3325"/>
      <c r="AN252" s="3015"/>
      <c r="AO252" s="3344"/>
      <c r="AP252" s="3325"/>
      <c r="AQ252" s="3303"/>
      <c r="AR252" s="3303"/>
    </row>
    <row r="253" spans="1:44" ht="12.75" customHeight="1">
      <c r="A253" s="3325"/>
      <c r="B253" s="3340"/>
      <c r="C253" s="3249"/>
      <c r="D253" s="3325"/>
      <c r="E253" s="3247"/>
      <c r="F253" s="3340"/>
      <c r="G253" s="3244"/>
      <c r="H253" s="3304"/>
      <c r="I253" s="3564"/>
      <c r="J253" s="3565"/>
      <c r="K253" s="3566"/>
      <c r="L253" s="3251"/>
      <c r="M253" s="3325"/>
      <c r="N253" s="3342"/>
      <c r="O253" s="3564"/>
      <c r="P253" s="3574"/>
      <c r="Q253" s="3566"/>
      <c r="R253" s="3251"/>
      <c r="S253" s="3566"/>
      <c r="T253" s="3557"/>
      <c r="U253" s="3566"/>
      <c r="V253" s="3567"/>
      <c r="W253" s="2597"/>
      <c r="X253" s="3251"/>
      <c r="Y253" s="2597"/>
      <c r="Z253" s="3251"/>
      <c r="AA253" s="2597"/>
      <c r="AB253" s="3251"/>
      <c r="AC253" s="2597"/>
      <c r="AD253" s="3251"/>
      <c r="AE253" s="3325"/>
      <c r="AF253" s="3342"/>
      <c r="AG253" s="3343"/>
      <c r="AH253" s="3303"/>
      <c r="AI253" s="3244"/>
      <c r="AJ253" s="3302"/>
      <c r="AK253" s="3244"/>
      <c r="AL253" s="3303"/>
      <c r="AM253" s="3325"/>
      <c r="AN253" s="3015"/>
      <c r="AO253" s="3344"/>
      <c r="AP253" s="3325"/>
      <c r="AQ253" s="3303"/>
      <c r="AR253" s="3303"/>
    </row>
    <row r="254" spans="1:44" ht="12.75" customHeight="1">
      <c r="A254" s="3325"/>
      <c r="B254" s="3340"/>
      <c r="C254" s="3249"/>
      <c r="D254" s="3325"/>
      <c r="E254" s="3247"/>
      <c r="F254" s="3340"/>
      <c r="G254" s="3244"/>
      <c r="H254" s="3304"/>
      <c r="I254" s="3564"/>
      <c r="J254" s="3565"/>
      <c r="K254" s="3566"/>
      <c r="L254" s="3251"/>
      <c r="M254" s="3325"/>
      <c r="N254" s="3342"/>
      <c r="O254" s="3564"/>
      <c r="P254" s="3574"/>
      <c r="Q254" s="3566"/>
      <c r="R254" s="3251"/>
      <c r="S254" s="3566"/>
      <c r="T254" s="3557"/>
      <c r="U254" s="3566"/>
      <c r="V254" s="3567"/>
      <c r="W254" s="2597"/>
      <c r="X254" s="3251"/>
      <c r="Y254" s="2597"/>
      <c r="Z254" s="3251"/>
      <c r="AA254" s="2597"/>
      <c r="AB254" s="3251"/>
      <c r="AC254" s="2597"/>
      <c r="AD254" s="3251"/>
      <c r="AE254" s="3325"/>
      <c r="AF254" s="3342"/>
      <c r="AG254" s="3343"/>
      <c r="AH254" s="3303"/>
      <c r="AI254" s="3244"/>
      <c r="AJ254" s="3302"/>
      <c r="AK254" s="3244"/>
      <c r="AL254" s="3303"/>
      <c r="AM254" s="3325"/>
      <c r="AN254" s="3015"/>
      <c r="AO254" s="3344"/>
      <c r="AP254" s="3325"/>
      <c r="AQ254" s="3303"/>
      <c r="AR254" s="3303"/>
    </row>
    <row r="255" spans="1:44" ht="12.75" customHeight="1">
      <c r="A255" s="3325"/>
      <c r="B255" s="3340"/>
      <c r="C255" s="3249"/>
      <c r="D255" s="3325"/>
      <c r="E255" s="3247"/>
      <c r="F255" s="3340"/>
      <c r="G255" s="3244"/>
      <c r="H255" s="3304"/>
      <c r="I255" s="3564"/>
      <c r="J255" s="3565"/>
      <c r="K255" s="3566"/>
      <c r="L255" s="3251"/>
      <c r="M255" s="3325"/>
      <c r="N255" s="3342"/>
      <c r="O255" s="3564"/>
      <c r="P255" s="3574"/>
      <c r="Q255" s="3566"/>
      <c r="R255" s="3251"/>
      <c r="S255" s="3566"/>
      <c r="T255" s="3557"/>
      <c r="U255" s="3566"/>
      <c r="V255" s="3567"/>
      <c r="W255" s="2597"/>
      <c r="X255" s="3251"/>
      <c r="Y255" s="2597"/>
      <c r="Z255" s="3251"/>
      <c r="AA255" s="2597"/>
      <c r="AB255" s="3251"/>
      <c r="AC255" s="2597"/>
      <c r="AD255" s="3251"/>
      <c r="AE255" s="3325"/>
      <c r="AF255" s="3342"/>
      <c r="AG255" s="3343"/>
      <c r="AH255" s="3303"/>
      <c r="AI255" s="3244"/>
      <c r="AJ255" s="3302"/>
      <c r="AK255" s="3244"/>
      <c r="AL255" s="3303"/>
      <c r="AM255" s="3325"/>
      <c r="AN255" s="3015"/>
      <c r="AO255" s="3344"/>
      <c r="AP255" s="3325"/>
      <c r="AQ255" s="3303"/>
      <c r="AR255" s="3303"/>
    </row>
    <row r="256" spans="1:44" ht="12.75" customHeight="1">
      <c r="A256" s="3325"/>
      <c r="B256" s="3340"/>
      <c r="C256" s="3249"/>
      <c r="D256" s="3325"/>
      <c r="E256" s="3247"/>
      <c r="F256" s="3340"/>
      <c r="G256" s="3244"/>
      <c r="H256" s="3304"/>
      <c r="I256" s="3564"/>
      <c r="J256" s="3565"/>
      <c r="K256" s="3566"/>
      <c r="L256" s="3251"/>
      <c r="M256" s="3325"/>
      <c r="N256" s="3342"/>
      <c r="O256" s="3564"/>
      <c r="P256" s="3574"/>
      <c r="Q256" s="3566"/>
      <c r="R256" s="3251"/>
      <c r="S256" s="3566"/>
      <c r="T256" s="3557"/>
      <c r="U256" s="3566"/>
      <c r="V256" s="3567"/>
      <c r="W256" s="2597"/>
      <c r="X256" s="3251"/>
      <c r="Y256" s="2597"/>
      <c r="Z256" s="3251"/>
      <c r="AA256" s="2597"/>
      <c r="AB256" s="3251"/>
      <c r="AC256" s="2597"/>
      <c r="AD256" s="3251"/>
      <c r="AE256" s="3325"/>
      <c r="AF256" s="3342"/>
      <c r="AG256" s="3343"/>
      <c r="AH256" s="3303"/>
      <c r="AI256" s="3244"/>
      <c r="AJ256" s="3302"/>
      <c r="AK256" s="3244"/>
      <c r="AL256" s="3303"/>
      <c r="AM256" s="3325"/>
      <c r="AN256" s="3015"/>
      <c r="AO256" s="3344"/>
      <c r="AP256" s="3325"/>
      <c r="AQ256" s="3303"/>
      <c r="AR256" s="3303"/>
    </row>
    <row r="257" spans="1:44" ht="12.75" customHeight="1">
      <c r="A257" s="3325"/>
      <c r="B257" s="3340"/>
      <c r="C257" s="3249"/>
      <c r="D257" s="3325"/>
      <c r="E257" s="3247"/>
      <c r="F257" s="3340"/>
      <c r="G257" s="3244"/>
      <c r="H257" s="3304"/>
      <c r="I257" s="3564"/>
      <c r="J257" s="3565"/>
      <c r="K257" s="3566"/>
      <c r="L257" s="3251"/>
      <c r="M257" s="3325"/>
      <c r="N257" s="3342"/>
      <c r="O257" s="3564"/>
      <c r="P257" s="3574"/>
      <c r="Q257" s="3566"/>
      <c r="R257" s="3251"/>
      <c r="S257" s="3566"/>
      <c r="T257" s="3557"/>
      <c r="U257" s="3566"/>
      <c r="V257" s="3567"/>
      <c r="W257" s="2597"/>
      <c r="X257" s="3251"/>
      <c r="Y257" s="2597"/>
      <c r="Z257" s="3251"/>
      <c r="AA257" s="2597"/>
      <c r="AB257" s="3251"/>
      <c r="AC257" s="2597"/>
      <c r="AD257" s="3251"/>
      <c r="AE257" s="3325"/>
      <c r="AF257" s="3342"/>
      <c r="AG257" s="3343"/>
      <c r="AH257" s="3303"/>
      <c r="AI257" s="3244"/>
      <c r="AJ257" s="3302"/>
      <c r="AK257" s="3244"/>
      <c r="AL257" s="3303"/>
      <c r="AM257" s="3325"/>
      <c r="AN257" s="3015"/>
      <c r="AO257" s="3344"/>
      <c r="AP257" s="3325"/>
      <c r="AQ257" s="3303"/>
      <c r="AR257" s="3303"/>
    </row>
    <row r="258" spans="1:44" ht="12.75" customHeight="1">
      <c r="A258" s="3325"/>
      <c r="B258" s="3340"/>
      <c r="C258" s="3249"/>
      <c r="D258" s="3325"/>
      <c r="E258" s="3247"/>
      <c r="F258" s="3340"/>
      <c r="G258" s="3244"/>
      <c r="H258" s="3304"/>
      <c r="I258" s="3564"/>
      <c r="J258" s="3565"/>
      <c r="K258" s="3566"/>
      <c r="L258" s="3251"/>
      <c r="M258" s="3325"/>
      <c r="N258" s="3342"/>
      <c r="O258" s="3564"/>
      <c r="P258" s="3574"/>
      <c r="Q258" s="3566"/>
      <c r="R258" s="3251"/>
      <c r="S258" s="3566"/>
      <c r="T258" s="3557"/>
      <c r="U258" s="3566"/>
      <c r="V258" s="3567"/>
      <c r="W258" s="2597"/>
      <c r="X258" s="3251"/>
      <c r="Y258" s="2597"/>
      <c r="Z258" s="3251"/>
      <c r="AA258" s="2597"/>
      <c r="AB258" s="3251"/>
      <c r="AC258" s="2597"/>
      <c r="AD258" s="3251"/>
      <c r="AE258" s="3325"/>
      <c r="AF258" s="3342"/>
      <c r="AG258" s="3343"/>
      <c r="AH258" s="3303"/>
      <c r="AI258" s="3244"/>
      <c r="AJ258" s="3302"/>
      <c r="AK258" s="3244"/>
      <c r="AL258" s="3303"/>
      <c r="AM258" s="3325"/>
      <c r="AN258" s="3015"/>
      <c r="AO258" s="3344"/>
      <c r="AP258" s="3325"/>
      <c r="AQ258" s="3303"/>
      <c r="AR258" s="3303"/>
    </row>
    <row r="259" spans="1:44" ht="12.75" customHeight="1">
      <c r="A259" s="3325"/>
      <c r="B259" s="3340"/>
      <c r="C259" s="3249"/>
      <c r="D259" s="3325"/>
      <c r="E259" s="3247"/>
      <c r="F259" s="3340"/>
      <c r="G259" s="3244"/>
      <c r="H259" s="3304"/>
      <c r="I259" s="3564"/>
      <c r="J259" s="3565"/>
      <c r="K259" s="3566"/>
      <c r="L259" s="3251"/>
      <c r="M259" s="3325"/>
      <c r="N259" s="3342"/>
      <c r="O259" s="3564"/>
      <c r="P259" s="3574"/>
      <c r="Q259" s="3566"/>
      <c r="R259" s="3251"/>
      <c r="S259" s="3566"/>
      <c r="T259" s="3557"/>
      <c r="U259" s="3566"/>
      <c r="V259" s="3567"/>
      <c r="W259" s="2597"/>
      <c r="X259" s="3251"/>
      <c r="Y259" s="2597"/>
      <c r="Z259" s="3251"/>
      <c r="AA259" s="2597"/>
      <c r="AB259" s="3251"/>
      <c r="AC259" s="2597"/>
      <c r="AD259" s="3251"/>
      <c r="AE259" s="3325"/>
      <c r="AF259" s="3342"/>
      <c r="AG259" s="3343"/>
      <c r="AH259" s="3303"/>
      <c r="AI259" s="3244"/>
      <c r="AJ259" s="3302"/>
      <c r="AK259" s="3244"/>
      <c r="AL259" s="3303"/>
      <c r="AM259" s="3325"/>
      <c r="AN259" s="3015"/>
      <c r="AO259" s="3344"/>
      <c r="AP259" s="3325"/>
      <c r="AQ259" s="3303"/>
      <c r="AR259" s="3303"/>
    </row>
    <row r="260" spans="1:44" ht="12.75" customHeight="1">
      <c r="A260" s="3325"/>
      <c r="B260" s="3340"/>
      <c r="C260" s="3249"/>
      <c r="D260" s="3325"/>
      <c r="E260" s="3247"/>
      <c r="F260" s="3340"/>
      <c r="G260" s="3244"/>
      <c r="H260" s="3304"/>
      <c r="I260" s="3564"/>
      <c r="J260" s="3565"/>
      <c r="K260" s="3566"/>
      <c r="L260" s="3251"/>
      <c r="M260" s="3325"/>
      <c r="N260" s="3342"/>
      <c r="O260" s="3564"/>
      <c r="P260" s="3574"/>
      <c r="Q260" s="3566"/>
      <c r="R260" s="3251"/>
      <c r="S260" s="3566"/>
      <c r="T260" s="3557"/>
      <c r="U260" s="3566"/>
      <c r="V260" s="3567"/>
      <c r="W260" s="2597"/>
      <c r="X260" s="3251"/>
      <c r="Y260" s="2597"/>
      <c r="Z260" s="3251"/>
      <c r="AA260" s="2597"/>
      <c r="AB260" s="3251"/>
      <c r="AC260" s="2597"/>
      <c r="AD260" s="3251"/>
      <c r="AE260" s="3325"/>
      <c r="AF260" s="3342"/>
      <c r="AG260" s="3343"/>
      <c r="AH260" s="3303"/>
      <c r="AI260" s="3244"/>
      <c r="AJ260" s="3302"/>
      <c r="AK260" s="3244"/>
      <c r="AL260" s="3303"/>
      <c r="AM260" s="3325"/>
      <c r="AN260" s="3015"/>
      <c r="AO260" s="3344"/>
      <c r="AP260" s="3325"/>
      <c r="AQ260" s="3303"/>
      <c r="AR260" s="3303"/>
    </row>
    <row r="261" spans="1:44" ht="12.75" customHeight="1">
      <c r="A261" s="3325"/>
      <c r="B261" s="3340"/>
      <c r="C261" s="3249"/>
      <c r="D261" s="3325"/>
      <c r="E261" s="3247"/>
      <c r="F261" s="3340"/>
      <c r="G261" s="3244"/>
      <c r="H261" s="3304"/>
      <c r="I261" s="3564"/>
      <c r="J261" s="3565"/>
      <c r="K261" s="3566"/>
      <c r="L261" s="3251"/>
      <c r="M261" s="3325"/>
      <c r="N261" s="3342"/>
      <c r="O261" s="3564"/>
      <c r="P261" s="3574"/>
      <c r="Q261" s="3566"/>
      <c r="R261" s="3251"/>
      <c r="S261" s="3566"/>
      <c r="T261" s="3557"/>
      <c r="U261" s="3566"/>
      <c r="V261" s="3567"/>
      <c r="W261" s="2597"/>
      <c r="X261" s="3251"/>
      <c r="Y261" s="2597"/>
      <c r="Z261" s="3251"/>
      <c r="AA261" s="2597"/>
      <c r="AB261" s="3251"/>
      <c r="AC261" s="2597"/>
      <c r="AD261" s="3251"/>
      <c r="AE261" s="3325"/>
      <c r="AF261" s="3342"/>
      <c r="AG261" s="3343"/>
      <c r="AH261" s="3303"/>
      <c r="AI261" s="3244"/>
      <c r="AJ261" s="3302"/>
      <c r="AK261" s="3244"/>
      <c r="AL261" s="3303"/>
      <c r="AM261" s="3325"/>
      <c r="AN261" s="3015"/>
      <c r="AO261" s="3344"/>
      <c r="AP261" s="3325"/>
      <c r="AQ261" s="3303"/>
      <c r="AR261" s="3303"/>
    </row>
    <row r="262" spans="1:44" ht="12.75" customHeight="1">
      <c r="A262" s="3325"/>
      <c r="B262" s="3340"/>
      <c r="C262" s="3249"/>
      <c r="D262" s="3325"/>
      <c r="E262" s="3247"/>
      <c r="F262" s="3340"/>
      <c r="G262" s="3244"/>
      <c r="H262" s="3304"/>
      <c r="I262" s="3564"/>
      <c r="J262" s="3565"/>
      <c r="K262" s="3566"/>
      <c r="L262" s="3251"/>
      <c r="M262" s="3325"/>
      <c r="N262" s="3342"/>
      <c r="O262" s="3564"/>
      <c r="P262" s="3574"/>
      <c r="Q262" s="3566"/>
      <c r="R262" s="3251"/>
      <c r="S262" s="3566"/>
      <c r="T262" s="3557"/>
      <c r="U262" s="3566"/>
      <c r="V262" s="3567"/>
      <c r="W262" s="2597"/>
      <c r="X262" s="3251"/>
      <c r="Y262" s="2597"/>
      <c r="Z262" s="3251"/>
      <c r="AA262" s="2597"/>
      <c r="AB262" s="3251"/>
      <c r="AC262" s="2597"/>
      <c r="AD262" s="3251"/>
      <c r="AE262" s="3325"/>
      <c r="AF262" s="3342"/>
      <c r="AG262" s="3343"/>
      <c r="AH262" s="3303"/>
      <c r="AI262" s="3244"/>
      <c r="AJ262" s="3302"/>
      <c r="AK262" s="3244"/>
      <c r="AL262" s="3303"/>
      <c r="AM262" s="3325"/>
      <c r="AN262" s="3015"/>
      <c r="AO262" s="3344"/>
      <c r="AP262" s="3325"/>
      <c r="AQ262" s="3303"/>
      <c r="AR262" s="3303"/>
    </row>
    <row r="263" spans="1:44" ht="12.75" customHeight="1">
      <c r="A263" s="3325"/>
      <c r="B263" s="3340"/>
      <c r="C263" s="3249"/>
      <c r="D263" s="3325"/>
      <c r="E263" s="3247"/>
      <c r="F263" s="3340"/>
      <c r="G263" s="3244"/>
      <c r="H263" s="3304"/>
      <c r="I263" s="3564"/>
      <c r="J263" s="3565"/>
      <c r="K263" s="3566"/>
      <c r="L263" s="3251"/>
      <c r="M263" s="3325"/>
      <c r="N263" s="3342"/>
      <c r="O263" s="3564"/>
      <c r="P263" s="3574"/>
      <c r="Q263" s="3566"/>
      <c r="R263" s="3251"/>
      <c r="S263" s="3566"/>
      <c r="T263" s="3557"/>
      <c r="U263" s="3566"/>
      <c r="V263" s="3567"/>
      <c r="W263" s="2597"/>
      <c r="X263" s="3251"/>
      <c r="Y263" s="2597"/>
      <c r="Z263" s="3251"/>
      <c r="AA263" s="2597"/>
      <c r="AB263" s="3251"/>
      <c r="AC263" s="2597"/>
      <c r="AD263" s="3251"/>
      <c r="AE263" s="3325"/>
      <c r="AF263" s="3342"/>
      <c r="AG263" s="3343"/>
      <c r="AH263" s="3303"/>
      <c r="AI263" s="3244"/>
      <c r="AJ263" s="3302"/>
      <c r="AK263" s="3244"/>
      <c r="AL263" s="3303"/>
      <c r="AM263" s="3325"/>
      <c r="AN263" s="3015"/>
      <c r="AO263" s="3344"/>
      <c r="AP263" s="3325"/>
      <c r="AQ263" s="3303"/>
      <c r="AR263" s="3303"/>
    </row>
    <row r="264" spans="1:44" ht="12.75" customHeight="1">
      <c r="A264" s="3325"/>
      <c r="B264" s="3340"/>
      <c r="C264" s="3249"/>
      <c r="D264" s="3325"/>
      <c r="E264" s="3247"/>
      <c r="F264" s="3340"/>
      <c r="G264" s="3244"/>
      <c r="H264" s="3304"/>
      <c r="I264" s="3564"/>
      <c r="J264" s="3565"/>
      <c r="K264" s="3566"/>
      <c r="L264" s="3251"/>
      <c r="M264" s="3325"/>
      <c r="N264" s="3342"/>
      <c r="O264" s="3564"/>
      <c r="P264" s="3574"/>
      <c r="Q264" s="3566"/>
      <c r="R264" s="3251"/>
      <c r="S264" s="3566"/>
      <c r="T264" s="3557"/>
      <c r="U264" s="3566"/>
      <c r="V264" s="3567"/>
      <c r="W264" s="2597"/>
      <c r="X264" s="3251"/>
      <c r="Y264" s="2597"/>
      <c r="Z264" s="3251"/>
      <c r="AA264" s="2597"/>
      <c r="AB264" s="3251"/>
      <c r="AC264" s="2597"/>
      <c r="AD264" s="3251"/>
      <c r="AE264" s="3325"/>
      <c r="AF264" s="3342"/>
      <c r="AG264" s="3343"/>
      <c r="AH264" s="3303"/>
      <c r="AI264" s="3244"/>
      <c r="AJ264" s="3302"/>
      <c r="AK264" s="3244"/>
      <c r="AL264" s="3303"/>
      <c r="AM264" s="3325"/>
      <c r="AN264" s="3015"/>
      <c r="AO264" s="3344"/>
      <c r="AP264" s="3325"/>
      <c r="AQ264" s="3303"/>
      <c r="AR264" s="3303"/>
    </row>
    <row r="265" spans="1:44" ht="12.75" customHeight="1">
      <c r="A265" s="3325"/>
      <c r="B265" s="3340"/>
      <c r="C265" s="3249"/>
      <c r="D265" s="3325"/>
      <c r="E265" s="3247"/>
      <c r="F265" s="3340"/>
      <c r="G265" s="3244"/>
      <c r="H265" s="3304"/>
      <c r="I265" s="3564"/>
      <c r="J265" s="3565"/>
      <c r="K265" s="3566"/>
      <c r="L265" s="3251"/>
      <c r="M265" s="3325"/>
      <c r="N265" s="3342"/>
      <c r="O265" s="3564"/>
      <c r="P265" s="3574"/>
      <c r="Q265" s="3566"/>
      <c r="R265" s="3251"/>
      <c r="S265" s="3566"/>
      <c r="T265" s="3557"/>
      <c r="U265" s="3566"/>
      <c r="V265" s="3567"/>
      <c r="W265" s="2597"/>
      <c r="X265" s="3251"/>
      <c r="Y265" s="2597"/>
      <c r="Z265" s="3251"/>
      <c r="AA265" s="2597"/>
      <c r="AB265" s="3251"/>
      <c r="AC265" s="2597"/>
      <c r="AD265" s="3251"/>
      <c r="AE265" s="3325"/>
      <c r="AF265" s="3342"/>
      <c r="AG265" s="3343"/>
      <c r="AH265" s="3303"/>
      <c r="AI265" s="3244"/>
      <c r="AJ265" s="3302"/>
      <c r="AK265" s="3244"/>
      <c r="AL265" s="3303"/>
      <c r="AM265" s="3325"/>
      <c r="AN265" s="3015"/>
      <c r="AO265" s="3344"/>
      <c r="AP265" s="3325"/>
      <c r="AQ265" s="3303"/>
      <c r="AR265" s="3303"/>
    </row>
    <row r="266" spans="1:44" ht="12.75" customHeight="1">
      <c r="A266" s="3325"/>
      <c r="B266" s="3340"/>
      <c r="C266" s="3249"/>
      <c r="D266" s="3325"/>
      <c r="E266" s="3247"/>
      <c r="F266" s="3340"/>
      <c r="G266" s="3244"/>
      <c r="H266" s="3304"/>
      <c r="I266" s="3564"/>
      <c r="J266" s="3565"/>
      <c r="K266" s="3566"/>
      <c r="L266" s="3251"/>
      <c r="M266" s="3325"/>
      <c r="N266" s="3342"/>
      <c r="O266" s="3564"/>
      <c r="P266" s="3574"/>
      <c r="Q266" s="3566"/>
      <c r="R266" s="3251"/>
      <c r="S266" s="3566"/>
      <c r="T266" s="3557"/>
      <c r="U266" s="3566"/>
      <c r="V266" s="3567"/>
      <c r="W266" s="2597"/>
      <c r="X266" s="3251"/>
      <c r="Y266" s="2597"/>
      <c r="Z266" s="3251"/>
      <c r="AA266" s="2597"/>
      <c r="AB266" s="3251"/>
      <c r="AC266" s="2597"/>
      <c r="AD266" s="3251"/>
      <c r="AE266" s="3325"/>
      <c r="AF266" s="3342"/>
      <c r="AG266" s="3343"/>
      <c r="AH266" s="3303"/>
      <c r="AI266" s="3244"/>
      <c r="AJ266" s="3302"/>
      <c r="AK266" s="3244"/>
      <c r="AL266" s="3303"/>
      <c r="AM266" s="3325"/>
      <c r="AN266" s="3015"/>
      <c r="AO266" s="3344"/>
      <c r="AP266" s="3325"/>
      <c r="AQ266" s="3303"/>
      <c r="AR266" s="3303"/>
    </row>
    <row r="267" spans="1:44" ht="12.75" customHeight="1">
      <c r="A267" s="3325"/>
      <c r="B267" s="3340"/>
      <c r="C267" s="3249"/>
      <c r="D267" s="3325"/>
      <c r="E267" s="3247"/>
      <c r="F267" s="3340"/>
      <c r="G267" s="3244"/>
      <c r="H267" s="3304"/>
      <c r="I267" s="3564"/>
      <c r="J267" s="3565"/>
      <c r="K267" s="3566"/>
      <c r="L267" s="3251"/>
      <c r="M267" s="3325"/>
      <c r="N267" s="3342"/>
      <c r="O267" s="3564"/>
      <c r="P267" s="3574"/>
      <c r="Q267" s="3566"/>
      <c r="R267" s="3251"/>
      <c r="S267" s="3566"/>
      <c r="T267" s="3557"/>
      <c r="U267" s="3566"/>
      <c r="V267" s="3567"/>
      <c r="W267" s="2597"/>
      <c r="X267" s="3251"/>
      <c r="Y267" s="2597"/>
      <c r="Z267" s="3251"/>
      <c r="AA267" s="2597"/>
      <c r="AB267" s="3251"/>
      <c r="AC267" s="2597"/>
      <c r="AD267" s="3251"/>
      <c r="AE267" s="3325"/>
      <c r="AF267" s="3342"/>
      <c r="AG267" s="3343"/>
      <c r="AH267" s="3303"/>
      <c r="AI267" s="3244"/>
      <c r="AJ267" s="3302"/>
      <c r="AK267" s="3244"/>
      <c r="AL267" s="3303"/>
      <c r="AM267" s="3325"/>
      <c r="AN267" s="3015"/>
      <c r="AO267" s="3344"/>
      <c r="AP267" s="3325"/>
      <c r="AQ267" s="3303"/>
      <c r="AR267" s="3303"/>
    </row>
    <row r="268" spans="1:44" ht="12.75" customHeight="1">
      <c r="A268" s="3325"/>
      <c r="B268" s="3340"/>
      <c r="C268" s="3249"/>
      <c r="D268" s="3325"/>
      <c r="E268" s="3247"/>
      <c r="F268" s="3340"/>
      <c r="G268" s="3244"/>
      <c r="H268" s="3304"/>
      <c r="I268" s="3564"/>
      <c r="J268" s="3565"/>
      <c r="K268" s="3566"/>
      <c r="L268" s="3251"/>
      <c r="M268" s="3325"/>
      <c r="N268" s="3342"/>
      <c r="O268" s="3564"/>
      <c r="P268" s="3574"/>
      <c r="Q268" s="3566"/>
      <c r="R268" s="3251"/>
      <c r="S268" s="3566"/>
      <c r="T268" s="3557"/>
      <c r="U268" s="3566"/>
      <c r="V268" s="3567"/>
      <c r="W268" s="2597"/>
      <c r="X268" s="3251"/>
      <c r="Y268" s="2597"/>
      <c r="Z268" s="3251"/>
      <c r="AA268" s="2597"/>
      <c r="AB268" s="3251"/>
      <c r="AC268" s="2597"/>
      <c r="AD268" s="3251"/>
      <c r="AE268" s="3325"/>
      <c r="AF268" s="3342"/>
      <c r="AG268" s="3343"/>
      <c r="AH268" s="3303"/>
      <c r="AI268" s="3244"/>
      <c r="AJ268" s="3302"/>
      <c r="AK268" s="3244"/>
      <c r="AL268" s="3303"/>
      <c r="AM268" s="3325"/>
      <c r="AN268" s="3015"/>
      <c r="AO268" s="3344"/>
      <c r="AP268" s="3325"/>
      <c r="AQ268" s="3303"/>
      <c r="AR268" s="3303"/>
    </row>
    <row r="269" spans="1:44" ht="12.75" customHeight="1">
      <c r="A269" s="3325"/>
      <c r="B269" s="3340"/>
      <c r="C269" s="3249"/>
      <c r="D269" s="3325"/>
      <c r="E269" s="3247"/>
      <c r="F269" s="3340"/>
      <c r="G269" s="3244"/>
      <c r="H269" s="3304"/>
      <c r="I269" s="3564"/>
      <c r="J269" s="3565"/>
      <c r="K269" s="3566"/>
      <c r="L269" s="3251"/>
      <c r="M269" s="3325"/>
      <c r="N269" s="3342"/>
      <c r="O269" s="3564"/>
      <c r="P269" s="3574"/>
      <c r="Q269" s="3566"/>
      <c r="R269" s="3251"/>
      <c r="S269" s="3566"/>
      <c r="T269" s="3557"/>
      <c r="U269" s="3566"/>
      <c r="V269" s="3567"/>
      <c r="W269" s="2597"/>
      <c r="X269" s="3251"/>
      <c r="Y269" s="2597"/>
      <c r="Z269" s="3251"/>
      <c r="AA269" s="2597"/>
      <c r="AB269" s="3251"/>
      <c r="AC269" s="2597"/>
      <c r="AD269" s="3251"/>
      <c r="AE269" s="3325"/>
      <c r="AF269" s="3342"/>
      <c r="AG269" s="3343"/>
      <c r="AH269" s="3303"/>
      <c r="AI269" s="3244"/>
      <c r="AJ269" s="3302"/>
      <c r="AK269" s="3244"/>
      <c r="AL269" s="3303"/>
      <c r="AM269" s="3325"/>
      <c r="AN269" s="3015"/>
      <c r="AO269" s="3344"/>
      <c r="AP269" s="3325"/>
      <c r="AQ269" s="3303"/>
      <c r="AR269" s="3303"/>
    </row>
    <row r="270" spans="1:44" ht="12.75" customHeight="1">
      <c r="A270" s="3325"/>
      <c r="B270" s="3340"/>
      <c r="C270" s="3249"/>
      <c r="D270" s="3325"/>
      <c r="E270" s="3247"/>
      <c r="F270" s="3340"/>
      <c r="G270" s="3244"/>
      <c r="H270" s="3304"/>
      <c r="I270" s="3564"/>
      <c r="J270" s="3565"/>
      <c r="K270" s="3566"/>
      <c r="L270" s="3251"/>
      <c r="M270" s="3325"/>
      <c r="N270" s="3342"/>
      <c r="O270" s="3564"/>
      <c r="P270" s="3574"/>
      <c r="Q270" s="3566"/>
      <c r="R270" s="3251"/>
      <c r="S270" s="3566"/>
      <c r="T270" s="3557"/>
      <c r="U270" s="3566"/>
      <c r="V270" s="3567"/>
      <c r="W270" s="2597"/>
      <c r="X270" s="3251"/>
      <c r="Y270" s="2597"/>
      <c r="Z270" s="3251"/>
      <c r="AA270" s="2597"/>
      <c r="AB270" s="3251"/>
      <c r="AC270" s="2597"/>
      <c r="AD270" s="3251"/>
      <c r="AE270" s="3325"/>
      <c r="AF270" s="3342"/>
      <c r="AG270" s="3343"/>
      <c r="AH270" s="3303"/>
      <c r="AI270" s="3244"/>
      <c r="AJ270" s="3302"/>
      <c r="AK270" s="3244"/>
      <c r="AL270" s="3303"/>
      <c r="AM270" s="3325"/>
      <c r="AN270" s="3015"/>
      <c r="AO270" s="3344"/>
      <c r="AP270" s="3325"/>
      <c r="AQ270" s="3303"/>
      <c r="AR270" s="3303"/>
    </row>
    <row r="271" spans="1:44" ht="12.75" customHeight="1">
      <c r="A271" s="3325"/>
      <c r="B271" s="3340"/>
      <c r="C271" s="3249"/>
      <c r="D271" s="3325"/>
      <c r="E271" s="3247"/>
      <c r="F271" s="3340"/>
      <c r="G271" s="3244"/>
      <c r="H271" s="3304"/>
      <c r="I271" s="3564"/>
      <c r="J271" s="3565"/>
      <c r="K271" s="3566"/>
      <c r="L271" s="3251"/>
      <c r="M271" s="3325"/>
      <c r="N271" s="3342"/>
      <c r="O271" s="3564"/>
      <c r="P271" s="3574"/>
      <c r="Q271" s="3566"/>
      <c r="R271" s="3251"/>
      <c r="S271" s="3566"/>
      <c r="T271" s="3557"/>
      <c r="U271" s="3566"/>
      <c r="V271" s="3567"/>
      <c r="W271" s="2597"/>
      <c r="X271" s="3251"/>
      <c r="Y271" s="2597"/>
      <c r="Z271" s="3251"/>
      <c r="AA271" s="2597"/>
      <c r="AB271" s="3251"/>
      <c r="AC271" s="2597"/>
      <c r="AD271" s="3251"/>
      <c r="AE271" s="3325"/>
      <c r="AF271" s="3342"/>
      <c r="AG271" s="3343"/>
      <c r="AH271" s="3303"/>
      <c r="AI271" s="3244"/>
      <c r="AJ271" s="3302"/>
      <c r="AK271" s="3244"/>
      <c r="AL271" s="3303"/>
      <c r="AM271" s="3325"/>
      <c r="AN271" s="3015"/>
      <c r="AO271" s="3344"/>
      <c r="AP271" s="3325"/>
      <c r="AQ271" s="3303"/>
      <c r="AR271" s="3303"/>
    </row>
    <row r="272" spans="1:44" ht="12.75" customHeight="1">
      <c r="A272" s="3325"/>
      <c r="B272" s="3340"/>
      <c r="C272" s="3249"/>
      <c r="D272" s="3325"/>
      <c r="E272" s="3247"/>
      <c r="F272" s="3340"/>
      <c r="G272" s="3244"/>
      <c r="H272" s="3304"/>
      <c r="I272" s="3564"/>
      <c r="J272" s="3565"/>
      <c r="K272" s="3566"/>
      <c r="L272" s="3251"/>
      <c r="M272" s="3325"/>
      <c r="N272" s="3342"/>
      <c r="O272" s="3564"/>
      <c r="P272" s="3574"/>
      <c r="Q272" s="3566"/>
      <c r="R272" s="3251"/>
      <c r="S272" s="3566"/>
      <c r="T272" s="3557"/>
      <c r="U272" s="3566"/>
      <c r="V272" s="3567"/>
      <c r="W272" s="2597"/>
      <c r="X272" s="3251"/>
      <c r="Y272" s="2597"/>
      <c r="Z272" s="3251"/>
      <c r="AA272" s="2597"/>
      <c r="AB272" s="3251"/>
      <c r="AC272" s="2597"/>
      <c r="AD272" s="3251"/>
      <c r="AE272" s="3325"/>
      <c r="AF272" s="3342"/>
      <c r="AG272" s="3343"/>
      <c r="AH272" s="3303"/>
      <c r="AI272" s="3244"/>
      <c r="AJ272" s="3302"/>
      <c r="AK272" s="3244"/>
      <c r="AL272" s="3303"/>
      <c r="AM272" s="3325"/>
      <c r="AN272" s="3015"/>
      <c r="AO272" s="3344"/>
      <c r="AP272" s="3325"/>
      <c r="AQ272" s="3303"/>
      <c r="AR272" s="3303"/>
    </row>
    <row r="273" spans="1:44" ht="12.75" customHeight="1">
      <c r="A273" s="3325"/>
      <c r="B273" s="3340"/>
      <c r="C273" s="3249"/>
      <c r="D273" s="3325"/>
      <c r="E273" s="3247"/>
      <c r="F273" s="3340"/>
      <c r="G273" s="3244"/>
      <c r="H273" s="3304"/>
      <c r="I273" s="3564"/>
      <c r="J273" s="3565"/>
      <c r="K273" s="3566"/>
      <c r="L273" s="3251"/>
      <c r="M273" s="3325"/>
      <c r="N273" s="3342"/>
      <c r="O273" s="3564"/>
      <c r="P273" s="3574"/>
      <c r="Q273" s="3566"/>
      <c r="R273" s="3251"/>
      <c r="S273" s="3566"/>
      <c r="T273" s="3557"/>
      <c r="U273" s="3566"/>
      <c r="V273" s="3567"/>
      <c r="W273" s="2597"/>
      <c r="X273" s="3251"/>
      <c r="Y273" s="2597"/>
      <c r="Z273" s="3251"/>
      <c r="AA273" s="2597"/>
      <c r="AB273" s="3251"/>
      <c r="AC273" s="2597"/>
      <c r="AD273" s="3251"/>
      <c r="AE273" s="3325"/>
      <c r="AF273" s="3342"/>
      <c r="AG273" s="3343"/>
      <c r="AH273" s="3303"/>
      <c r="AI273" s="3244"/>
      <c r="AJ273" s="3302"/>
      <c r="AK273" s="3244"/>
      <c r="AL273" s="3303"/>
      <c r="AM273" s="3325"/>
      <c r="AN273" s="3015"/>
      <c r="AO273" s="3344"/>
      <c r="AP273" s="3325"/>
      <c r="AQ273" s="3303"/>
      <c r="AR273" s="3303"/>
    </row>
    <row r="274" spans="1:44" ht="12.75" customHeight="1">
      <c r="A274" s="3325"/>
      <c r="B274" s="3340"/>
      <c r="C274" s="3249"/>
      <c r="D274" s="3325"/>
      <c r="E274" s="3247"/>
      <c r="F274" s="3340"/>
      <c r="G274" s="3244"/>
      <c r="H274" s="3304"/>
      <c r="I274" s="3564"/>
      <c r="J274" s="3565"/>
      <c r="K274" s="3566"/>
      <c r="L274" s="3251"/>
      <c r="M274" s="3325"/>
      <c r="N274" s="3342"/>
      <c r="O274" s="3564"/>
      <c r="P274" s="3574"/>
      <c r="Q274" s="3566"/>
      <c r="R274" s="3251"/>
      <c r="S274" s="3566"/>
      <c r="T274" s="3557"/>
      <c r="U274" s="3566"/>
      <c r="V274" s="3567"/>
      <c r="W274" s="2597"/>
      <c r="X274" s="3251"/>
      <c r="Y274" s="2597"/>
      <c r="Z274" s="3251"/>
      <c r="AA274" s="2597"/>
      <c r="AB274" s="3251"/>
      <c r="AC274" s="2597"/>
      <c r="AD274" s="3251"/>
      <c r="AE274" s="3325"/>
      <c r="AF274" s="3342"/>
      <c r="AG274" s="3343"/>
      <c r="AH274" s="3303"/>
      <c r="AI274" s="3244"/>
      <c r="AJ274" s="3302"/>
      <c r="AK274" s="3244"/>
      <c r="AL274" s="3303"/>
      <c r="AM274" s="3325"/>
      <c r="AN274" s="3015"/>
      <c r="AO274" s="3344"/>
      <c r="AP274" s="3325"/>
      <c r="AQ274" s="3303"/>
      <c r="AR274" s="3303"/>
    </row>
    <row r="275" spans="1:44" ht="12.75" customHeight="1">
      <c r="A275" s="3325"/>
      <c r="B275" s="3340"/>
      <c r="C275" s="3249"/>
      <c r="D275" s="3325"/>
      <c r="E275" s="3247"/>
      <c r="F275" s="3340"/>
      <c r="G275" s="3244"/>
      <c r="H275" s="3304"/>
      <c r="I275" s="3564"/>
      <c r="J275" s="3565"/>
      <c r="K275" s="3566"/>
      <c r="L275" s="3251"/>
      <c r="M275" s="3325"/>
      <c r="N275" s="3342"/>
      <c r="O275" s="3564"/>
      <c r="P275" s="3574"/>
      <c r="Q275" s="3566"/>
      <c r="R275" s="3251"/>
      <c r="S275" s="3566"/>
      <c r="T275" s="3557"/>
      <c r="U275" s="3566"/>
      <c r="V275" s="3567"/>
      <c r="W275" s="2597"/>
      <c r="X275" s="3251"/>
      <c r="Y275" s="2597"/>
      <c r="Z275" s="3251"/>
      <c r="AA275" s="2597"/>
      <c r="AB275" s="3251"/>
      <c r="AC275" s="2597"/>
      <c r="AD275" s="3251"/>
      <c r="AE275" s="3325"/>
      <c r="AF275" s="3342"/>
      <c r="AG275" s="3343"/>
      <c r="AH275" s="3303"/>
      <c r="AI275" s="3244"/>
      <c r="AJ275" s="3302"/>
      <c r="AK275" s="3244"/>
      <c r="AL275" s="3303"/>
      <c r="AM275" s="3325"/>
      <c r="AN275" s="3015"/>
      <c r="AO275" s="3344"/>
      <c r="AP275" s="3325"/>
      <c r="AQ275" s="3303"/>
      <c r="AR275" s="3303"/>
    </row>
    <row r="276" spans="1:44" ht="12.75" customHeight="1">
      <c r="A276" s="3325"/>
      <c r="B276" s="3340"/>
      <c r="C276" s="3249"/>
      <c r="D276" s="3325"/>
      <c r="E276" s="3247"/>
      <c r="F276" s="3340"/>
      <c r="G276" s="3244"/>
      <c r="H276" s="3304"/>
      <c r="I276" s="3564"/>
      <c r="J276" s="3565"/>
      <c r="K276" s="3566"/>
      <c r="L276" s="3251"/>
      <c r="M276" s="3325"/>
      <c r="N276" s="3342"/>
      <c r="O276" s="3564"/>
      <c r="P276" s="3574"/>
      <c r="Q276" s="3566"/>
      <c r="R276" s="3251"/>
      <c r="S276" s="3566"/>
      <c r="T276" s="3557"/>
      <c r="U276" s="3566"/>
      <c r="V276" s="3567"/>
      <c r="W276" s="2597"/>
      <c r="X276" s="3251"/>
      <c r="Y276" s="2597"/>
      <c r="Z276" s="3251"/>
      <c r="AA276" s="2597"/>
      <c r="AB276" s="3251"/>
      <c r="AC276" s="2597"/>
      <c r="AD276" s="3251"/>
      <c r="AE276" s="3325"/>
      <c r="AF276" s="3342"/>
      <c r="AG276" s="3343"/>
      <c r="AH276" s="3303"/>
      <c r="AI276" s="3244"/>
      <c r="AJ276" s="3302"/>
      <c r="AK276" s="3244"/>
      <c r="AL276" s="3303"/>
      <c r="AM276" s="3325"/>
      <c r="AN276" s="3015"/>
      <c r="AO276" s="3344"/>
      <c r="AP276" s="3325"/>
      <c r="AQ276" s="3303"/>
      <c r="AR276" s="3303"/>
    </row>
    <row r="277" spans="1:44" ht="12.75" customHeight="1">
      <c r="A277" s="3325"/>
      <c r="B277" s="3340"/>
      <c r="C277" s="3249"/>
      <c r="D277" s="3325"/>
      <c r="E277" s="3247"/>
      <c r="F277" s="3340"/>
      <c r="G277" s="3244"/>
      <c r="H277" s="3304"/>
      <c r="I277" s="3564"/>
      <c r="J277" s="3565"/>
      <c r="K277" s="3566"/>
      <c r="L277" s="3251"/>
      <c r="M277" s="3325"/>
      <c r="N277" s="3342"/>
      <c r="O277" s="3564"/>
      <c r="P277" s="3574"/>
      <c r="Q277" s="3566"/>
      <c r="R277" s="3251"/>
      <c r="S277" s="3566"/>
      <c r="T277" s="3557"/>
      <c r="U277" s="3566"/>
      <c r="V277" s="3567"/>
      <c r="W277" s="2597"/>
      <c r="X277" s="3251"/>
      <c r="Y277" s="2597"/>
      <c r="Z277" s="3251"/>
      <c r="AA277" s="2597"/>
      <c r="AB277" s="3251"/>
      <c r="AC277" s="2597"/>
      <c r="AD277" s="3251"/>
      <c r="AE277" s="3325"/>
      <c r="AF277" s="3342"/>
      <c r="AG277" s="3343"/>
      <c r="AH277" s="3303"/>
      <c r="AI277" s="3244"/>
      <c r="AJ277" s="3302"/>
      <c r="AK277" s="3244"/>
      <c r="AL277" s="3303"/>
      <c r="AM277" s="3325"/>
      <c r="AN277" s="3015"/>
      <c r="AO277" s="3344"/>
      <c r="AP277" s="3325"/>
      <c r="AQ277" s="3303"/>
      <c r="AR277" s="3303"/>
    </row>
    <row r="278" spans="1:44" ht="12.75" customHeight="1">
      <c r="A278" s="3325"/>
      <c r="B278" s="3340"/>
      <c r="C278" s="3249"/>
      <c r="D278" s="3325"/>
      <c r="E278" s="3247"/>
      <c r="F278" s="3340"/>
      <c r="G278" s="3244"/>
      <c r="H278" s="3304"/>
      <c r="I278" s="3564"/>
      <c r="J278" s="3565"/>
      <c r="K278" s="3566"/>
      <c r="L278" s="3251"/>
      <c r="M278" s="3325"/>
      <c r="N278" s="3342"/>
      <c r="O278" s="3564"/>
      <c r="P278" s="3574"/>
      <c r="Q278" s="3566"/>
      <c r="R278" s="3251"/>
      <c r="S278" s="3566"/>
      <c r="T278" s="3557"/>
      <c r="U278" s="3566"/>
      <c r="V278" s="3567"/>
      <c r="W278" s="2597"/>
      <c r="X278" s="3251"/>
      <c r="Y278" s="2597"/>
      <c r="Z278" s="3251"/>
      <c r="AA278" s="2597"/>
      <c r="AB278" s="3251"/>
      <c r="AC278" s="2597"/>
      <c r="AD278" s="3251"/>
      <c r="AE278" s="3325"/>
      <c r="AF278" s="3342"/>
      <c r="AG278" s="3343"/>
      <c r="AH278" s="3303"/>
      <c r="AI278" s="3244"/>
      <c r="AJ278" s="3302"/>
      <c r="AK278" s="3244"/>
      <c r="AL278" s="3303"/>
      <c r="AM278" s="3325"/>
      <c r="AN278" s="3015"/>
      <c r="AO278" s="3344"/>
      <c r="AP278" s="3325"/>
      <c r="AQ278" s="3303"/>
      <c r="AR278" s="3303"/>
    </row>
    <row r="279" spans="1:44" ht="12.75" customHeight="1">
      <c r="A279" s="3325"/>
      <c r="B279" s="3340"/>
      <c r="C279" s="3249"/>
      <c r="D279" s="3325"/>
      <c r="E279" s="3247"/>
      <c r="F279" s="3340"/>
      <c r="G279" s="3244"/>
      <c r="H279" s="3304"/>
      <c r="I279" s="3564"/>
      <c r="J279" s="3565"/>
      <c r="K279" s="3566"/>
      <c r="L279" s="3251"/>
      <c r="M279" s="3325"/>
      <c r="N279" s="3342"/>
      <c r="O279" s="3564"/>
      <c r="P279" s="3574"/>
      <c r="Q279" s="3566"/>
      <c r="R279" s="3251"/>
      <c r="S279" s="3566"/>
      <c r="T279" s="3557"/>
      <c r="U279" s="3566"/>
      <c r="V279" s="3567"/>
      <c r="W279" s="2597"/>
      <c r="X279" s="3251"/>
      <c r="Y279" s="2597"/>
      <c r="Z279" s="3251"/>
      <c r="AA279" s="2597"/>
      <c r="AB279" s="3251"/>
      <c r="AC279" s="2597"/>
      <c r="AD279" s="3251"/>
      <c r="AE279" s="3325"/>
      <c r="AF279" s="3342"/>
      <c r="AG279" s="3343"/>
      <c r="AH279" s="3303"/>
      <c r="AI279" s="3244"/>
      <c r="AJ279" s="3302"/>
      <c r="AK279" s="3244"/>
      <c r="AL279" s="3303"/>
      <c r="AM279" s="3325"/>
      <c r="AN279" s="3015"/>
      <c r="AO279" s="3344"/>
      <c r="AP279" s="3325"/>
      <c r="AQ279" s="3303"/>
      <c r="AR279" s="3303"/>
    </row>
    <row r="280" spans="1:44" ht="12.75" customHeight="1">
      <c r="A280" s="3325"/>
      <c r="B280" s="3340"/>
      <c r="C280" s="3249"/>
      <c r="D280" s="3325"/>
      <c r="E280" s="3247"/>
      <c r="F280" s="3340"/>
      <c r="G280" s="3244"/>
      <c r="H280" s="3304"/>
      <c r="I280" s="3564"/>
      <c r="J280" s="3565"/>
      <c r="K280" s="3566"/>
      <c r="L280" s="3251"/>
      <c r="M280" s="3325"/>
      <c r="N280" s="3342"/>
      <c r="O280" s="3564"/>
      <c r="P280" s="3574"/>
      <c r="Q280" s="3566"/>
      <c r="R280" s="3251"/>
      <c r="S280" s="3566"/>
      <c r="T280" s="3557"/>
      <c r="U280" s="3566"/>
      <c r="V280" s="3567"/>
      <c r="W280" s="2597"/>
      <c r="X280" s="3251"/>
      <c r="Y280" s="2597"/>
      <c r="Z280" s="3251"/>
      <c r="AA280" s="2597"/>
      <c r="AB280" s="3251"/>
      <c r="AC280" s="2597"/>
      <c r="AD280" s="3251"/>
      <c r="AE280" s="3325"/>
      <c r="AF280" s="3342"/>
      <c r="AG280" s="3343"/>
      <c r="AH280" s="3303"/>
      <c r="AI280" s="3244"/>
      <c r="AJ280" s="3302"/>
      <c r="AK280" s="3244"/>
      <c r="AL280" s="3303"/>
      <c r="AM280" s="3325"/>
      <c r="AN280" s="3015"/>
      <c r="AO280" s="3344"/>
      <c r="AP280" s="3325"/>
      <c r="AQ280" s="3303"/>
      <c r="AR280" s="3303"/>
    </row>
    <row r="281" spans="1:44" ht="12.75" customHeight="1">
      <c r="A281" s="3325"/>
      <c r="B281" s="3340"/>
      <c r="C281" s="3249"/>
      <c r="D281" s="3325"/>
      <c r="E281" s="3247"/>
      <c r="F281" s="3340"/>
      <c r="G281" s="3244"/>
      <c r="H281" s="3304"/>
      <c r="I281" s="3564"/>
      <c r="J281" s="3565"/>
      <c r="K281" s="3566"/>
      <c r="L281" s="3251"/>
      <c r="M281" s="3325"/>
      <c r="N281" s="3342"/>
      <c r="O281" s="3564"/>
      <c r="P281" s="3574"/>
      <c r="Q281" s="3566"/>
      <c r="R281" s="3251"/>
      <c r="S281" s="3566"/>
      <c r="T281" s="3557"/>
      <c r="U281" s="3566"/>
      <c r="V281" s="3567"/>
      <c r="W281" s="2597"/>
      <c r="X281" s="3251"/>
      <c r="Y281" s="2597"/>
      <c r="Z281" s="3251"/>
      <c r="AA281" s="2597"/>
      <c r="AB281" s="3251"/>
      <c r="AC281" s="2597"/>
      <c r="AD281" s="3251"/>
      <c r="AE281" s="3325"/>
      <c r="AF281" s="3342"/>
      <c r="AG281" s="3343"/>
      <c r="AH281" s="3303"/>
      <c r="AI281" s="3244"/>
      <c r="AJ281" s="3302"/>
      <c r="AK281" s="3244"/>
      <c r="AL281" s="3303"/>
      <c r="AM281" s="3325"/>
      <c r="AN281" s="3015"/>
      <c r="AO281" s="3344"/>
      <c r="AP281" s="3325"/>
      <c r="AQ281" s="3303"/>
      <c r="AR281" s="3303"/>
    </row>
    <row r="282" spans="1:44" ht="12.75" customHeight="1">
      <c r="A282" s="3325"/>
      <c r="B282" s="3340"/>
      <c r="C282" s="3249"/>
      <c r="D282" s="3325"/>
      <c r="E282" s="3247"/>
      <c r="F282" s="3340"/>
      <c r="G282" s="3244"/>
      <c r="H282" s="3304"/>
      <c r="I282" s="3564"/>
      <c r="J282" s="3565"/>
      <c r="K282" s="3566"/>
      <c r="L282" s="3251"/>
      <c r="M282" s="3325"/>
      <c r="N282" s="3342"/>
      <c r="O282" s="3564"/>
      <c r="P282" s="3574"/>
      <c r="Q282" s="3566"/>
      <c r="R282" s="3251"/>
      <c r="S282" s="3566"/>
      <c r="T282" s="3557"/>
      <c r="U282" s="3566"/>
      <c r="V282" s="3567"/>
      <c r="W282" s="2597"/>
      <c r="X282" s="3251"/>
      <c r="Y282" s="2597"/>
      <c r="Z282" s="3251"/>
      <c r="AA282" s="2597"/>
      <c r="AB282" s="3251"/>
      <c r="AC282" s="2597"/>
      <c r="AD282" s="3251"/>
      <c r="AE282" s="3325"/>
      <c r="AF282" s="3342"/>
      <c r="AG282" s="3343"/>
      <c r="AH282" s="3303"/>
      <c r="AI282" s="3244"/>
      <c r="AJ282" s="3302"/>
      <c r="AK282" s="3244"/>
      <c r="AL282" s="3303"/>
      <c r="AM282" s="3325"/>
      <c r="AN282" s="3015"/>
      <c r="AO282" s="3344"/>
      <c r="AP282" s="3325"/>
      <c r="AQ282" s="3303"/>
      <c r="AR282" s="3303"/>
    </row>
    <row r="283" spans="1:44" ht="12.75" customHeight="1">
      <c r="A283" s="3325"/>
      <c r="B283" s="3340"/>
      <c r="C283" s="3249"/>
      <c r="D283" s="3325"/>
      <c r="E283" s="3247"/>
      <c r="F283" s="3340"/>
      <c r="G283" s="3244"/>
      <c r="H283" s="3304"/>
      <c r="I283" s="3564"/>
      <c r="J283" s="3565"/>
      <c r="K283" s="3566"/>
      <c r="L283" s="3251"/>
      <c r="M283" s="3325"/>
      <c r="N283" s="3342"/>
      <c r="O283" s="3564"/>
      <c r="P283" s="3574"/>
      <c r="Q283" s="3566"/>
      <c r="R283" s="3251"/>
      <c r="S283" s="3566"/>
      <c r="T283" s="3557"/>
      <c r="U283" s="3566"/>
      <c r="V283" s="3567"/>
      <c r="W283" s="2597"/>
      <c r="X283" s="3251"/>
      <c r="Y283" s="2597"/>
      <c r="Z283" s="3251"/>
      <c r="AA283" s="2597"/>
      <c r="AB283" s="3251"/>
      <c r="AC283" s="2597"/>
      <c r="AD283" s="3251"/>
      <c r="AE283" s="3325"/>
      <c r="AF283" s="3342"/>
      <c r="AG283" s="3343"/>
      <c r="AH283" s="3303"/>
      <c r="AI283" s="3244"/>
      <c r="AJ283" s="3302"/>
      <c r="AK283" s="3244"/>
      <c r="AL283" s="3303"/>
      <c r="AM283" s="3325"/>
      <c r="AN283" s="3015"/>
      <c r="AO283" s="3344"/>
      <c r="AP283" s="3325"/>
      <c r="AQ283" s="3303"/>
      <c r="AR283" s="3303"/>
    </row>
    <row r="284" spans="1:44" ht="12.75" customHeight="1">
      <c r="A284" s="3325"/>
      <c r="B284" s="3340"/>
      <c r="C284" s="3249"/>
      <c r="D284" s="3325"/>
      <c r="E284" s="3247"/>
      <c r="F284" s="3340"/>
      <c r="G284" s="3244"/>
      <c r="H284" s="3304"/>
      <c r="I284" s="3564"/>
      <c r="J284" s="3565"/>
      <c r="K284" s="3566"/>
      <c r="L284" s="3251"/>
      <c r="M284" s="3325"/>
      <c r="N284" s="3342"/>
      <c r="O284" s="3564"/>
      <c r="P284" s="3574"/>
      <c r="Q284" s="3566"/>
      <c r="R284" s="3251"/>
      <c r="S284" s="3566"/>
      <c r="T284" s="3557"/>
      <c r="U284" s="3566"/>
      <c r="V284" s="3567"/>
      <c r="W284" s="2597"/>
      <c r="X284" s="3251"/>
      <c r="Y284" s="2597"/>
      <c r="Z284" s="3251"/>
      <c r="AA284" s="2597"/>
      <c r="AB284" s="3251"/>
      <c r="AC284" s="2597"/>
      <c r="AD284" s="3251"/>
      <c r="AE284" s="3325"/>
      <c r="AF284" s="3342"/>
      <c r="AG284" s="3343"/>
      <c r="AH284" s="3303"/>
      <c r="AI284" s="3244"/>
      <c r="AJ284" s="3302"/>
      <c r="AK284" s="3244"/>
      <c r="AL284" s="3303"/>
      <c r="AM284" s="3325"/>
      <c r="AN284" s="3015"/>
      <c r="AO284" s="3344"/>
      <c r="AP284" s="3325"/>
      <c r="AQ284" s="3303"/>
      <c r="AR284" s="3303"/>
    </row>
    <row r="285" spans="1:44" ht="12.75" customHeight="1">
      <c r="A285" s="3325"/>
      <c r="B285" s="3340"/>
      <c r="C285" s="3249"/>
      <c r="D285" s="3325"/>
      <c r="E285" s="3247"/>
      <c r="F285" s="3340"/>
      <c r="G285" s="3244"/>
      <c r="H285" s="3304"/>
      <c r="I285" s="3564"/>
      <c r="J285" s="3565"/>
      <c r="K285" s="3566"/>
      <c r="L285" s="3251"/>
      <c r="M285" s="3325"/>
      <c r="N285" s="3342"/>
      <c r="O285" s="3564"/>
      <c r="P285" s="3574"/>
      <c r="Q285" s="3566"/>
      <c r="R285" s="3251"/>
      <c r="S285" s="3566"/>
      <c r="T285" s="3557"/>
      <c r="U285" s="3566"/>
      <c r="V285" s="3567"/>
      <c r="W285" s="2597"/>
      <c r="X285" s="3251"/>
      <c r="Y285" s="2597"/>
      <c r="Z285" s="3251"/>
      <c r="AA285" s="2597"/>
      <c r="AB285" s="3251"/>
      <c r="AC285" s="2597"/>
      <c r="AD285" s="3251"/>
      <c r="AE285" s="3325"/>
      <c r="AF285" s="3342"/>
      <c r="AG285" s="3343"/>
      <c r="AH285" s="3303"/>
      <c r="AI285" s="3244"/>
      <c r="AJ285" s="3302"/>
      <c r="AK285" s="3244"/>
      <c r="AL285" s="3303"/>
      <c r="AM285" s="3325"/>
      <c r="AN285" s="3015"/>
      <c r="AO285" s="3344"/>
      <c r="AP285" s="3325"/>
      <c r="AQ285" s="3303"/>
      <c r="AR285" s="3303"/>
    </row>
    <row r="286" spans="1:44" ht="12.75" customHeight="1">
      <c r="A286" s="3325"/>
      <c r="B286" s="3340"/>
      <c r="C286" s="3249"/>
      <c r="D286" s="3325"/>
      <c r="E286" s="3247"/>
      <c r="F286" s="3340"/>
      <c r="G286" s="3244"/>
      <c r="H286" s="3304"/>
      <c r="I286" s="3564"/>
      <c r="J286" s="3565"/>
      <c r="K286" s="3566"/>
      <c r="L286" s="3251"/>
      <c r="M286" s="3325"/>
      <c r="N286" s="3342"/>
      <c r="O286" s="3564"/>
      <c r="P286" s="3574"/>
      <c r="Q286" s="3566"/>
      <c r="R286" s="3251"/>
      <c r="S286" s="3566"/>
      <c r="T286" s="3557"/>
      <c r="U286" s="3566"/>
      <c r="V286" s="3567"/>
      <c r="W286" s="2597"/>
      <c r="X286" s="3251"/>
      <c r="Y286" s="2597"/>
      <c r="Z286" s="3251"/>
      <c r="AA286" s="2597"/>
      <c r="AB286" s="3251"/>
      <c r="AC286" s="2597"/>
      <c r="AD286" s="3251"/>
      <c r="AE286" s="3325"/>
      <c r="AF286" s="3342"/>
      <c r="AG286" s="3343"/>
      <c r="AH286" s="3303"/>
      <c r="AI286" s="3244"/>
      <c r="AJ286" s="3302"/>
      <c r="AK286" s="3244"/>
      <c r="AL286" s="3303"/>
      <c r="AM286" s="3325"/>
      <c r="AN286" s="3015"/>
      <c r="AO286" s="3344"/>
      <c r="AP286" s="3325"/>
      <c r="AQ286" s="3303"/>
      <c r="AR286" s="3303"/>
    </row>
    <row r="287" spans="1:44" ht="12.75" customHeight="1">
      <c r="A287" s="3325"/>
      <c r="B287" s="3340"/>
      <c r="C287" s="3249"/>
      <c r="D287" s="3325"/>
      <c r="E287" s="3247"/>
      <c r="F287" s="3340"/>
      <c r="G287" s="3244"/>
      <c r="H287" s="3304"/>
      <c r="I287" s="3564"/>
      <c r="J287" s="3565"/>
      <c r="K287" s="3566"/>
      <c r="L287" s="3251"/>
      <c r="M287" s="3325"/>
      <c r="N287" s="3342"/>
      <c r="O287" s="3564"/>
      <c r="P287" s="3574"/>
      <c r="Q287" s="3566"/>
      <c r="R287" s="3251"/>
      <c r="S287" s="3566"/>
      <c r="T287" s="3557"/>
      <c r="U287" s="3566"/>
      <c r="V287" s="3567"/>
      <c r="W287" s="2597"/>
      <c r="X287" s="3251"/>
      <c r="Y287" s="2597"/>
      <c r="Z287" s="3251"/>
      <c r="AA287" s="2597"/>
      <c r="AB287" s="3251"/>
      <c r="AC287" s="2597"/>
      <c r="AD287" s="3251"/>
      <c r="AE287" s="3325"/>
      <c r="AF287" s="3342"/>
      <c r="AG287" s="3343"/>
      <c r="AH287" s="3303"/>
      <c r="AI287" s="3244"/>
      <c r="AJ287" s="3302"/>
      <c r="AK287" s="3244"/>
      <c r="AL287" s="3303"/>
      <c r="AM287" s="3325"/>
      <c r="AN287" s="3015"/>
      <c r="AO287" s="3344"/>
      <c r="AP287" s="3325"/>
      <c r="AQ287" s="3303"/>
      <c r="AR287" s="3303"/>
    </row>
    <row r="288" spans="1:44" ht="12.75" customHeight="1">
      <c r="A288" s="3325"/>
      <c r="B288" s="3340"/>
      <c r="C288" s="3249"/>
      <c r="D288" s="3325"/>
      <c r="E288" s="3247"/>
      <c r="F288" s="3340"/>
      <c r="G288" s="3244"/>
      <c r="H288" s="3304"/>
      <c r="I288" s="3564"/>
      <c r="J288" s="3565"/>
      <c r="K288" s="3566"/>
      <c r="L288" s="3251"/>
      <c r="M288" s="3325"/>
      <c r="N288" s="3342"/>
      <c r="O288" s="3564"/>
      <c r="P288" s="3574"/>
      <c r="Q288" s="3566"/>
      <c r="R288" s="3251"/>
      <c r="S288" s="3566"/>
      <c r="T288" s="3557"/>
      <c r="U288" s="3566"/>
      <c r="V288" s="3567"/>
      <c r="W288" s="2597"/>
      <c r="X288" s="3251"/>
      <c r="Y288" s="2597"/>
      <c r="Z288" s="3251"/>
      <c r="AA288" s="2597"/>
      <c r="AB288" s="3251"/>
      <c r="AC288" s="2597"/>
      <c r="AD288" s="3251"/>
      <c r="AE288" s="3325"/>
      <c r="AF288" s="3342"/>
      <c r="AG288" s="3343"/>
      <c r="AH288" s="3303"/>
      <c r="AI288" s="3244"/>
      <c r="AJ288" s="3302"/>
      <c r="AK288" s="3244"/>
      <c r="AL288" s="3303"/>
      <c r="AM288" s="3325"/>
      <c r="AN288" s="3015"/>
      <c r="AO288" s="3344"/>
      <c r="AP288" s="3325"/>
      <c r="AQ288" s="3303"/>
      <c r="AR288" s="3303"/>
    </row>
    <row r="289" spans="1:44" ht="12.75" customHeight="1">
      <c r="A289" s="3325"/>
      <c r="B289" s="3340"/>
      <c r="C289" s="3249"/>
      <c r="D289" s="3325"/>
      <c r="E289" s="3247"/>
      <c r="F289" s="3340"/>
      <c r="G289" s="3244"/>
      <c r="H289" s="3304"/>
      <c r="I289" s="3564"/>
      <c r="J289" s="3565"/>
      <c r="K289" s="3566"/>
      <c r="L289" s="3251"/>
      <c r="M289" s="3325"/>
      <c r="N289" s="3342"/>
      <c r="O289" s="3564"/>
      <c r="P289" s="3574"/>
      <c r="Q289" s="3566"/>
      <c r="R289" s="3251"/>
      <c r="S289" s="3566"/>
      <c r="T289" s="3557"/>
      <c r="U289" s="3566"/>
      <c r="V289" s="3567"/>
      <c r="W289" s="2597"/>
      <c r="X289" s="3251"/>
      <c r="Y289" s="2597"/>
      <c r="Z289" s="3251"/>
      <c r="AA289" s="2597"/>
      <c r="AB289" s="3251"/>
      <c r="AC289" s="2597"/>
      <c r="AD289" s="3251"/>
      <c r="AE289" s="3325"/>
      <c r="AF289" s="3342"/>
      <c r="AG289" s="3343"/>
      <c r="AH289" s="3305"/>
      <c r="AI289" s="3244"/>
      <c r="AJ289" s="3302"/>
      <c r="AK289" s="3244"/>
      <c r="AL289" s="3305"/>
      <c r="AM289" s="3325"/>
      <c r="AN289" s="3015"/>
      <c r="AO289" s="3344"/>
      <c r="AP289" s="3325"/>
      <c r="AQ289" s="3303"/>
      <c r="AR289" s="3303"/>
    </row>
    <row r="290" spans="1:44" ht="12.75" customHeight="1">
      <c r="A290" s="3325"/>
      <c r="B290" s="3340"/>
      <c r="C290" s="3249"/>
      <c r="D290" s="3325"/>
      <c r="E290" s="3247"/>
      <c r="F290" s="3340"/>
      <c r="G290" s="3244"/>
      <c r="H290" s="3304"/>
      <c r="I290" s="3564"/>
      <c r="J290" s="3565"/>
      <c r="K290" s="3566"/>
      <c r="L290" s="3251"/>
      <c r="M290" s="3325"/>
      <c r="N290" s="3342"/>
      <c r="O290" s="3564"/>
      <c r="P290" s="3574"/>
      <c r="Q290" s="3566"/>
      <c r="R290" s="3251"/>
      <c r="S290" s="3566"/>
      <c r="T290" s="3557"/>
      <c r="U290" s="3566"/>
      <c r="V290" s="3567"/>
      <c r="W290" s="2597"/>
      <c r="X290" s="3251"/>
      <c r="Y290" s="2597"/>
      <c r="Z290" s="3251"/>
      <c r="AA290" s="2597"/>
      <c r="AB290" s="3251"/>
      <c r="AC290" s="2597"/>
      <c r="AD290" s="3251"/>
      <c r="AE290" s="3325"/>
      <c r="AF290" s="3342"/>
      <c r="AG290" s="3343"/>
      <c r="AH290" s="3303"/>
      <c r="AI290" s="3244"/>
      <c r="AJ290" s="3302"/>
      <c r="AK290" s="3244"/>
      <c r="AL290" s="3303"/>
      <c r="AM290" s="3325"/>
      <c r="AN290" s="3015"/>
      <c r="AO290" s="3344"/>
      <c r="AP290" s="3325"/>
      <c r="AQ290" s="3303"/>
      <c r="AR290" s="3303"/>
    </row>
    <row r="291" spans="1:44" ht="12.75" customHeight="1">
      <c r="A291" s="3325"/>
      <c r="B291" s="3340"/>
      <c r="C291" s="3249"/>
      <c r="D291" s="3325"/>
      <c r="E291" s="3247"/>
      <c r="F291" s="3340"/>
      <c r="G291" s="3244"/>
      <c r="H291" s="3304"/>
      <c r="I291" s="3564"/>
      <c r="J291" s="3565"/>
      <c r="K291" s="3566"/>
      <c r="L291" s="3251"/>
      <c r="M291" s="3325"/>
      <c r="N291" s="3342"/>
      <c r="O291" s="3564"/>
      <c r="P291" s="3574"/>
      <c r="Q291" s="3566"/>
      <c r="R291" s="3251"/>
      <c r="S291" s="3566"/>
      <c r="T291" s="3557"/>
      <c r="U291" s="3566"/>
      <c r="V291" s="3567"/>
      <c r="W291" s="2597"/>
      <c r="X291" s="3251"/>
      <c r="Y291" s="2597"/>
      <c r="Z291" s="3251"/>
      <c r="AA291" s="2597"/>
      <c r="AB291" s="3251"/>
      <c r="AC291" s="2597"/>
      <c r="AD291" s="3251"/>
      <c r="AE291" s="3325"/>
      <c r="AF291" s="3342"/>
      <c r="AG291" s="3343"/>
      <c r="AH291" s="3303"/>
      <c r="AI291" s="3244"/>
      <c r="AJ291" s="3302"/>
      <c r="AK291" s="3244"/>
      <c r="AL291" s="3303"/>
      <c r="AM291" s="3325"/>
      <c r="AN291" s="3015"/>
      <c r="AO291" s="3344"/>
      <c r="AP291" s="3325"/>
      <c r="AQ291" s="3303"/>
      <c r="AR291" s="3303"/>
    </row>
    <row r="292" spans="1:44" ht="12.75" customHeight="1">
      <c r="A292" s="3325"/>
      <c r="B292" s="3340"/>
      <c r="C292" s="3249"/>
      <c r="D292" s="3325"/>
      <c r="E292" s="3247"/>
      <c r="F292" s="3340"/>
      <c r="G292" s="3244"/>
      <c r="H292" s="3304"/>
      <c r="I292" s="3564"/>
      <c r="J292" s="3565"/>
      <c r="K292" s="3566"/>
      <c r="L292" s="3251"/>
      <c r="M292" s="3325"/>
      <c r="N292" s="3342"/>
      <c r="O292" s="3564"/>
      <c r="P292" s="3574"/>
      <c r="Q292" s="3566"/>
      <c r="R292" s="3251"/>
      <c r="S292" s="3566"/>
      <c r="T292" s="3557"/>
      <c r="U292" s="3566"/>
      <c r="V292" s="3567"/>
      <c r="W292" s="2597"/>
      <c r="X292" s="3251"/>
      <c r="Y292" s="2597"/>
      <c r="Z292" s="3251"/>
      <c r="AA292" s="2597"/>
      <c r="AB292" s="3251"/>
      <c r="AC292" s="2597"/>
      <c r="AD292" s="3251"/>
      <c r="AE292" s="3325"/>
      <c r="AF292" s="3342"/>
      <c r="AG292" s="3343"/>
      <c r="AH292" s="3303"/>
      <c r="AI292" s="3244"/>
      <c r="AJ292" s="3302"/>
      <c r="AK292" s="3244"/>
      <c r="AL292" s="3303"/>
      <c r="AM292" s="3325"/>
      <c r="AN292" s="3015"/>
      <c r="AO292" s="3344"/>
      <c r="AP292" s="3325"/>
      <c r="AQ292" s="3303"/>
      <c r="AR292" s="3303"/>
    </row>
    <row r="293" spans="1:44" ht="12.75" customHeight="1">
      <c r="A293" s="3325"/>
      <c r="B293" s="3340"/>
      <c r="C293" s="3249"/>
      <c r="D293" s="3325"/>
      <c r="E293" s="3247"/>
      <c r="F293" s="3340"/>
      <c r="G293" s="3244"/>
      <c r="H293" s="3304"/>
      <c r="I293" s="3564"/>
      <c r="J293" s="3565"/>
      <c r="K293" s="3566"/>
      <c r="L293" s="3251"/>
      <c r="M293" s="3325"/>
      <c r="N293" s="3342"/>
      <c r="O293" s="3564"/>
      <c r="P293" s="3574"/>
      <c r="Q293" s="3566"/>
      <c r="R293" s="3251"/>
      <c r="S293" s="3566"/>
      <c r="T293" s="3557"/>
      <c r="U293" s="3566"/>
      <c r="V293" s="3567"/>
      <c r="W293" s="2597"/>
      <c r="X293" s="3251"/>
      <c r="Y293" s="2597"/>
      <c r="Z293" s="3251"/>
      <c r="AA293" s="2597"/>
      <c r="AB293" s="3251"/>
      <c r="AC293" s="2597"/>
      <c r="AD293" s="3251"/>
      <c r="AE293" s="3325"/>
      <c r="AF293" s="3342"/>
      <c r="AG293" s="3343"/>
      <c r="AH293" s="3303"/>
      <c r="AI293" s="3244"/>
      <c r="AJ293" s="3302"/>
      <c r="AK293" s="3244"/>
      <c r="AL293" s="3303"/>
      <c r="AM293" s="3325"/>
      <c r="AN293" s="3015"/>
      <c r="AO293" s="3344"/>
      <c r="AP293" s="3325"/>
      <c r="AQ293" s="3303"/>
      <c r="AR293" s="3303"/>
    </row>
    <row r="294" spans="1:44" ht="12.75" customHeight="1">
      <c r="A294" s="3325"/>
      <c r="B294" s="3340"/>
      <c r="C294" s="3249"/>
      <c r="D294" s="3325"/>
      <c r="E294" s="3247"/>
      <c r="F294" s="3340"/>
      <c r="G294" s="3244"/>
      <c r="H294" s="3304"/>
      <c r="I294" s="3564"/>
      <c r="J294" s="3565"/>
      <c r="K294" s="3566"/>
      <c r="L294" s="3251"/>
      <c r="M294" s="3325"/>
      <c r="N294" s="3342"/>
      <c r="O294" s="3564"/>
      <c r="P294" s="3574"/>
      <c r="Q294" s="3566"/>
      <c r="R294" s="3251"/>
      <c r="S294" s="3566"/>
      <c r="T294" s="3557"/>
      <c r="U294" s="3566"/>
      <c r="V294" s="3567"/>
      <c r="W294" s="2597"/>
      <c r="X294" s="3251"/>
      <c r="Y294" s="2597"/>
      <c r="Z294" s="3251"/>
      <c r="AA294" s="2597"/>
      <c r="AB294" s="3251"/>
      <c r="AC294" s="2597"/>
      <c r="AD294" s="3251"/>
      <c r="AE294" s="3325"/>
      <c r="AF294" s="3342"/>
      <c r="AG294" s="3343"/>
      <c r="AH294" s="3303"/>
      <c r="AI294" s="3244"/>
      <c r="AJ294" s="3302"/>
      <c r="AK294" s="3244"/>
      <c r="AL294" s="3303"/>
      <c r="AM294" s="3325"/>
      <c r="AN294" s="3015"/>
      <c r="AO294" s="3344"/>
      <c r="AP294" s="3325"/>
      <c r="AQ294" s="3303"/>
      <c r="AR294" s="3303"/>
    </row>
    <row r="295" spans="1:44" ht="12.75" customHeight="1">
      <c r="A295" s="3325"/>
      <c r="B295" s="3340"/>
      <c r="C295" s="3249"/>
      <c r="D295" s="3325"/>
      <c r="E295" s="3247"/>
      <c r="F295" s="3340"/>
      <c r="G295" s="3244"/>
      <c r="H295" s="3304"/>
      <c r="I295" s="3564"/>
      <c r="J295" s="3565"/>
      <c r="K295" s="3566"/>
      <c r="L295" s="3251"/>
      <c r="M295" s="3325"/>
      <c r="N295" s="3342"/>
      <c r="O295" s="3564"/>
      <c r="P295" s="3574"/>
      <c r="Q295" s="3566"/>
      <c r="R295" s="3251"/>
      <c r="S295" s="3566"/>
      <c r="T295" s="3557"/>
      <c r="U295" s="3566"/>
      <c r="V295" s="3567"/>
      <c r="W295" s="2597"/>
      <c r="X295" s="3251"/>
      <c r="Y295" s="2597"/>
      <c r="Z295" s="3251"/>
      <c r="AA295" s="2597"/>
      <c r="AB295" s="3251"/>
      <c r="AC295" s="2597"/>
      <c r="AD295" s="3251"/>
      <c r="AE295" s="3325"/>
      <c r="AF295" s="3342"/>
      <c r="AG295" s="3343"/>
      <c r="AH295" s="3303"/>
      <c r="AI295" s="3244"/>
      <c r="AJ295" s="3302"/>
      <c r="AK295" s="3244"/>
      <c r="AL295" s="3303"/>
      <c r="AM295" s="3325"/>
      <c r="AN295" s="3015"/>
      <c r="AO295" s="3344"/>
      <c r="AP295" s="3325"/>
      <c r="AQ295" s="3303"/>
      <c r="AR295" s="3303"/>
    </row>
    <row r="296" spans="1:44" ht="12.75" customHeight="1">
      <c r="A296" s="3325"/>
      <c r="B296" s="3340"/>
      <c r="C296" s="3249"/>
      <c r="D296" s="3325"/>
      <c r="E296" s="3247"/>
      <c r="F296" s="3340"/>
      <c r="G296" s="3244"/>
      <c r="H296" s="3304"/>
      <c r="I296" s="3564"/>
      <c r="J296" s="3565"/>
      <c r="K296" s="3566"/>
      <c r="L296" s="3251"/>
      <c r="M296" s="3325"/>
      <c r="N296" s="3342"/>
      <c r="O296" s="3564"/>
      <c r="P296" s="3574"/>
      <c r="Q296" s="3566"/>
      <c r="R296" s="3251"/>
      <c r="S296" s="3566"/>
      <c r="T296" s="3557"/>
      <c r="U296" s="3566"/>
      <c r="V296" s="3567"/>
      <c r="W296" s="2597"/>
      <c r="X296" s="3251"/>
      <c r="Y296" s="2597"/>
      <c r="Z296" s="3251"/>
      <c r="AA296" s="2597"/>
      <c r="AB296" s="3251"/>
      <c r="AC296" s="2597"/>
      <c r="AD296" s="3251"/>
      <c r="AE296" s="3325"/>
      <c r="AF296" s="3342"/>
      <c r="AG296" s="3343"/>
      <c r="AH296" s="3303"/>
      <c r="AI296" s="3244"/>
      <c r="AJ296" s="3302"/>
      <c r="AK296" s="3244"/>
      <c r="AL296" s="3303"/>
      <c r="AM296" s="3325"/>
      <c r="AN296" s="3015"/>
      <c r="AO296" s="3344"/>
      <c r="AP296" s="3325"/>
      <c r="AQ296" s="3303"/>
      <c r="AR296" s="3303"/>
    </row>
    <row r="297" spans="1:44" ht="12.75" customHeight="1">
      <c r="A297" s="3325"/>
      <c r="B297" s="3340"/>
      <c r="C297" s="3249"/>
      <c r="D297" s="3325"/>
      <c r="E297" s="3247"/>
      <c r="F297" s="3340"/>
      <c r="G297" s="3244"/>
      <c r="H297" s="3304"/>
      <c r="I297" s="3564"/>
      <c r="J297" s="3565"/>
      <c r="K297" s="3566"/>
      <c r="L297" s="3251"/>
      <c r="M297" s="3325"/>
      <c r="N297" s="3342"/>
      <c r="O297" s="3564"/>
      <c r="P297" s="3574"/>
      <c r="Q297" s="3566"/>
      <c r="R297" s="3251"/>
      <c r="S297" s="3566"/>
      <c r="T297" s="3557"/>
      <c r="U297" s="3566"/>
      <c r="V297" s="3567"/>
      <c r="W297" s="2597"/>
      <c r="X297" s="3251"/>
      <c r="Y297" s="2597"/>
      <c r="Z297" s="3251"/>
      <c r="AA297" s="2597"/>
      <c r="AB297" s="3251"/>
      <c r="AC297" s="2597"/>
      <c r="AD297" s="3251"/>
      <c r="AE297" s="3325"/>
      <c r="AF297" s="3342"/>
      <c r="AG297" s="3343"/>
      <c r="AH297" s="3303"/>
      <c r="AI297" s="3244"/>
      <c r="AJ297" s="3302"/>
      <c r="AK297" s="3244"/>
      <c r="AL297" s="3303"/>
      <c r="AM297" s="3325"/>
      <c r="AN297" s="3015"/>
      <c r="AO297" s="3344"/>
      <c r="AP297" s="3325"/>
      <c r="AQ297" s="3303"/>
      <c r="AR297" s="3303"/>
    </row>
    <row r="298" spans="1:44" ht="12.75" customHeight="1">
      <c r="A298" s="3325"/>
      <c r="B298" s="3340"/>
      <c r="C298" s="3249"/>
      <c r="D298" s="3325"/>
      <c r="E298" s="3247"/>
      <c r="F298" s="3340"/>
      <c r="G298" s="3244"/>
      <c r="H298" s="3304"/>
      <c r="I298" s="3564"/>
      <c r="J298" s="3565"/>
      <c r="K298" s="3566"/>
      <c r="L298" s="3251"/>
      <c r="M298" s="3325"/>
      <c r="N298" s="3342"/>
      <c r="O298" s="3564"/>
      <c r="P298" s="3574"/>
      <c r="Q298" s="3566"/>
      <c r="R298" s="3251"/>
      <c r="S298" s="3566"/>
      <c r="T298" s="3557"/>
      <c r="U298" s="3566"/>
      <c r="V298" s="3567"/>
      <c r="W298" s="2597"/>
      <c r="X298" s="3251"/>
      <c r="Y298" s="2597"/>
      <c r="Z298" s="3251"/>
      <c r="AA298" s="2597"/>
      <c r="AB298" s="3251"/>
      <c r="AC298" s="2597"/>
      <c r="AD298" s="3251"/>
      <c r="AE298" s="3325"/>
      <c r="AF298" s="3342"/>
      <c r="AG298" s="3343"/>
      <c r="AH298" s="3303"/>
      <c r="AI298" s="3244"/>
      <c r="AJ298" s="3302"/>
      <c r="AK298" s="3244"/>
      <c r="AL298" s="3303"/>
      <c r="AM298" s="3325"/>
      <c r="AN298" s="3015"/>
      <c r="AO298" s="3344"/>
      <c r="AP298" s="3325"/>
      <c r="AQ298" s="3303"/>
      <c r="AR298" s="3303"/>
    </row>
    <row r="299" spans="1:44" ht="12.75" customHeight="1">
      <c r="A299" s="3325"/>
      <c r="B299" s="3340"/>
      <c r="C299" s="3249"/>
      <c r="D299" s="3325"/>
      <c r="E299" s="3247"/>
      <c r="F299" s="3340"/>
      <c r="G299" s="3244"/>
      <c r="H299" s="3304"/>
      <c r="I299" s="3564"/>
      <c r="J299" s="3565"/>
      <c r="K299" s="3566"/>
      <c r="L299" s="3251"/>
      <c r="M299" s="3325"/>
      <c r="N299" s="3342"/>
      <c r="O299" s="3564"/>
      <c r="P299" s="3574"/>
      <c r="Q299" s="3566"/>
      <c r="R299" s="3251"/>
      <c r="S299" s="3566"/>
      <c r="T299" s="3557"/>
      <c r="U299" s="3566"/>
      <c r="V299" s="3567"/>
      <c r="W299" s="2597"/>
      <c r="X299" s="3251"/>
      <c r="Y299" s="2597"/>
      <c r="Z299" s="3251"/>
      <c r="AA299" s="2597"/>
      <c r="AB299" s="3251"/>
      <c r="AC299" s="2597"/>
      <c r="AD299" s="3251"/>
      <c r="AE299" s="3325"/>
      <c r="AF299" s="3342"/>
      <c r="AG299" s="3343"/>
      <c r="AH299" s="3303"/>
      <c r="AI299" s="3244"/>
      <c r="AJ299" s="3302"/>
      <c r="AK299" s="3244"/>
      <c r="AL299" s="3303"/>
      <c r="AM299" s="3325"/>
      <c r="AN299" s="3015"/>
      <c r="AO299" s="3344"/>
      <c r="AP299" s="3325"/>
      <c r="AQ299" s="3303"/>
      <c r="AR299" s="3303"/>
    </row>
    <row r="300" spans="1:44" ht="12.75" customHeight="1">
      <c r="A300" s="3325"/>
      <c r="B300" s="3340"/>
      <c r="C300" s="3249"/>
      <c r="D300" s="3325"/>
      <c r="E300" s="3247"/>
      <c r="F300" s="3340"/>
      <c r="G300" s="3244"/>
      <c r="H300" s="3304"/>
      <c r="I300" s="3564"/>
      <c r="J300" s="3565"/>
      <c r="K300" s="3566"/>
      <c r="L300" s="3251"/>
      <c r="M300" s="3325"/>
      <c r="N300" s="3342"/>
      <c r="O300" s="3564"/>
      <c r="P300" s="3574"/>
      <c r="Q300" s="3566"/>
      <c r="R300" s="3251"/>
      <c r="S300" s="3566"/>
      <c r="T300" s="3557"/>
      <c r="U300" s="3566"/>
      <c r="V300" s="3567"/>
      <c r="W300" s="2597"/>
      <c r="X300" s="3251"/>
      <c r="Y300" s="2597"/>
      <c r="Z300" s="3251"/>
      <c r="AA300" s="2597"/>
      <c r="AB300" s="3251"/>
      <c r="AC300" s="2597"/>
      <c r="AD300" s="3251"/>
      <c r="AE300" s="3325"/>
      <c r="AF300" s="3342"/>
      <c r="AG300" s="3343"/>
      <c r="AH300" s="3303"/>
      <c r="AI300" s="3244"/>
      <c r="AJ300" s="3302"/>
      <c r="AK300" s="3244"/>
      <c r="AL300" s="3303"/>
      <c r="AM300" s="3325"/>
      <c r="AN300" s="3015"/>
      <c r="AO300" s="3344"/>
      <c r="AP300" s="3325"/>
      <c r="AQ300" s="3303"/>
      <c r="AR300" s="3303"/>
    </row>
    <row r="301" spans="1:44" ht="12.75" customHeight="1">
      <c r="A301" s="3325"/>
      <c r="B301" s="3340"/>
      <c r="C301" s="3249"/>
      <c r="D301" s="3325"/>
      <c r="E301" s="3247"/>
      <c r="F301" s="3340"/>
      <c r="G301" s="3244"/>
      <c r="H301" s="3304"/>
      <c r="I301" s="3564"/>
      <c r="J301" s="3565"/>
      <c r="K301" s="3566"/>
      <c r="L301" s="3251"/>
      <c r="M301" s="3325"/>
      <c r="N301" s="3342"/>
      <c r="O301" s="3564"/>
      <c r="P301" s="3574"/>
      <c r="Q301" s="3566"/>
      <c r="R301" s="3251"/>
      <c r="S301" s="3566"/>
      <c r="T301" s="3557"/>
      <c r="U301" s="3566"/>
      <c r="V301" s="3567"/>
      <c r="W301" s="2597"/>
      <c r="X301" s="3251"/>
      <c r="Y301" s="2597"/>
      <c r="Z301" s="3251"/>
      <c r="AA301" s="2597"/>
      <c r="AB301" s="3251"/>
      <c r="AC301" s="2597"/>
      <c r="AD301" s="3251"/>
      <c r="AE301" s="3325"/>
      <c r="AF301" s="3342"/>
      <c r="AG301" s="3343"/>
      <c r="AH301" s="3303"/>
      <c r="AI301" s="3244"/>
      <c r="AJ301" s="3302"/>
      <c r="AK301" s="3244"/>
      <c r="AL301" s="3303"/>
      <c r="AM301" s="3325"/>
      <c r="AN301" s="3015"/>
      <c r="AO301" s="3344"/>
      <c r="AP301" s="3325"/>
      <c r="AQ301" s="3303"/>
      <c r="AR301" s="3303"/>
    </row>
    <row r="302" spans="1:44" ht="12.75" customHeight="1">
      <c r="A302" s="3325"/>
      <c r="B302" s="3340"/>
      <c r="C302" s="3249"/>
      <c r="D302" s="3325"/>
      <c r="E302" s="3247"/>
      <c r="F302" s="3340"/>
      <c r="G302" s="3244"/>
      <c r="H302" s="3304"/>
      <c r="I302" s="3564"/>
      <c r="J302" s="3565"/>
      <c r="K302" s="3566"/>
      <c r="L302" s="3251"/>
      <c r="M302" s="3325"/>
      <c r="N302" s="3342"/>
      <c r="O302" s="3564"/>
      <c r="P302" s="3574"/>
      <c r="Q302" s="3566"/>
      <c r="R302" s="3251"/>
      <c r="S302" s="3566"/>
      <c r="T302" s="3557"/>
      <c r="U302" s="3566"/>
      <c r="V302" s="3567"/>
      <c r="W302" s="2597"/>
      <c r="X302" s="3251"/>
      <c r="Y302" s="2597"/>
      <c r="Z302" s="3251"/>
      <c r="AA302" s="2597"/>
      <c r="AB302" s="3251"/>
      <c r="AC302" s="2597"/>
      <c r="AD302" s="3251"/>
      <c r="AE302" s="3325"/>
      <c r="AF302" s="3342"/>
      <c r="AG302" s="3343"/>
      <c r="AH302" s="3303"/>
      <c r="AI302" s="3244"/>
      <c r="AJ302" s="3302"/>
      <c r="AK302" s="3244"/>
      <c r="AL302" s="3303"/>
      <c r="AM302" s="3325"/>
      <c r="AN302" s="3015"/>
      <c r="AO302" s="3344"/>
      <c r="AP302" s="3325"/>
      <c r="AQ302" s="3303"/>
      <c r="AR302" s="3303"/>
    </row>
    <row r="303" spans="1:44" ht="12.75" customHeight="1">
      <c r="A303" s="3325"/>
      <c r="B303" s="3340"/>
      <c r="C303" s="3249"/>
      <c r="D303" s="3325"/>
      <c r="E303" s="3247"/>
      <c r="F303" s="3340"/>
      <c r="G303" s="3244"/>
      <c r="H303" s="3304"/>
      <c r="I303" s="3564"/>
      <c r="J303" s="3565"/>
      <c r="K303" s="3566"/>
      <c r="L303" s="3251"/>
      <c r="M303" s="3325"/>
      <c r="N303" s="3342"/>
      <c r="O303" s="3564"/>
      <c r="P303" s="3574"/>
      <c r="Q303" s="3566"/>
      <c r="R303" s="3251"/>
      <c r="S303" s="3566"/>
      <c r="T303" s="3557"/>
      <c r="U303" s="3566"/>
      <c r="V303" s="3567"/>
      <c r="W303" s="2597"/>
      <c r="X303" s="3251"/>
      <c r="Y303" s="2597"/>
      <c r="Z303" s="3251"/>
      <c r="AA303" s="2597"/>
      <c r="AB303" s="3251"/>
      <c r="AC303" s="2597"/>
      <c r="AD303" s="3251"/>
      <c r="AE303" s="3325"/>
      <c r="AF303" s="3342"/>
      <c r="AG303" s="3343"/>
      <c r="AH303" s="3303"/>
      <c r="AI303" s="3244"/>
      <c r="AJ303" s="3302"/>
      <c r="AK303" s="3244"/>
      <c r="AL303" s="3303"/>
      <c r="AM303" s="3325"/>
      <c r="AN303" s="3015"/>
      <c r="AO303" s="3344"/>
      <c r="AP303" s="3325"/>
      <c r="AQ303" s="3303"/>
      <c r="AR303" s="3303"/>
    </row>
    <row r="304" spans="1:44" ht="12.75" customHeight="1">
      <c r="A304" s="3325"/>
      <c r="B304" s="3340"/>
      <c r="C304" s="3249"/>
      <c r="D304" s="3325"/>
      <c r="E304" s="3247"/>
      <c r="F304" s="3340"/>
      <c r="G304" s="3244"/>
      <c r="H304" s="3304"/>
      <c r="I304" s="3564"/>
      <c r="J304" s="3565"/>
      <c r="K304" s="3566"/>
      <c r="L304" s="3251"/>
      <c r="M304" s="3325"/>
      <c r="N304" s="3342"/>
      <c r="O304" s="3564"/>
      <c r="P304" s="3574"/>
      <c r="Q304" s="3566"/>
      <c r="R304" s="3251"/>
      <c r="S304" s="3566"/>
      <c r="T304" s="3557"/>
      <c r="U304" s="3566"/>
      <c r="V304" s="3567"/>
      <c r="W304" s="2597"/>
      <c r="X304" s="3251"/>
      <c r="Y304" s="2597"/>
      <c r="Z304" s="3251"/>
      <c r="AA304" s="2597"/>
      <c r="AB304" s="3251"/>
      <c r="AC304" s="2597"/>
      <c r="AD304" s="3251"/>
      <c r="AE304" s="3325"/>
      <c r="AF304" s="3342"/>
      <c r="AG304" s="3343"/>
      <c r="AH304" s="3303"/>
      <c r="AI304" s="3244"/>
      <c r="AJ304" s="3302"/>
      <c r="AK304" s="3244"/>
      <c r="AL304" s="3303"/>
      <c r="AM304" s="3325"/>
      <c r="AN304" s="3015"/>
      <c r="AO304" s="3344"/>
      <c r="AP304" s="3325"/>
      <c r="AQ304" s="3303"/>
      <c r="AR304" s="3303"/>
    </row>
    <row r="305" spans="1:44" ht="12.75" customHeight="1">
      <c r="A305" s="3325"/>
      <c r="B305" s="3340"/>
      <c r="C305" s="3249"/>
      <c r="D305" s="3325"/>
      <c r="E305" s="3247"/>
      <c r="F305" s="3340"/>
      <c r="G305" s="3244"/>
      <c r="H305" s="3304"/>
      <c r="I305" s="3564"/>
      <c r="J305" s="3565"/>
      <c r="K305" s="3566"/>
      <c r="L305" s="3251"/>
      <c r="M305" s="3325"/>
      <c r="N305" s="3342"/>
      <c r="O305" s="3564"/>
      <c r="P305" s="3574"/>
      <c r="Q305" s="3566"/>
      <c r="R305" s="3251"/>
      <c r="S305" s="3566"/>
      <c r="T305" s="3557"/>
      <c r="U305" s="3566"/>
      <c r="V305" s="3567"/>
      <c r="W305" s="2597"/>
      <c r="X305" s="3251"/>
      <c r="Y305" s="2597"/>
      <c r="Z305" s="3251"/>
      <c r="AA305" s="2597"/>
      <c r="AB305" s="3251"/>
      <c r="AC305" s="2597"/>
      <c r="AD305" s="3251"/>
      <c r="AE305" s="3325"/>
      <c r="AF305" s="3342"/>
      <c r="AG305" s="3343"/>
      <c r="AH305" s="3303"/>
      <c r="AI305" s="3244"/>
      <c r="AJ305" s="3302"/>
      <c r="AK305" s="3244"/>
      <c r="AL305" s="3303"/>
      <c r="AM305" s="3325"/>
      <c r="AN305" s="3015"/>
      <c r="AO305" s="3344"/>
      <c r="AP305" s="3325"/>
      <c r="AQ305" s="3303"/>
      <c r="AR305" s="3303"/>
    </row>
    <row r="306" spans="1:44" ht="12.75" customHeight="1">
      <c r="A306" s="3325"/>
      <c r="B306" s="3340"/>
      <c r="C306" s="3249"/>
      <c r="D306" s="3325"/>
      <c r="E306" s="3247"/>
      <c r="F306" s="3340"/>
      <c r="G306" s="3244"/>
      <c r="H306" s="3304"/>
      <c r="I306" s="3564"/>
      <c r="J306" s="3565"/>
      <c r="K306" s="3566"/>
      <c r="L306" s="3251"/>
      <c r="M306" s="3325"/>
      <c r="N306" s="3342"/>
      <c r="O306" s="3564"/>
      <c r="P306" s="3574"/>
      <c r="Q306" s="3566"/>
      <c r="R306" s="3251"/>
      <c r="S306" s="3566"/>
      <c r="T306" s="3557"/>
      <c r="U306" s="3566"/>
      <c r="V306" s="3567"/>
      <c r="W306" s="2597"/>
      <c r="X306" s="3251"/>
      <c r="Y306" s="2597"/>
      <c r="Z306" s="3251"/>
      <c r="AA306" s="2597"/>
      <c r="AB306" s="3251"/>
      <c r="AC306" s="2597"/>
      <c r="AD306" s="3251"/>
      <c r="AE306" s="3325"/>
      <c r="AF306" s="3342"/>
      <c r="AG306" s="3343"/>
      <c r="AH306" s="3303"/>
      <c r="AI306" s="3244"/>
      <c r="AJ306" s="3302"/>
      <c r="AK306" s="3244"/>
      <c r="AL306" s="3303"/>
      <c r="AM306" s="3325"/>
      <c r="AN306" s="3015"/>
      <c r="AO306" s="3344"/>
      <c r="AP306" s="3325"/>
      <c r="AQ306" s="3303"/>
      <c r="AR306" s="3303"/>
    </row>
    <row r="307" spans="1:44" ht="12.75" customHeight="1">
      <c r="A307" s="3325"/>
      <c r="B307" s="3340"/>
      <c r="C307" s="3249"/>
      <c r="D307" s="3325"/>
      <c r="E307" s="3247"/>
      <c r="F307" s="3340"/>
      <c r="G307" s="3244"/>
      <c r="H307" s="3304"/>
      <c r="I307" s="3564"/>
      <c r="J307" s="3565"/>
      <c r="K307" s="3566"/>
      <c r="L307" s="3251"/>
      <c r="M307" s="3325"/>
      <c r="N307" s="3342"/>
      <c r="O307" s="3564"/>
      <c r="P307" s="3574"/>
      <c r="Q307" s="3566"/>
      <c r="R307" s="3251"/>
      <c r="S307" s="3566"/>
      <c r="T307" s="3557"/>
      <c r="U307" s="3566"/>
      <c r="V307" s="3567"/>
      <c r="W307" s="2597"/>
      <c r="X307" s="3251"/>
      <c r="Y307" s="2597"/>
      <c r="Z307" s="3251"/>
      <c r="AA307" s="2597"/>
      <c r="AB307" s="3251"/>
      <c r="AC307" s="2597"/>
      <c r="AD307" s="3251"/>
      <c r="AE307" s="3325"/>
      <c r="AF307" s="3342"/>
      <c r="AG307" s="3343"/>
      <c r="AH307" s="3303"/>
      <c r="AI307" s="3244"/>
      <c r="AJ307" s="3302"/>
      <c r="AK307" s="3244"/>
      <c r="AL307" s="3303"/>
      <c r="AM307" s="3325"/>
      <c r="AN307" s="3015"/>
      <c r="AO307" s="3344"/>
      <c r="AP307" s="3325"/>
      <c r="AQ307" s="3303"/>
      <c r="AR307" s="3303"/>
    </row>
    <row r="308" spans="1:44" ht="12.75" customHeight="1">
      <c r="A308" s="3325"/>
      <c r="B308" s="3340"/>
      <c r="C308" s="3249"/>
      <c r="D308" s="3325"/>
      <c r="E308" s="3247"/>
      <c r="F308" s="3340"/>
      <c r="G308" s="3244"/>
      <c r="H308" s="3304"/>
      <c r="I308" s="3564"/>
      <c r="J308" s="3565"/>
      <c r="K308" s="3566"/>
      <c r="L308" s="3251"/>
      <c r="M308" s="3325"/>
      <c r="N308" s="3342"/>
      <c r="O308" s="3564"/>
      <c r="P308" s="3574"/>
      <c r="Q308" s="3566"/>
      <c r="R308" s="3251"/>
      <c r="S308" s="3566"/>
      <c r="T308" s="3557"/>
      <c r="U308" s="3566"/>
      <c r="V308" s="3567"/>
      <c r="W308" s="2597"/>
      <c r="X308" s="3251"/>
      <c r="Y308" s="2597"/>
      <c r="Z308" s="3251"/>
      <c r="AA308" s="2597"/>
      <c r="AB308" s="3251"/>
      <c r="AC308" s="2597"/>
      <c r="AD308" s="3251"/>
      <c r="AE308" s="3325"/>
      <c r="AF308" s="3342"/>
      <c r="AG308" s="3343"/>
      <c r="AH308" s="3303"/>
      <c r="AI308" s="3244"/>
      <c r="AJ308" s="3302"/>
      <c r="AK308" s="3244"/>
      <c r="AL308" s="3303"/>
      <c r="AM308" s="3325"/>
      <c r="AN308" s="3015"/>
      <c r="AO308" s="3344"/>
      <c r="AP308" s="3325"/>
      <c r="AQ308" s="3303"/>
      <c r="AR308" s="3303"/>
    </row>
    <row r="309" spans="1:44" ht="12.75" customHeight="1">
      <c r="A309" s="3325"/>
      <c r="B309" s="3340"/>
      <c r="C309" s="3249"/>
      <c r="D309" s="3325"/>
      <c r="E309" s="3247"/>
      <c r="F309" s="3340"/>
      <c r="G309" s="3244"/>
      <c r="H309" s="3304"/>
      <c r="I309" s="3564"/>
      <c r="J309" s="3565"/>
      <c r="K309" s="3566"/>
      <c r="L309" s="3251"/>
      <c r="M309" s="3325"/>
      <c r="N309" s="3342"/>
      <c r="O309" s="3564"/>
      <c r="P309" s="3574"/>
      <c r="Q309" s="3566"/>
      <c r="R309" s="3251"/>
      <c r="S309" s="3566"/>
      <c r="T309" s="3557"/>
      <c r="U309" s="3566"/>
      <c r="V309" s="3567"/>
      <c r="W309" s="2597"/>
      <c r="X309" s="3251"/>
      <c r="Y309" s="2597"/>
      <c r="Z309" s="3251"/>
      <c r="AA309" s="2597"/>
      <c r="AB309" s="3251"/>
      <c r="AC309" s="2597"/>
      <c r="AD309" s="3251"/>
      <c r="AE309" s="3325"/>
      <c r="AF309" s="3342"/>
      <c r="AG309" s="3343"/>
      <c r="AH309" s="3303"/>
      <c r="AI309" s="3244"/>
      <c r="AJ309" s="3302"/>
      <c r="AK309" s="3244"/>
      <c r="AL309" s="3303"/>
      <c r="AM309" s="3325"/>
      <c r="AN309" s="3015"/>
      <c r="AO309" s="3344"/>
      <c r="AP309" s="3325"/>
      <c r="AQ309" s="3303"/>
      <c r="AR309" s="3303"/>
    </row>
    <row r="310" spans="1:44" ht="12.75" customHeight="1">
      <c r="A310" s="3325"/>
      <c r="B310" s="3340"/>
      <c r="C310" s="3249"/>
      <c r="D310" s="3325"/>
      <c r="E310" s="3247"/>
      <c r="F310" s="3340"/>
      <c r="G310" s="3244"/>
      <c r="H310" s="3304"/>
      <c r="I310" s="3564"/>
      <c r="J310" s="3565"/>
      <c r="K310" s="3566"/>
      <c r="L310" s="3251"/>
      <c r="M310" s="3325"/>
      <c r="N310" s="3342"/>
      <c r="O310" s="3564"/>
      <c r="P310" s="3574"/>
      <c r="Q310" s="3566"/>
      <c r="R310" s="3251"/>
      <c r="S310" s="3566"/>
      <c r="T310" s="3557"/>
      <c r="U310" s="3566"/>
      <c r="V310" s="3567"/>
      <c r="W310" s="2597"/>
      <c r="X310" s="3251"/>
      <c r="Y310" s="2597"/>
      <c r="Z310" s="3251"/>
      <c r="AA310" s="2597"/>
      <c r="AB310" s="3251"/>
      <c r="AC310" s="2597"/>
      <c r="AD310" s="3251"/>
      <c r="AE310" s="3325"/>
      <c r="AF310" s="3342"/>
      <c r="AG310" s="3343"/>
      <c r="AH310" s="3303"/>
      <c r="AI310" s="3244"/>
      <c r="AJ310" s="3302"/>
      <c r="AK310" s="3244"/>
      <c r="AL310" s="3303"/>
      <c r="AM310" s="3325"/>
      <c r="AN310" s="3015"/>
      <c r="AO310" s="3344"/>
      <c r="AP310" s="3325"/>
      <c r="AQ310" s="3303"/>
      <c r="AR310" s="3303"/>
    </row>
    <row r="311" spans="1:44" ht="12.75" customHeight="1">
      <c r="A311" s="3325"/>
      <c r="B311" s="3340"/>
      <c r="C311" s="3249"/>
      <c r="D311" s="3325"/>
      <c r="E311" s="3247"/>
      <c r="F311" s="3340"/>
      <c r="G311" s="3244"/>
      <c r="H311" s="3304"/>
      <c r="I311" s="3564"/>
      <c r="J311" s="3565"/>
      <c r="K311" s="3566"/>
      <c r="L311" s="3251"/>
      <c r="M311" s="3325"/>
      <c r="N311" s="3342"/>
      <c r="O311" s="3564"/>
      <c r="P311" s="3574"/>
      <c r="Q311" s="3566"/>
      <c r="R311" s="3251"/>
      <c r="S311" s="3566"/>
      <c r="T311" s="3557"/>
      <c r="U311" s="3566"/>
      <c r="V311" s="3567"/>
      <c r="W311" s="2597"/>
      <c r="X311" s="3251"/>
      <c r="Y311" s="2597"/>
      <c r="Z311" s="3251"/>
      <c r="AA311" s="2597"/>
      <c r="AB311" s="3251"/>
      <c r="AC311" s="2597"/>
      <c r="AD311" s="3251"/>
      <c r="AE311" s="3325"/>
      <c r="AF311" s="3342"/>
      <c r="AG311" s="3343"/>
      <c r="AH311" s="3303"/>
      <c r="AI311" s="3244"/>
      <c r="AJ311" s="3302"/>
      <c r="AK311" s="3244"/>
      <c r="AL311" s="3303"/>
      <c r="AM311" s="3325"/>
      <c r="AN311" s="3015"/>
      <c r="AO311" s="3344"/>
      <c r="AP311" s="3325"/>
      <c r="AQ311" s="3303"/>
      <c r="AR311" s="3303"/>
    </row>
    <row r="312" spans="1:44" ht="12.75" customHeight="1">
      <c r="A312" s="3325"/>
      <c r="B312" s="3340"/>
      <c r="C312" s="3249"/>
      <c r="D312" s="3325"/>
      <c r="E312" s="3247"/>
      <c r="F312" s="3340"/>
      <c r="G312" s="3244"/>
      <c r="H312" s="3304"/>
      <c r="I312" s="3564"/>
      <c r="J312" s="3565"/>
      <c r="K312" s="3566"/>
      <c r="L312" s="3251"/>
      <c r="M312" s="3325"/>
      <c r="N312" s="3342"/>
      <c r="O312" s="3564"/>
      <c r="P312" s="3574"/>
      <c r="Q312" s="3566"/>
      <c r="R312" s="3251"/>
      <c r="S312" s="3566"/>
      <c r="T312" s="3557"/>
      <c r="U312" s="3566"/>
      <c r="V312" s="3567"/>
      <c r="W312" s="2597"/>
      <c r="X312" s="3251"/>
      <c r="Y312" s="2597"/>
      <c r="Z312" s="3251"/>
      <c r="AA312" s="2597"/>
      <c r="AB312" s="3251"/>
      <c r="AC312" s="2597"/>
      <c r="AD312" s="3251"/>
      <c r="AE312" s="3325"/>
      <c r="AF312" s="3342"/>
      <c r="AG312" s="3343"/>
      <c r="AH312" s="3303"/>
      <c r="AI312" s="3244"/>
      <c r="AJ312" s="3302"/>
      <c r="AK312" s="3244"/>
      <c r="AL312" s="3303"/>
      <c r="AM312" s="3325"/>
      <c r="AN312" s="3015"/>
      <c r="AO312" s="3344"/>
      <c r="AP312" s="3325"/>
      <c r="AQ312" s="3303"/>
      <c r="AR312" s="3303"/>
    </row>
    <row r="313" spans="1:44" ht="12.75" customHeight="1">
      <c r="A313" s="3325"/>
      <c r="B313" s="3340"/>
      <c r="C313" s="3249"/>
      <c r="D313" s="3325"/>
      <c r="E313" s="3247"/>
      <c r="F313" s="3340"/>
      <c r="G313" s="3244"/>
      <c r="H313" s="3304"/>
      <c r="I313" s="3564"/>
      <c r="J313" s="3565"/>
      <c r="K313" s="3566"/>
      <c r="L313" s="3251"/>
      <c r="M313" s="3325"/>
      <c r="N313" s="3342"/>
      <c r="O313" s="3564"/>
      <c r="P313" s="3574"/>
      <c r="Q313" s="3566"/>
      <c r="R313" s="3251"/>
      <c r="S313" s="3566"/>
      <c r="T313" s="3557"/>
      <c r="U313" s="3566"/>
      <c r="V313" s="3567"/>
      <c r="W313" s="2597"/>
      <c r="X313" s="3251"/>
      <c r="Y313" s="2597"/>
      <c r="Z313" s="3251"/>
      <c r="AA313" s="2597"/>
      <c r="AB313" s="3251"/>
      <c r="AC313" s="2597"/>
      <c r="AD313" s="3251"/>
      <c r="AE313" s="3325"/>
      <c r="AF313" s="3342"/>
      <c r="AG313" s="3343"/>
      <c r="AH313" s="3303"/>
      <c r="AI313" s="3244"/>
      <c r="AJ313" s="3302"/>
      <c r="AK313" s="3244"/>
      <c r="AL313" s="3303"/>
      <c r="AM313" s="3325"/>
      <c r="AN313" s="3015"/>
      <c r="AO313" s="3344"/>
      <c r="AP313" s="3325"/>
      <c r="AQ313" s="3303"/>
      <c r="AR313" s="3303"/>
    </row>
    <row r="314" spans="1:44" ht="12.75" customHeight="1">
      <c r="A314" s="3325"/>
      <c r="B314" s="3340"/>
      <c r="C314" s="3249"/>
      <c r="D314" s="3325"/>
      <c r="E314" s="3247"/>
      <c r="F314" s="3340"/>
      <c r="G314" s="3244"/>
      <c r="H314" s="3304"/>
      <c r="I314" s="3564"/>
      <c r="J314" s="3565"/>
      <c r="K314" s="3566"/>
      <c r="L314" s="3251"/>
      <c r="M314" s="3325"/>
      <c r="N314" s="3342"/>
      <c r="O314" s="3564"/>
      <c r="P314" s="3574"/>
      <c r="Q314" s="3566"/>
      <c r="R314" s="3251"/>
      <c r="S314" s="3566"/>
      <c r="T314" s="3557"/>
      <c r="U314" s="3566"/>
      <c r="V314" s="3567"/>
      <c r="W314" s="2597"/>
      <c r="X314" s="3251"/>
      <c r="Y314" s="2597"/>
      <c r="Z314" s="3251"/>
      <c r="AA314" s="2597"/>
      <c r="AB314" s="3251"/>
      <c r="AC314" s="2597"/>
      <c r="AD314" s="3251"/>
      <c r="AE314" s="3325"/>
      <c r="AF314" s="3342"/>
      <c r="AG314" s="3343"/>
      <c r="AH314" s="3303"/>
      <c r="AI314" s="3244"/>
      <c r="AJ314" s="3302"/>
      <c r="AK314" s="3244"/>
      <c r="AL314" s="3303"/>
      <c r="AM314" s="3325"/>
      <c r="AN314" s="3015"/>
      <c r="AO314" s="3344"/>
      <c r="AP314" s="3325"/>
      <c r="AQ314" s="3303"/>
      <c r="AR314" s="3303"/>
    </row>
    <row r="315" spans="1:44" ht="12.75" customHeight="1">
      <c r="A315" s="3325"/>
      <c r="B315" s="3340"/>
      <c r="C315" s="3249"/>
      <c r="D315" s="3325"/>
      <c r="E315" s="3247"/>
      <c r="F315" s="3340"/>
      <c r="G315" s="3244"/>
      <c r="H315" s="3304"/>
      <c r="I315" s="3564"/>
      <c r="J315" s="3565"/>
      <c r="K315" s="3566"/>
      <c r="L315" s="3251"/>
      <c r="M315" s="3325"/>
      <c r="N315" s="3342"/>
      <c r="O315" s="3564"/>
      <c r="P315" s="3574"/>
      <c r="Q315" s="3566"/>
      <c r="R315" s="3251"/>
      <c r="S315" s="3566"/>
      <c r="T315" s="3557"/>
      <c r="U315" s="3566"/>
      <c r="V315" s="3567"/>
      <c r="W315" s="2597"/>
      <c r="X315" s="3251"/>
      <c r="Y315" s="2597"/>
      <c r="Z315" s="3251"/>
      <c r="AA315" s="2597"/>
      <c r="AB315" s="3251"/>
      <c r="AC315" s="2597"/>
      <c r="AD315" s="3251"/>
      <c r="AE315" s="3325"/>
      <c r="AF315" s="3342"/>
      <c r="AG315" s="3343"/>
      <c r="AH315" s="3303"/>
      <c r="AI315" s="3244"/>
      <c r="AJ315" s="3302"/>
      <c r="AK315" s="3244"/>
      <c r="AL315" s="3303"/>
      <c r="AM315" s="3325"/>
      <c r="AN315" s="3015"/>
      <c r="AO315" s="3344"/>
      <c r="AP315" s="3325"/>
      <c r="AQ315" s="3303"/>
      <c r="AR315" s="3303"/>
    </row>
    <row r="316" spans="1:44" ht="12.75" customHeight="1">
      <c r="A316" s="3325"/>
      <c r="B316" s="3340"/>
      <c r="C316" s="3249"/>
      <c r="D316" s="3325"/>
      <c r="E316" s="3247"/>
      <c r="F316" s="3340"/>
      <c r="G316" s="3244"/>
      <c r="H316" s="3304"/>
      <c r="I316" s="3564"/>
      <c r="J316" s="3565"/>
      <c r="K316" s="3566"/>
      <c r="L316" s="3251"/>
      <c r="M316" s="3325"/>
      <c r="N316" s="3342"/>
      <c r="O316" s="3564"/>
      <c r="P316" s="3574"/>
      <c r="Q316" s="3566"/>
      <c r="R316" s="3251"/>
      <c r="S316" s="3566"/>
      <c r="T316" s="3557"/>
      <c r="U316" s="3566"/>
      <c r="V316" s="3567"/>
      <c r="W316" s="2597"/>
      <c r="X316" s="3251"/>
      <c r="Y316" s="2597"/>
      <c r="Z316" s="3251"/>
      <c r="AA316" s="2597"/>
      <c r="AB316" s="3251"/>
      <c r="AC316" s="2597"/>
      <c r="AD316" s="3251"/>
      <c r="AE316" s="3325"/>
      <c r="AF316" s="3342"/>
      <c r="AG316" s="3343"/>
      <c r="AH316" s="3303"/>
      <c r="AI316" s="3244"/>
      <c r="AJ316" s="3302"/>
      <c r="AK316" s="3244"/>
      <c r="AL316" s="3303"/>
      <c r="AM316" s="3325"/>
      <c r="AN316" s="3015"/>
      <c r="AO316" s="3344"/>
      <c r="AP316" s="3325"/>
      <c r="AQ316" s="3303"/>
      <c r="AR316" s="3303"/>
    </row>
    <row r="317" spans="1:44" ht="12.75" customHeight="1">
      <c r="A317" s="3325"/>
      <c r="B317" s="3340"/>
      <c r="C317" s="3249"/>
      <c r="D317" s="3325"/>
      <c r="E317" s="3247"/>
      <c r="F317" s="3340"/>
      <c r="G317" s="3244"/>
      <c r="H317" s="3304"/>
      <c r="I317" s="3564"/>
      <c r="J317" s="3565"/>
      <c r="K317" s="3566"/>
      <c r="L317" s="3251"/>
      <c r="M317" s="3325"/>
      <c r="N317" s="3342"/>
      <c r="O317" s="3564"/>
      <c r="P317" s="3574"/>
      <c r="Q317" s="3566"/>
      <c r="R317" s="3251"/>
      <c r="S317" s="3566"/>
      <c r="T317" s="3557"/>
      <c r="U317" s="3566"/>
      <c r="V317" s="3567"/>
      <c r="W317" s="2597"/>
      <c r="X317" s="3251"/>
      <c r="Y317" s="2597"/>
      <c r="Z317" s="3251"/>
      <c r="AA317" s="2597"/>
      <c r="AB317" s="3251"/>
      <c r="AC317" s="2597"/>
      <c r="AD317" s="3251"/>
      <c r="AE317" s="3325"/>
      <c r="AF317" s="3342"/>
      <c r="AG317" s="3343"/>
      <c r="AH317" s="3303"/>
      <c r="AI317" s="3244"/>
      <c r="AJ317" s="3302"/>
      <c r="AK317" s="3244"/>
      <c r="AL317" s="3303"/>
      <c r="AM317" s="3325"/>
      <c r="AN317" s="3015"/>
      <c r="AO317" s="3344"/>
      <c r="AP317" s="3325"/>
      <c r="AQ317" s="3303"/>
      <c r="AR317" s="3303"/>
    </row>
    <row r="318" spans="1:44" ht="12.75" customHeight="1">
      <c r="A318" s="3325"/>
      <c r="B318" s="3340"/>
      <c r="C318" s="3249"/>
      <c r="D318" s="3325"/>
      <c r="E318" s="3247"/>
      <c r="F318" s="3340"/>
      <c r="G318" s="3244"/>
      <c r="H318" s="3304"/>
      <c r="I318" s="3564"/>
      <c r="J318" s="3565"/>
      <c r="K318" s="3566"/>
      <c r="L318" s="3251"/>
      <c r="M318" s="3325"/>
      <c r="N318" s="3342"/>
      <c r="O318" s="3564"/>
      <c r="P318" s="3574"/>
      <c r="Q318" s="3566"/>
      <c r="R318" s="3251"/>
      <c r="S318" s="3566"/>
      <c r="T318" s="3557"/>
      <c r="U318" s="3566"/>
      <c r="V318" s="3567"/>
      <c r="W318" s="2597"/>
      <c r="X318" s="3251"/>
      <c r="Y318" s="2597"/>
      <c r="Z318" s="3251"/>
      <c r="AA318" s="2597"/>
      <c r="AB318" s="3251"/>
      <c r="AC318" s="2597"/>
      <c r="AD318" s="3251"/>
      <c r="AE318" s="3325"/>
      <c r="AF318" s="3342"/>
      <c r="AG318" s="3343"/>
      <c r="AH318" s="3303"/>
      <c r="AI318" s="3244"/>
      <c r="AJ318" s="3302"/>
      <c r="AK318" s="3244"/>
      <c r="AL318" s="3303"/>
      <c r="AM318" s="3325"/>
      <c r="AN318" s="3015"/>
      <c r="AO318" s="3344"/>
      <c r="AP318" s="3325"/>
      <c r="AQ318" s="3303"/>
      <c r="AR318" s="3303"/>
    </row>
    <row r="319" spans="1:44" ht="12.75" customHeight="1">
      <c r="A319" s="3325"/>
      <c r="B319" s="3340"/>
      <c r="C319" s="3249"/>
      <c r="D319" s="3325"/>
      <c r="E319" s="3247"/>
      <c r="F319" s="3340"/>
      <c r="G319" s="3244"/>
      <c r="H319" s="3304"/>
      <c r="I319" s="3564"/>
      <c r="J319" s="3565"/>
      <c r="K319" s="3566"/>
      <c r="L319" s="3251"/>
      <c r="M319" s="3325"/>
      <c r="N319" s="3342"/>
      <c r="O319" s="3564"/>
      <c r="P319" s="3574"/>
      <c r="Q319" s="3566"/>
      <c r="R319" s="3251"/>
      <c r="S319" s="3566"/>
      <c r="T319" s="3557"/>
      <c r="U319" s="3566"/>
      <c r="V319" s="3567"/>
      <c r="W319" s="2597"/>
      <c r="X319" s="3251"/>
      <c r="Y319" s="2597"/>
      <c r="Z319" s="3251"/>
      <c r="AA319" s="2597"/>
      <c r="AB319" s="3251"/>
      <c r="AC319" s="2597"/>
      <c r="AD319" s="3251"/>
      <c r="AE319" s="3325"/>
      <c r="AF319" s="3342"/>
      <c r="AG319" s="3343"/>
      <c r="AH319" s="3303"/>
      <c r="AI319" s="3244"/>
      <c r="AJ319" s="3302"/>
      <c r="AK319" s="3244"/>
      <c r="AL319" s="3303"/>
      <c r="AM319" s="3325"/>
      <c r="AN319" s="3015"/>
      <c r="AO319" s="3344"/>
      <c r="AP319" s="3325"/>
      <c r="AQ319" s="3303"/>
      <c r="AR319" s="3303"/>
    </row>
    <row r="320" spans="1:44" ht="12.75" customHeight="1">
      <c r="A320" s="3325"/>
      <c r="B320" s="3340"/>
      <c r="C320" s="3249"/>
      <c r="D320" s="3325"/>
      <c r="E320" s="3247"/>
      <c r="F320" s="3340"/>
      <c r="G320" s="3244"/>
      <c r="H320" s="3304"/>
      <c r="I320" s="3564"/>
      <c r="J320" s="3565"/>
      <c r="K320" s="3566"/>
      <c r="L320" s="3251"/>
      <c r="M320" s="3325"/>
      <c r="N320" s="3342"/>
      <c r="O320" s="3564"/>
      <c r="P320" s="3574"/>
      <c r="Q320" s="3566"/>
      <c r="R320" s="3251"/>
      <c r="S320" s="3566"/>
      <c r="T320" s="3557"/>
      <c r="U320" s="3566"/>
      <c r="V320" s="3567"/>
      <c r="W320" s="2597"/>
      <c r="X320" s="3251"/>
      <c r="Y320" s="2597"/>
      <c r="Z320" s="3251"/>
      <c r="AA320" s="2597"/>
      <c r="AB320" s="3251"/>
      <c r="AC320" s="2597"/>
      <c r="AD320" s="3251"/>
      <c r="AE320" s="3325"/>
      <c r="AF320" s="3342"/>
      <c r="AG320" s="3343"/>
      <c r="AH320" s="3303"/>
      <c r="AI320" s="3244"/>
      <c r="AJ320" s="3302"/>
      <c r="AK320" s="3244"/>
      <c r="AL320" s="3303"/>
      <c r="AM320" s="3325"/>
      <c r="AN320" s="3015"/>
      <c r="AO320" s="3344"/>
      <c r="AP320" s="3325"/>
      <c r="AQ320" s="3303"/>
      <c r="AR320" s="3303"/>
    </row>
    <row r="321" spans="1:44" ht="12.75" customHeight="1">
      <c r="A321" s="3325"/>
      <c r="B321" s="3340"/>
      <c r="C321" s="3249"/>
      <c r="D321" s="3325"/>
      <c r="E321" s="3247"/>
      <c r="F321" s="3340"/>
      <c r="G321" s="3244"/>
      <c r="H321" s="3304"/>
      <c r="I321" s="3564"/>
      <c r="J321" s="3565"/>
      <c r="K321" s="3566"/>
      <c r="L321" s="3251"/>
      <c r="M321" s="3325"/>
      <c r="N321" s="3342"/>
      <c r="O321" s="3564"/>
      <c r="P321" s="3574"/>
      <c r="Q321" s="3566"/>
      <c r="R321" s="3251"/>
      <c r="S321" s="3566"/>
      <c r="T321" s="3557"/>
      <c r="U321" s="3566"/>
      <c r="V321" s="3567"/>
      <c r="W321" s="2597"/>
      <c r="X321" s="3251"/>
      <c r="Y321" s="2597"/>
      <c r="Z321" s="3251"/>
      <c r="AA321" s="2597"/>
      <c r="AB321" s="3251"/>
      <c r="AC321" s="2597"/>
      <c r="AD321" s="3251"/>
      <c r="AE321" s="3325"/>
      <c r="AF321" s="3342"/>
      <c r="AG321" s="3343"/>
      <c r="AH321" s="3303"/>
      <c r="AI321" s="3244"/>
      <c r="AJ321" s="3302"/>
      <c r="AK321" s="3244"/>
      <c r="AL321" s="3303"/>
      <c r="AM321" s="3325"/>
      <c r="AN321" s="3015"/>
      <c r="AO321" s="3344"/>
      <c r="AP321" s="3325"/>
      <c r="AQ321" s="3303"/>
      <c r="AR321" s="3303"/>
    </row>
    <row r="322" spans="1:44" ht="12.75" customHeight="1">
      <c r="A322" s="3325"/>
      <c r="B322" s="3340"/>
      <c r="C322" s="3249"/>
      <c r="D322" s="3325"/>
      <c r="E322" s="3247"/>
      <c r="F322" s="3340"/>
      <c r="G322" s="3244"/>
      <c r="H322" s="3304"/>
      <c r="I322" s="3564"/>
      <c r="J322" s="3565"/>
      <c r="K322" s="3566"/>
      <c r="L322" s="3251"/>
      <c r="M322" s="3325"/>
      <c r="N322" s="3342"/>
      <c r="O322" s="3564"/>
      <c r="P322" s="3574"/>
      <c r="Q322" s="3566"/>
      <c r="R322" s="3251"/>
      <c r="S322" s="3566"/>
      <c r="T322" s="3557"/>
      <c r="U322" s="3566"/>
      <c r="V322" s="3567"/>
      <c r="W322" s="2597"/>
      <c r="X322" s="3251"/>
      <c r="Y322" s="2597"/>
      <c r="Z322" s="3251"/>
      <c r="AA322" s="2597"/>
      <c r="AB322" s="3251"/>
      <c r="AC322" s="2597"/>
      <c r="AD322" s="3251"/>
      <c r="AE322" s="3325"/>
      <c r="AF322" s="3342"/>
      <c r="AG322" s="3343"/>
      <c r="AH322" s="3303"/>
      <c r="AI322" s="3244"/>
      <c r="AJ322" s="3302"/>
      <c r="AK322" s="3244"/>
      <c r="AL322" s="3303"/>
      <c r="AM322" s="3325"/>
      <c r="AN322" s="3015"/>
      <c r="AO322" s="3344"/>
      <c r="AP322" s="3325"/>
      <c r="AQ322" s="3303"/>
      <c r="AR322" s="3303"/>
    </row>
    <row r="323" spans="1:44" ht="12.75" customHeight="1">
      <c r="A323" s="3325"/>
      <c r="B323" s="3340"/>
      <c r="C323" s="3249"/>
      <c r="D323" s="3325"/>
      <c r="E323" s="3247"/>
      <c r="F323" s="3340"/>
      <c r="G323" s="3244"/>
      <c r="H323" s="3304"/>
      <c r="I323" s="3564"/>
      <c r="J323" s="3565"/>
      <c r="K323" s="3566"/>
      <c r="L323" s="3251"/>
      <c r="M323" s="3325"/>
      <c r="N323" s="3342"/>
      <c r="O323" s="3564"/>
      <c r="P323" s="3574"/>
      <c r="Q323" s="3566"/>
      <c r="R323" s="3251"/>
      <c r="S323" s="3566"/>
      <c r="T323" s="3557"/>
      <c r="U323" s="3566"/>
      <c r="V323" s="3567"/>
      <c r="W323" s="2597"/>
      <c r="X323" s="3251"/>
      <c r="Y323" s="2597"/>
      <c r="Z323" s="3251"/>
      <c r="AA323" s="2597"/>
      <c r="AB323" s="3251"/>
      <c r="AC323" s="2597"/>
      <c r="AD323" s="3251"/>
      <c r="AE323" s="3325"/>
      <c r="AF323" s="3342"/>
      <c r="AG323" s="3343"/>
      <c r="AH323" s="3303"/>
      <c r="AI323" s="3244"/>
      <c r="AJ323" s="3302"/>
      <c r="AK323" s="3244"/>
      <c r="AL323" s="3303"/>
      <c r="AM323" s="3325"/>
      <c r="AN323" s="3015"/>
      <c r="AO323" s="3344"/>
      <c r="AP323" s="3325"/>
      <c r="AQ323" s="3303"/>
      <c r="AR323" s="3303"/>
    </row>
    <row r="324" spans="1:44" ht="12.75" customHeight="1">
      <c r="A324" s="3325"/>
      <c r="B324" s="3340"/>
      <c r="C324" s="3249"/>
      <c r="D324" s="3325"/>
      <c r="E324" s="3247"/>
      <c r="F324" s="3340"/>
      <c r="G324" s="3244"/>
      <c r="H324" s="3304"/>
      <c r="I324" s="3564"/>
      <c r="J324" s="3565"/>
      <c r="K324" s="3566"/>
      <c r="L324" s="3251"/>
      <c r="M324" s="3325"/>
      <c r="N324" s="3342"/>
      <c r="O324" s="3564"/>
      <c r="P324" s="3574"/>
      <c r="Q324" s="3566"/>
      <c r="R324" s="3251"/>
      <c r="S324" s="3566"/>
      <c r="T324" s="3557"/>
      <c r="U324" s="3566"/>
      <c r="V324" s="3567"/>
      <c r="W324" s="2597"/>
      <c r="X324" s="3251"/>
      <c r="Y324" s="2597"/>
      <c r="Z324" s="3251"/>
      <c r="AA324" s="2597"/>
      <c r="AB324" s="3251"/>
      <c r="AC324" s="2597"/>
      <c r="AD324" s="3251"/>
      <c r="AE324" s="3325"/>
      <c r="AF324" s="3342"/>
      <c r="AG324" s="3343"/>
      <c r="AH324" s="3303"/>
      <c r="AI324" s="3244"/>
      <c r="AJ324" s="3302"/>
      <c r="AK324" s="3244"/>
      <c r="AL324" s="3303"/>
      <c r="AM324" s="3325"/>
      <c r="AN324" s="3015"/>
      <c r="AO324" s="3344"/>
      <c r="AP324" s="3325"/>
      <c r="AQ324" s="3303"/>
      <c r="AR324" s="3303"/>
    </row>
    <row r="325" spans="1:44" ht="12.75" customHeight="1">
      <c r="A325" s="3325"/>
      <c r="B325" s="3340"/>
      <c r="C325" s="3249"/>
      <c r="D325" s="3325"/>
      <c r="E325" s="3247"/>
      <c r="F325" s="3340"/>
      <c r="G325" s="3244"/>
      <c r="H325" s="3304"/>
      <c r="I325" s="3564"/>
      <c r="J325" s="3565"/>
      <c r="K325" s="3566"/>
      <c r="L325" s="3251"/>
      <c r="M325" s="3325"/>
      <c r="N325" s="3342"/>
      <c r="O325" s="3564"/>
      <c r="P325" s="3574"/>
      <c r="Q325" s="3566"/>
      <c r="R325" s="3251"/>
      <c r="S325" s="3566"/>
      <c r="T325" s="3557"/>
      <c r="U325" s="3566"/>
      <c r="V325" s="3567"/>
      <c r="W325" s="2597"/>
      <c r="X325" s="3251"/>
      <c r="Y325" s="2597"/>
      <c r="Z325" s="3251"/>
      <c r="AA325" s="2597"/>
      <c r="AB325" s="3251"/>
      <c r="AC325" s="2597"/>
      <c r="AD325" s="3251"/>
      <c r="AE325" s="3325"/>
      <c r="AF325" s="3342"/>
      <c r="AG325" s="3343"/>
      <c r="AH325" s="3303"/>
      <c r="AI325" s="3244"/>
      <c r="AJ325" s="3302"/>
      <c r="AK325" s="3244"/>
      <c r="AL325" s="3303"/>
      <c r="AM325" s="3325"/>
      <c r="AN325" s="3015"/>
      <c r="AO325" s="3344"/>
      <c r="AP325" s="3325"/>
      <c r="AQ325" s="3303"/>
      <c r="AR325" s="3303"/>
    </row>
    <row r="326" spans="1:44" ht="12.75" customHeight="1">
      <c r="A326" s="3325"/>
      <c r="B326" s="3340"/>
      <c r="C326" s="3249"/>
      <c r="D326" s="3325"/>
      <c r="E326" s="3247"/>
      <c r="F326" s="3340"/>
      <c r="G326" s="3244"/>
      <c r="H326" s="3304"/>
      <c r="I326" s="3564"/>
      <c r="J326" s="3565"/>
      <c r="K326" s="3566"/>
      <c r="L326" s="3251"/>
      <c r="M326" s="3325"/>
      <c r="N326" s="3342"/>
      <c r="O326" s="3564"/>
      <c r="P326" s="3574"/>
      <c r="Q326" s="3566"/>
      <c r="R326" s="3251"/>
      <c r="S326" s="3566"/>
      <c r="T326" s="3557"/>
      <c r="U326" s="3566"/>
      <c r="V326" s="3567"/>
      <c r="W326" s="2597"/>
      <c r="X326" s="3251"/>
      <c r="Y326" s="2597"/>
      <c r="Z326" s="3251"/>
      <c r="AA326" s="2597"/>
      <c r="AB326" s="3251"/>
      <c r="AC326" s="2597"/>
      <c r="AD326" s="3251"/>
      <c r="AE326" s="3325"/>
      <c r="AF326" s="3342"/>
      <c r="AG326" s="3343"/>
      <c r="AH326" s="3303"/>
      <c r="AI326" s="3244"/>
      <c r="AJ326" s="3302"/>
      <c r="AK326" s="3244"/>
      <c r="AL326" s="3303"/>
      <c r="AM326" s="3325"/>
      <c r="AN326" s="3015"/>
      <c r="AO326" s="3344"/>
      <c r="AP326" s="3325"/>
      <c r="AQ326" s="3303"/>
      <c r="AR326" s="3303"/>
    </row>
    <row r="327" spans="1:44" ht="12.75" customHeight="1">
      <c r="A327" s="3325"/>
      <c r="B327" s="3340"/>
      <c r="C327" s="3249"/>
      <c r="D327" s="3325"/>
      <c r="E327" s="3247"/>
      <c r="F327" s="3340"/>
      <c r="G327" s="3244"/>
      <c r="H327" s="3304"/>
      <c r="I327" s="3564"/>
      <c r="J327" s="3565"/>
      <c r="K327" s="3566"/>
      <c r="L327" s="3251"/>
      <c r="M327" s="3325"/>
      <c r="N327" s="3342"/>
      <c r="O327" s="3564"/>
      <c r="P327" s="3574"/>
      <c r="Q327" s="3566"/>
      <c r="R327" s="3251"/>
      <c r="S327" s="3566"/>
      <c r="T327" s="3557"/>
      <c r="U327" s="3566"/>
      <c r="V327" s="3567"/>
      <c r="W327" s="2597"/>
      <c r="X327" s="3251"/>
      <c r="Y327" s="2597"/>
      <c r="Z327" s="3251"/>
      <c r="AA327" s="2597"/>
      <c r="AB327" s="3251"/>
      <c r="AC327" s="2597"/>
      <c r="AD327" s="3251"/>
      <c r="AE327" s="3325"/>
      <c r="AF327" s="3342"/>
      <c r="AG327" s="3343"/>
      <c r="AH327" s="3303"/>
      <c r="AI327" s="3244"/>
      <c r="AJ327" s="3302"/>
      <c r="AK327" s="3244"/>
      <c r="AL327" s="3303"/>
      <c r="AM327" s="3325"/>
      <c r="AN327" s="3015"/>
      <c r="AO327" s="3344"/>
      <c r="AP327" s="3325"/>
      <c r="AQ327" s="3303"/>
      <c r="AR327" s="3303"/>
    </row>
    <row r="328" spans="1:44" ht="12.75" customHeight="1">
      <c r="A328" s="3325"/>
      <c r="B328" s="3340"/>
      <c r="C328" s="3249"/>
      <c r="D328" s="3325"/>
      <c r="E328" s="3247"/>
      <c r="F328" s="3340"/>
      <c r="G328" s="3244"/>
      <c r="H328" s="3304"/>
      <c r="I328" s="3564"/>
      <c r="J328" s="3565"/>
      <c r="K328" s="3566"/>
      <c r="L328" s="3251"/>
      <c r="M328" s="3325"/>
      <c r="N328" s="3342"/>
      <c r="O328" s="3564"/>
      <c r="P328" s="3574"/>
      <c r="Q328" s="3566"/>
      <c r="R328" s="3251"/>
      <c r="S328" s="3566"/>
      <c r="T328" s="3557"/>
      <c r="U328" s="3566"/>
      <c r="V328" s="3567"/>
      <c r="W328" s="2597"/>
      <c r="X328" s="3251"/>
      <c r="Y328" s="2597"/>
      <c r="Z328" s="3251"/>
      <c r="AA328" s="2597"/>
      <c r="AB328" s="3251"/>
      <c r="AC328" s="2597"/>
      <c r="AD328" s="3251"/>
      <c r="AE328" s="3325"/>
      <c r="AF328" s="3342"/>
      <c r="AG328" s="3343"/>
      <c r="AH328" s="3303"/>
      <c r="AI328" s="3244"/>
      <c r="AJ328" s="3302"/>
      <c r="AK328" s="3244"/>
      <c r="AL328" s="3303"/>
      <c r="AM328" s="3325"/>
      <c r="AN328" s="3015"/>
      <c r="AO328" s="3344"/>
      <c r="AP328" s="3325"/>
      <c r="AQ328" s="3303"/>
      <c r="AR328" s="3303"/>
    </row>
    <row r="329" spans="1:44" ht="12.75" customHeight="1">
      <c r="A329" s="3325"/>
      <c r="B329" s="3340"/>
      <c r="C329" s="3249"/>
      <c r="D329" s="3325"/>
      <c r="E329" s="3247"/>
      <c r="F329" s="3340"/>
      <c r="G329" s="3244"/>
      <c r="H329" s="3304"/>
      <c r="I329" s="3564"/>
      <c r="J329" s="3565"/>
      <c r="K329" s="3566"/>
      <c r="L329" s="3251"/>
      <c r="M329" s="3325"/>
      <c r="N329" s="3342"/>
      <c r="O329" s="3564"/>
      <c r="P329" s="3574"/>
      <c r="Q329" s="3566"/>
      <c r="R329" s="3251"/>
      <c r="S329" s="3566"/>
      <c r="T329" s="3557"/>
      <c r="U329" s="3566"/>
      <c r="V329" s="3567"/>
      <c r="W329" s="2597"/>
      <c r="X329" s="3251"/>
      <c r="Y329" s="2597"/>
      <c r="Z329" s="3251"/>
      <c r="AA329" s="2597"/>
      <c r="AB329" s="3251"/>
      <c r="AC329" s="2597"/>
      <c r="AD329" s="3251"/>
      <c r="AE329" s="3325"/>
      <c r="AF329" s="3342"/>
      <c r="AG329" s="3343"/>
      <c r="AH329" s="3303"/>
      <c r="AI329" s="3244"/>
      <c r="AJ329" s="3302"/>
      <c r="AK329" s="3244"/>
      <c r="AL329" s="3303"/>
      <c r="AM329" s="3325"/>
      <c r="AN329" s="3015"/>
      <c r="AO329" s="3344"/>
      <c r="AP329" s="3325"/>
      <c r="AQ329" s="3303"/>
      <c r="AR329" s="3303"/>
    </row>
    <row r="330" spans="1:44" ht="12.75" customHeight="1">
      <c r="A330" s="3325"/>
      <c r="B330" s="3340"/>
      <c r="C330" s="3249"/>
      <c r="D330" s="3325"/>
      <c r="E330" s="3247"/>
      <c r="F330" s="3340"/>
      <c r="G330" s="3244"/>
      <c r="H330" s="3304"/>
      <c r="I330" s="3564"/>
      <c r="J330" s="3565"/>
      <c r="K330" s="3566"/>
      <c r="L330" s="3251"/>
      <c r="M330" s="3325"/>
      <c r="N330" s="3342"/>
      <c r="O330" s="3564"/>
      <c r="P330" s="3574"/>
      <c r="Q330" s="3566"/>
      <c r="R330" s="3251"/>
      <c r="S330" s="3566"/>
      <c r="T330" s="3557"/>
      <c r="U330" s="3566"/>
      <c r="V330" s="3567"/>
      <c r="W330" s="2597"/>
      <c r="X330" s="3251"/>
      <c r="Y330" s="2597"/>
      <c r="Z330" s="3251"/>
      <c r="AA330" s="2597"/>
      <c r="AB330" s="3251"/>
      <c r="AC330" s="2597"/>
      <c r="AD330" s="3251"/>
      <c r="AE330" s="3325"/>
      <c r="AF330" s="3342"/>
      <c r="AG330" s="3343"/>
      <c r="AH330" s="3303"/>
      <c r="AI330" s="3244"/>
      <c r="AJ330" s="3302"/>
      <c r="AK330" s="3244"/>
      <c r="AL330" s="3303"/>
      <c r="AM330" s="3325"/>
      <c r="AN330" s="3015"/>
      <c r="AO330" s="3344"/>
      <c r="AP330" s="3325"/>
      <c r="AQ330" s="3303"/>
      <c r="AR330" s="3303"/>
    </row>
    <row r="331" spans="1:44" ht="12.75" customHeight="1">
      <c r="A331" s="3325"/>
      <c r="B331" s="3340"/>
      <c r="C331" s="3249"/>
      <c r="D331" s="3325"/>
      <c r="E331" s="3247"/>
      <c r="F331" s="3340"/>
      <c r="G331" s="3244"/>
      <c r="H331" s="3304"/>
      <c r="I331" s="3564"/>
      <c r="J331" s="3565"/>
      <c r="K331" s="3566"/>
      <c r="L331" s="3251"/>
      <c r="M331" s="3325"/>
      <c r="N331" s="3342"/>
      <c r="O331" s="3564"/>
      <c r="P331" s="3574"/>
      <c r="Q331" s="3566"/>
      <c r="R331" s="3251"/>
      <c r="S331" s="3566"/>
      <c r="T331" s="3557"/>
      <c r="U331" s="3566"/>
      <c r="V331" s="3567"/>
      <c r="W331" s="2597"/>
      <c r="X331" s="3251"/>
      <c r="Y331" s="2597"/>
      <c r="Z331" s="3251"/>
      <c r="AA331" s="2597"/>
      <c r="AB331" s="3251"/>
      <c r="AC331" s="2597"/>
      <c r="AD331" s="3251"/>
      <c r="AE331" s="3325"/>
      <c r="AF331" s="3342"/>
      <c r="AG331" s="3343"/>
      <c r="AH331" s="3303"/>
      <c r="AI331" s="3244"/>
      <c r="AJ331" s="3302"/>
      <c r="AK331" s="3244"/>
      <c r="AL331" s="3303"/>
      <c r="AM331" s="3325"/>
      <c r="AN331" s="3015"/>
      <c r="AO331" s="3344"/>
      <c r="AP331" s="3325"/>
      <c r="AQ331" s="3303"/>
      <c r="AR331" s="3303"/>
    </row>
    <row r="332" spans="1:44" ht="12.75" customHeight="1">
      <c r="A332" s="3325"/>
      <c r="B332" s="3340"/>
      <c r="C332" s="3249"/>
      <c r="D332" s="3325"/>
      <c r="E332" s="3247"/>
      <c r="F332" s="3340"/>
      <c r="G332" s="3244"/>
      <c r="H332" s="3304"/>
      <c r="I332" s="3564"/>
      <c r="J332" s="3565"/>
      <c r="K332" s="3566"/>
      <c r="L332" s="3251"/>
      <c r="M332" s="3325"/>
      <c r="N332" s="3342"/>
      <c r="O332" s="3564"/>
      <c r="P332" s="3574"/>
      <c r="Q332" s="3566"/>
      <c r="R332" s="3251"/>
      <c r="S332" s="3566"/>
      <c r="T332" s="3557"/>
      <c r="U332" s="3566"/>
      <c r="V332" s="3567"/>
      <c r="W332" s="2597"/>
      <c r="X332" s="3251"/>
      <c r="Y332" s="2597"/>
      <c r="Z332" s="3251"/>
      <c r="AA332" s="2597"/>
      <c r="AB332" s="3251"/>
      <c r="AC332" s="2597"/>
      <c r="AD332" s="3251"/>
      <c r="AE332" s="3325"/>
      <c r="AF332" s="3342"/>
      <c r="AG332" s="3343"/>
      <c r="AH332" s="3303"/>
      <c r="AI332" s="3244"/>
      <c r="AJ332" s="3302"/>
      <c r="AK332" s="3244"/>
      <c r="AL332" s="3303"/>
      <c r="AM332" s="3325"/>
      <c r="AN332" s="3015"/>
      <c r="AO332" s="3344"/>
      <c r="AP332" s="3325"/>
      <c r="AQ332" s="3303"/>
      <c r="AR332" s="3303"/>
    </row>
    <row r="333" spans="1:44" ht="12.75" customHeight="1">
      <c r="A333" s="3325"/>
      <c r="B333" s="3340"/>
      <c r="C333" s="3249"/>
      <c r="D333" s="3325"/>
      <c r="E333" s="3247"/>
      <c r="F333" s="3340"/>
      <c r="G333" s="3244"/>
      <c r="H333" s="3304"/>
      <c r="I333" s="3564"/>
      <c r="J333" s="3565"/>
      <c r="K333" s="3566"/>
      <c r="L333" s="3251"/>
      <c r="M333" s="3325"/>
      <c r="N333" s="3342"/>
      <c r="O333" s="3564"/>
      <c r="P333" s="3574"/>
      <c r="Q333" s="3566"/>
      <c r="R333" s="3251"/>
      <c r="S333" s="3566"/>
      <c r="T333" s="3557"/>
      <c r="U333" s="3566"/>
      <c r="V333" s="3567"/>
      <c r="W333" s="2597"/>
      <c r="X333" s="3251"/>
      <c r="Y333" s="2597"/>
      <c r="Z333" s="3251"/>
      <c r="AA333" s="2597"/>
      <c r="AB333" s="3251"/>
      <c r="AC333" s="2597"/>
      <c r="AD333" s="3251"/>
      <c r="AE333" s="3325"/>
      <c r="AF333" s="3342"/>
      <c r="AG333" s="3343"/>
      <c r="AH333" s="3303"/>
      <c r="AI333" s="3244"/>
      <c r="AJ333" s="3302"/>
      <c r="AK333" s="3244"/>
      <c r="AL333" s="3303"/>
      <c r="AM333" s="3325"/>
      <c r="AN333" s="3015"/>
      <c r="AO333" s="3344"/>
      <c r="AP333" s="3325"/>
      <c r="AQ333" s="3303"/>
      <c r="AR333" s="3303"/>
    </row>
    <row r="334" spans="1:44" ht="12.75" customHeight="1">
      <c r="A334" s="3325"/>
      <c r="B334" s="3340"/>
      <c r="C334" s="3249"/>
      <c r="D334" s="3325"/>
      <c r="E334" s="3247"/>
      <c r="F334" s="3340"/>
      <c r="G334" s="3244"/>
      <c r="H334" s="3304"/>
      <c r="I334" s="3564"/>
      <c r="J334" s="3565"/>
      <c r="K334" s="3566"/>
      <c r="L334" s="3251"/>
      <c r="M334" s="3325"/>
      <c r="N334" s="3342"/>
      <c r="O334" s="3564"/>
      <c r="P334" s="3574"/>
      <c r="Q334" s="3566"/>
      <c r="R334" s="3251"/>
      <c r="S334" s="3566"/>
      <c r="T334" s="3557"/>
      <c r="U334" s="3566"/>
      <c r="V334" s="3567"/>
      <c r="W334" s="2597"/>
      <c r="X334" s="3251"/>
      <c r="Y334" s="2597"/>
      <c r="Z334" s="3251"/>
      <c r="AA334" s="2597"/>
      <c r="AB334" s="3251"/>
      <c r="AC334" s="2597"/>
      <c r="AD334" s="3251"/>
      <c r="AE334" s="3325"/>
      <c r="AF334" s="3342"/>
      <c r="AG334" s="3343"/>
      <c r="AH334" s="3303"/>
      <c r="AI334" s="3244"/>
      <c r="AJ334" s="3302"/>
      <c r="AK334" s="3244"/>
      <c r="AL334" s="3303"/>
      <c r="AM334" s="3325"/>
      <c r="AN334" s="3015"/>
      <c r="AO334" s="3344"/>
      <c r="AP334" s="3325"/>
      <c r="AQ334" s="3303"/>
      <c r="AR334" s="3303"/>
    </row>
    <row r="335" spans="1:44" ht="12.75" customHeight="1">
      <c r="A335" s="3325"/>
      <c r="B335" s="3340"/>
      <c r="C335" s="3249"/>
      <c r="D335" s="3325"/>
      <c r="E335" s="3247"/>
      <c r="F335" s="3340"/>
      <c r="G335" s="3244"/>
      <c r="H335" s="3304"/>
      <c r="I335" s="3564"/>
      <c r="J335" s="3565"/>
      <c r="K335" s="3566"/>
      <c r="L335" s="3251"/>
      <c r="M335" s="3325"/>
      <c r="N335" s="3342"/>
      <c r="O335" s="3564"/>
      <c r="P335" s="3574"/>
      <c r="Q335" s="3566"/>
      <c r="R335" s="3251"/>
      <c r="S335" s="3566"/>
      <c r="T335" s="3557"/>
      <c r="U335" s="3566"/>
      <c r="V335" s="3567"/>
      <c r="W335" s="2597"/>
      <c r="X335" s="3251"/>
      <c r="Y335" s="2597"/>
      <c r="Z335" s="3251"/>
      <c r="AA335" s="2597"/>
      <c r="AB335" s="3251"/>
      <c r="AC335" s="2597"/>
      <c r="AD335" s="3251"/>
      <c r="AE335" s="3325"/>
      <c r="AF335" s="3342"/>
      <c r="AG335" s="3343"/>
      <c r="AH335" s="3303"/>
      <c r="AI335" s="3244"/>
      <c r="AJ335" s="3302"/>
      <c r="AK335" s="3244"/>
      <c r="AL335" s="3303"/>
      <c r="AM335" s="3325"/>
      <c r="AN335" s="3015"/>
      <c r="AO335" s="3344"/>
      <c r="AP335" s="3325"/>
      <c r="AQ335" s="3303"/>
      <c r="AR335" s="3303"/>
    </row>
    <row r="336" spans="1:44" ht="12.75" customHeight="1">
      <c r="A336" s="3325"/>
      <c r="B336" s="3340"/>
      <c r="C336" s="3249"/>
      <c r="D336" s="3325"/>
      <c r="E336" s="3247"/>
      <c r="F336" s="3340"/>
      <c r="G336" s="3244"/>
      <c r="H336" s="3304"/>
      <c r="I336" s="3564"/>
      <c r="J336" s="3565"/>
      <c r="K336" s="3566"/>
      <c r="L336" s="3251"/>
      <c r="M336" s="3325"/>
      <c r="N336" s="3342"/>
      <c r="O336" s="3564"/>
      <c r="P336" s="3574"/>
      <c r="Q336" s="3566"/>
      <c r="R336" s="3251"/>
      <c r="S336" s="3566"/>
      <c r="T336" s="3557"/>
      <c r="U336" s="3566"/>
      <c r="V336" s="3567"/>
      <c r="W336" s="2597"/>
      <c r="X336" s="3251"/>
      <c r="Y336" s="2597"/>
      <c r="Z336" s="3251"/>
      <c r="AA336" s="2597"/>
      <c r="AB336" s="3251"/>
      <c r="AC336" s="2597"/>
      <c r="AD336" s="3251"/>
      <c r="AE336" s="3325"/>
      <c r="AF336" s="3342"/>
      <c r="AG336" s="3343"/>
      <c r="AH336" s="3303"/>
      <c r="AI336" s="3244"/>
      <c r="AJ336" s="3302"/>
      <c r="AK336" s="3244"/>
      <c r="AL336" s="3303"/>
      <c r="AM336" s="3325"/>
      <c r="AN336" s="3015"/>
      <c r="AO336" s="3344"/>
      <c r="AP336" s="3325"/>
      <c r="AQ336" s="3303"/>
      <c r="AR336" s="3303"/>
    </row>
    <row r="337" spans="1:44" ht="12.75" customHeight="1">
      <c r="A337" s="3325"/>
      <c r="B337" s="3340"/>
      <c r="C337" s="3249"/>
      <c r="D337" s="3325"/>
      <c r="E337" s="3247"/>
      <c r="F337" s="3340"/>
      <c r="G337" s="3244"/>
      <c r="H337" s="3304"/>
      <c r="I337" s="3564"/>
      <c r="J337" s="3565"/>
      <c r="K337" s="3566"/>
      <c r="L337" s="3251"/>
      <c r="M337" s="3325"/>
      <c r="N337" s="3342"/>
      <c r="O337" s="3564"/>
      <c r="P337" s="3574"/>
      <c r="Q337" s="3566"/>
      <c r="R337" s="3251"/>
      <c r="S337" s="3566"/>
      <c r="T337" s="3557"/>
      <c r="U337" s="3566"/>
      <c r="V337" s="3567"/>
      <c r="W337" s="2597"/>
      <c r="X337" s="3251"/>
      <c r="Y337" s="2597"/>
      <c r="Z337" s="3251"/>
      <c r="AA337" s="2597"/>
      <c r="AB337" s="3251"/>
      <c r="AC337" s="2597"/>
      <c r="AD337" s="3251"/>
      <c r="AE337" s="3325"/>
      <c r="AF337" s="3342"/>
      <c r="AG337" s="3343"/>
      <c r="AH337" s="3303"/>
      <c r="AI337" s="3244"/>
      <c r="AJ337" s="3302"/>
      <c r="AK337" s="3244"/>
      <c r="AL337" s="3303"/>
      <c r="AM337" s="3325"/>
      <c r="AN337" s="3015"/>
      <c r="AO337" s="3344"/>
      <c r="AP337" s="3325"/>
      <c r="AQ337" s="3303"/>
      <c r="AR337" s="3303"/>
    </row>
    <row r="338" spans="1:44" ht="12.75" customHeight="1">
      <c r="A338" s="3325"/>
      <c r="B338" s="3340"/>
      <c r="C338" s="3249"/>
      <c r="D338" s="3325"/>
      <c r="E338" s="3247"/>
      <c r="F338" s="3340"/>
      <c r="G338" s="3244"/>
      <c r="H338" s="3304"/>
      <c r="I338" s="3564"/>
      <c r="J338" s="3565"/>
      <c r="K338" s="3566"/>
      <c r="L338" s="3251"/>
      <c r="M338" s="3325"/>
      <c r="N338" s="3342"/>
      <c r="O338" s="3564"/>
      <c r="P338" s="3574"/>
      <c r="Q338" s="3566"/>
      <c r="R338" s="3251"/>
      <c r="S338" s="3566"/>
      <c r="T338" s="3557"/>
      <c r="U338" s="3566"/>
      <c r="V338" s="3567"/>
      <c r="W338" s="2597"/>
      <c r="X338" s="3251"/>
      <c r="Y338" s="2597"/>
      <c r="Z338" s="3251"/>
      <c r="AA338" s="2597"/>
      <c r="AB338" s="3251"/>
      <c r="AC338" s="2597"/>
      <c r="AD338" s="3251"/>
      <c r="AE338" s="3325"/>
      <c r="AF338" s="3342"/>
      <c r="AG338" s="3343"/>
      <c r="AH338" s="3303"/>
      <c r="AI338" s="3244"/>
      <c r="AJ338" s="3302"/>
      <c r="AK338" s="3244"/>
      <c r="AL338" s="3303"/>
      <c r="AM338" s="3325"/>
      <c r="AN338" s="3015"/>
      <c r="AO338" s="3344"/>
      <c r="AP338" s="3325"/>
      <c r="AQ338" s="3303"/>
      <c r="AR338" s="3303"/>
    </row>
    <row r="339" spans="1:44" ht="12.75" customHeight="1">
      <c r="A339" s="3325"/>
      <c r="B339" s="3340"/>
      <c r="C339" s="3249"/>
      <c r="D339" s="3325"/>
      <c r="E339" s="3247"/>
      <c r="F339" s="3340"/>
      <c r="G339" s="3244"/>
      <c r="H339" s="3304"/>
      <c r="I339" s="3564"/>
      <c r="J339" s="3565"/>
      <c r="K339" s="3566"/>
      <c r="L339" s="3251"/>
      <c r="M339" s="3325"/>
      <c r="N339" s="3342"/>
      <c r="O339" s="3564"/>
      <c r="P339" s="3574"/>
      <c r="Q339" s="3566"/>
      <c r="R339" s="3251"/>
      <c r="S339" s="3566"/>
      <c r="T339" s="3557"/>
      <c r="U339" s="3566"/>
      <c r="V339" s="3567"/>
      <c r="W339" s="2597"/>
      <c r="X339" s="3251"/>
      <c r="Y339" s="2597"/>
      <c r="Z339" s="3251"/>
      <c r="AA339" s="2597"/>
      <c r="AB339" s="3251"/>
      <c r="AC339" s="2597"/>
      <c r="AD339" s="3251"/>
      <c r="AE339" s="3325"/>
      <c r="AF339" s="3342"/>
      <c r="AG339" s="3343"/>
      <c r="AH339" s="3303"/>
      <c r="AI339" s="3244"/>
      <c r="AJ339" s="3302"/>
      <c r="AK339" s="3244"/>
      <c r="AL339" s="3303"/>
      <c r="AM339" s="3325"/>
      <c r="AN339" s="3015"/>
      <c r="AO339" s="3344"/>
      <c r="AP339" s="3325"/>
      <c r="AQ339" s="3303"/>
      <c r="AR339" s="3303"/>
    </row>
    <row r="340" spans="1:44" ht="12.75" customHeight="1">
      <c r="A340" s="3325"/>
      <c r="B340" s="3340"/>
      <c r="C340" s="3249"/>
      <c r="D340" s="3325"/>
      <c r="E340" s="3247"/>
      <c r="F340" s="3340"/>
      <c r="G340" s="3244"/>
      <c r="H340" s="3304"/>
      <c r="I340" s="3564"/>
      <c r="J340" s="3565"/>
      <c r="K340" s="3566"/>
      <c r="L340" s="3251"/>
      <c r="M340" s="3325"/>
      <c r="N340" s="3342"/>
      <c r="O340" s="3564"/>
      <c r="P340" s="3574"/>
      <c r="Q340" s="3566"/>
      <c r="R340" s="3251"/>
      <c r="S340" s="3566"/>
      <c r="T340" s="3557"/>
      <c r="U340" s="3566"/>
      <c r="V340" s="3567"/>
      <c r="W340" s="2597"/>
      <c r="X340" s="3251"/>
      <c r="Y340" s="2597"/>
      <c r="Z340" s="3251"/>
      <c r="AA340" s="2597"/>
      <c r="AB340" s="3251"/>
      <c r="AC340" s="2597"/>
      <c r="AD340" s="3251"/>
      <c r="AE340" s="3325"/>
      <c r="AF340" s="3342"/>
      <c r="AG340" s="3343"/>
      <c r="AH340" s="3303"/>
      <c r="AI340" s="3244"/>
      <c r="AJ340" s="3302"/>
      <c r="AK340" s="3244"/>
      <c r="AL340" s="3303"/>
      <c r="AM340" s="3325"/>
      <c r="AN340" s="3015"/>
      <c r="AO340" s="3344"/>
      <c r="AP340" s="3325"/>
      <c r="AQ340" s="3303"/>
      <c r="AR340" s="3303"/>
    </row>
    <row r="341" spans="1:44" ht="12.75" customHeight="1">
      <c r="A341" s="3325"/>
      <c r="B341" s="3340"/>
      <c r="C341" s="3249"/>
      <c r="D341" s="3325"/>
      <c r="E341" s="3247"/>
      <c r="F341" s="3340"/>
      <c r="G341" s="3244"/>
      <c r="H341" s="3304"/>
      <c r="I341" s="3564"/>
      <c r="J341" s="3565"/>
      <c r="K341" s="3566"/>
      <c r="L341" s="3251"/>
      <c r="M341" s="3325"/>
      <c r="N341" s="3342"/>
      <c r="O341" s="3564"/>
      <c r="P341" s="3574"/>
      <c r="Q341" s="3566"/>
      <c r="R341" s="3251"/>
      <c r="S341" s="3566"/>
      <c r="T341" s="3557"/>
      <c r="U341" s="3566"/>
      <c r="V341" s="3567"/>
      <c r="W341" s="2597"/>
      <c r="X341" s="3251"/>
      <c r="Y341" s="2597"/>
      <c r="Z341" s="3251"/>
      <c r="AA341" s="2597"/>
      <c r="AB341" s="3251"/>
      <c r="AC341" s="2597"/>
      <c r="AD341" s="3251"/>
      <c r="AE341" s="3325"/>
      <c r="AF341" s="3342"/>
      <c r="AG341" s="3343"/>
      <c r="AH341" s="3303"/>
      <c r="AI341" s="3244"/>
      <c r="AJ341" s="3302"/>
      <c r="AK341" s="3244"/>
      <c r="AL341" s="3303"/>
      <c r="AM341" s="3325"/>
      <c r="AN341" s="3015"/>
      <c r="AO341" s="3344"/>
      <c r="AP341" s="3325"/>
      <c r="AQ341" s="3303"/>
      <c r="AR341" s="3303"/>
    </row>
    <row r="342" spans="1:44" ht="12.75" customHeight="1">
      <c r="A342" s="3325"/>
      <c r="B342" s="3340"/>
      <c r="C342" s="3249"/>
      <c r="D342" s="3325"/>
      <c r="E342" s="3247"/>
      <c r="F342" s="3340"/>
      <c r="G342" s="3244"/>
      <c r="H342" s="3304"/>
      <c r="I342" s="3564"/>
      <c r="J342" s="3565"/>
      <c r="K342" s="3566"/>
      <c r="L342" s="3251"/>
      <c r="M342" s="3325"/>
      <c r="N342" s="3342"/>
      <c r="O342" s="3564"/>
      <c r="P342" s="3574"/>
      <c r="Q342" s="3566"/>
      <c r="R342" s="3251"/>
      <c r="S342" s="3566"/>
      <c r="T342" s="3557"/>
      <c r="U342" s="3566"/>
      <c r="V342" s="3567"/>
      <c r="W342" s="2597"/>
      <c r="X342" s="3251"/>
      <c r="Y342" s="2597"/>
      <c r="Z342" s="3251"/>
      <c r="AA342" s="2597"/>
      <c r="AB342" s="3251"/>
      <c r="AC342" s="2597"/>
      <c r="AD342" s="3251"/>
      <c r="AE342" s="3325"/>
      <c r="AF342" s="3342"/>
      <c r="AG342" s="3343"/>
      <c r="AH342" s="3303"/>
      <c r="AI342" s="3244"/>
      <c r="AJ342" s="3302"/>
      <c r="AK342" s="3244"/>
      <c r="AL342" s="3303"/>
      <c r="AM342" s="3325"/>
      <c r="AN342" s="3015"/>
      <c r="AO342" s="3344"/>
      <c r="AP342" s="3325"/>
      <c r="AQ342" s="3303"/>
      <c r="AR342" s="3303"/>
    </row>
    <row r="343" spans="1:44" ht="12.75" customHeight="1">
      <c r="A343" s="3325"/>
      <c r="B343" s="3340"/>
      <c r="C343" s="3249"/>
      <c r="D343" s="3325"/>
      <c r="E343" s="3247"/>
      <c r="F343" s="3340"/>
      <c r="G343" s="3244"/>
      <c r="H343" s="3304"/>
      <c r="I343" s="3564"/>
      <c r="J343" s="3565"/>
      <c r="K343" s="3566"/>
      <c r="L343" s="3251"/>
      <c r="M343" s="3325"/>
      <c r="N343" s="3342"/>
      <c r="O343" s="3564"/>
      <c r="P343" s="3574"/>
      <c r="Q343" s="3566"/>
      <c r="R343" s="3251"/>
      <c r="S343" s="3566"/>
      <c r="T343" s="3557"/>
      <c r="U343" s="3566"/>
      <c r="V343" s="3567"/>
      <c r="W343" s="2597"/>
      <c r="X343" s="3251"/>
      <c r="Y343" s="2597"/>
      <c r="Z343" s="3251"/>
      <c r="AA343" s="2597"/>
      <c r="AB343" s="3251"/>
      <c r="AC343" s="2597"/>
      <c r="AD343" s="3251"/>
      <c r="AE343" s="3325"/>
      <c r="AF343" s="3342"/>
      <c r="AG343" s="3343"/>
      <c r="AH343" s="3303"/>
      <c r="AI343" s="3244"/>
      <c r="AJ343" s="3302"/>
      <c r="AK343" s="3244"/>
      <c r="AL343" s="3303"/>
      <c r="AM343" s="3325"/>
      <c r="AN343" s="3015"/>
      <c r="AO343" s="3344"/>
      <c r="AP343" s="3325"/>
      <c r="AQ343" s="3303"/>
      <c r="AR343" s="3303"/>
    </row>
    <row r="344" spans="1:44" ht="12.75" customHeight="1">
      <c r="A344" s="3325"/>
      <c r="B344" s="3340"/>
      <c r="C344" s="3249"/>
      <c r="D344" s="3325"/>
      <c r="E344" s="3247"/>
      <c r="F344" s="3340"/>
      <c r="G344" s="3244"/>
      <c r="H344" s="3304"/>
      <c r="I344" s="3564"/>
      <c r="J344" s="3565"/>
      <c r="K344" s="3566"/>
      <c r="L344" s="3251"/>
      <c r="M344" s="3325"/>
      <c r="N344" s="3342"/>
      <c r="O344" s="3564"/>
      <c r="P344" s="3574"/>
      <c r="Q344" s="3566"/>
      <c r="R344" s="3251"/>
      <c r="S344" s="3566"/>
      <c r="T344" s="3557"/>
      <c r="U344" s="3566"/>
      <c r="V344" s="3567"/>
      <c r="W344" s="2597"/>
      <c r="X344" s="3251"/>
      <c r="Y344" s="2597"/>
      <c r="Z344" s="3251"/>
      <c r="AA344" s="2597"/>
      <c r="AB344" s="3251"/>
      <c r="AC344" s="2597"/>
      <c r="AD344" s="3251"/>
      <c r="AE344" s="3325"/>
      <c r="AF344" s="3342"/>
      <c r="AG344" s="3343"/>
      <c r="AH344" s="3303"/>
      <c r="AI344" s="3244"/>
      <c r="AJ344" s="3302"/>
      <c r="AK344" s="3244"/>
      <c r="AL344" s="3303"/>
      <c r="AM344" s="3325"/>
      <c r="AN344" s="3015"/>
      <c r="AO344" s="3344"/>
      <c r="AP344" s="3325"/>
      <c r="AQ344" s="3303"/>
      <c r="AR344" s="3303"/>
    </row>
    <row r="345" spans="1:44" ht="12.75" customHeight="1">
      <c r="A345" s="3325"/>
      <c r="B345" s="3340"/>
      <c r="C345" s="3249"/>
      <c r="D345" s="3325"/>
      <c r="E345" s="3247"/>
      <c r="F345" s="3340"/>
      <c r="G345" s="3244"/>
      <c r="H345" s="3304"/>
      <c r="I345" s="3564"/>
      <c r="J345" s="3565"/>
      <c r="K345" s="3566"/>
      <c r="L345" s="3251"/>
      <c r="M345" s="3325"/>
      <c r="N345" s="3342"/>
      <c r="O345" s="3564"/>
      <c r="P345" s="3574"/>
      <c r="Q345" s="3566"/>
      <c r="R345" s="3251"/>
      <c r="S345" s="3566"/>
      <c r="T345" s="3557"/>
      <c r="U345" s="3566"/>
      <c r="V345" s="3567"/>
      <c r="W345" s="2597"/>
      <c r="X345" s="3251"/>
      <c r="Y345" s="2597"/>
      <c r="Z345" s="3251"/>
      <c r="AA345" s="2597"/>
      <c r="AB345" s="3251"/>
      <c r="AC345" s="2597"/>
      <c r="AD345" s="3251"/>
      <c r="AE345" s="3325"/>
      <c r="AF345" s="3342"/>
      <c r="AG345" s="3343"/>
      <c r="AH345" s="3303"/>
      <c r="AI345" s="3244"/>
      <c r="AJ345" s="3302"/>
      <c r="AK345" s="3244"/>
      <c r="AL345" s="3303"/>
      <c r="AM345" s="3325"/>
      <c r="AN345" s="3015"/>
      <c r="AO345" s="3344"/>
      <c r="AP345" s="3325"/>
      <c r="AQ345" s="3303"/>
      <c r="AR345" s="3303"/>
    </row>
    <row r="346" spans="1:44" ht="12.75" customHeight="1">
      <c r="A346" s="3325"/>
      <c r="B346" s="3340"/>
      <c r="C346" s="3249"/>
      <c r="D346" s="3325"/>
      <c r="E346" s="3247"/>
      <c r="F346" s="3340"/>
      <c r="G346" s="3244"/>
      <c r="H346" s="3304"/>
      <c r="I346" s="3564"/>
      <c r="J346" s="3565"/>
      <c r="K346" s="3566"/>
      <c r="L346" s="3251"/>
      <c r="M346" s="3325"/>
      <c r="N346" s="3342"/>
      <c r="O346" s="3564"/>
      <c r="P346" s="3574"/>
      <c r="Q346" s="3566"/>
      <c r="R346" s="3251"/>
      <c r="S346" s="3566"/>
      <c r="T346" s="3557"/>
      <c r="U346" s="3566"/>
      <c r="V346" s="3567"/>
      <c r="W346" s="2597"/>
      <c r="X346" s="3251"/>
      <c r="Y346" s="2597"/>
      <c r="Z346" s="3251"/>
      <c r="AA346" s="2597"/>
      <c r="AB346" s="3251"/>
      <c r="AC346" s="2597"/>
      <c r="AD346" s="3251"/>
      <c r="AE346" s="3325"/>
      <c r="AF346" s="3342"/>
      <c r="AG346" s="3343"/>
      <c r="AH346" s="3303"/>
      <c r="AI346" s="3244"/>
      <c r="AJ346" s="3302"/>
      <c r="AK346" s="3244"/>
      <c r="AL346" s="3303"/>
      <c r="AM346" s="3325"/>
      <c r="AN346" s="3015"/>
      <c r="AO346" s="3344"/>
      <c r="AP346" s="3325"/>
      <c r="AQ346" s="3303"/>
      <c r="AR346" s="3303"/>
    </row>
    <row r="347" spans="1:44" ht="12.75" customHeight="1">
      <c r="A347" s="3325"/>
      <c r="B347" s="3340"/>
      <c r="C347" s="3249"/>
      <c r="D347" s="3325"/>
      <c r="E347" s="3247"/>
      <c r="F347" s="3340"/>
      <c r="G347" s="3244"/>
      <c r="H347" s="3304"/>
      <c r="I347" s="3564"/>
      <c r="J347" s="3565"/>
      <c r="K347" s="3566"/>
      <c r="L347" s="3251"/>
      <c r="M347" s="3325"/>
      <c r="N347" s="3342"/>
      <c r="O347" s="3564"/>
      <c r="P347" s="3574"/>
      <c r="Q347" s="3566"/>
      <c r="R347" s="3251"/>
      <c r="S347" s="3566"/>
      <c r="T347" s="3557"/>
      <c r="U347" s="3566"/>
      <c r="V347" s="3567"/>
      <c r="W347" s="2597"/>
      <c r="X347" s="3251"/>
      <c r="Y347" s="2597"/>
      <c r="Z347" s="3251"/>
      <c r="AA347" s="2597"/>
      <c r="AB347" s="3251"/>
      <c r="AC347" s="2597"/>
      <c r="AD347" s="3251"/>
      <c r="AE347" s="3325"/>
      <c r="AF347" s="3342"/>
      <c r="AG347" s="3343"/>
      <c r="AH347" s="3303"/>
      <c r="AI347" s="3244"/>
      <c r="AJ347" s="3302"/>
      <c r="AK347" s="3244"/>
      <c r="AL347" s="3303"/>
      <c r="AM347" s="3325"/>
      <c r="AN347" s="3015"/>
      <c r="AO347" s="3344"/>
      <c r="AP347" s="3325"/>
      <c r="AQ347" s="3303"/>
      <c r="AR347" s="3303"/>
    </row>
    <row r="348" spans="1:44" ht="12.75" customHeight="1">
      <c r="A348" s="3325"/>
      <c r="B348" s="3340"/>
      <c r="C348" s="3249"/>
      <c r="D348" s="3325"/>
      <c r="E348" s="3247"/>
      <c r="F348" s="3340"/>
      <c r="G348" s="3244"/>
      <c r="H348" s="3304"/>
      <c r="I348" s="3564"/>
      <c r="J348" s="3565"/>
      <c r="K348" s="3566"/>
      <c r="L348" s="3251"/>
      <c r="M348" s="3325"/>
      <c r="N348" s="3342"/>
      <c r="O348" s="3564"/>
      <c r="P348" s="3574"/>
      <c r="Q348" s="3566"/>
      <c r="R348" s="3251"/>
      <c r="S348" s="3566"/>
      <c r="T348" s="3557"/>
      <c r="U348" s="3566"/>
      <c r="V348" s="3567"/>
      <c r="W348" s="2597"/>
      <c r="X348" s="3251"/>
      <c r="Y348" s="2597"/>
      <c r="Z348" s="3251"/>
      <c r="AA348" s="2597"/>
      <c r="AB348" s="3251"/>
      <c r="AC348" s="2597"/>
      <c r="AD348" s="3251"/>
      <c r="AE348" s="3325"/>
      <c r="AF348" s="3342"/>
      <c r="AG348" s="3343"/>
      <c r="AH348" s="3303"/>
      <c r="AI348" s="3244"/>
      <c r="AJ348" s="3302"/>
      <c r="AK348" s="3244"/>
      <c r="AL348" s="3303"/>
      <c r="AM348" s="3325"/>
      <c r="AN348" s="3015"/>
      <c r="AO348" s="3344"/>
      <c r="AP348" s="3325"/>
      <c r="AQ348" s="3303"/>
      <c r="AR348" s="3303"/>
    </row>
    <row r="349" spans="1:44" ht="12.75" customHeight="1">
      <c r="A349" s="3325"/>
      <c r="B349" s="3340"/>
      <c r="C349" s="3249"/>
      <c r="D349" s="3325"/>
      <c r="E349" s="3247"/>
      <c r="F349" s="3340"/>
      <c r="G349" s="3244"/>
      <c r="H349" s="3304"/>
      <c r="I349" s="3564"/>
      <c r="J349" s="3565"/>
      <c r="K349" s="3566"/>
      <c r="L349" s="3251"/>
      <c r="M349" s="3325"/>
      <c r="N349" s="3342"/>
      <c r="O349" s="3564"/>
      <c r="P349" s="3574"/>
      <c r="Q349" s="3566"/>
      <c r="R349" s="3251"/>
      <c r="S349" s="3566"/>
      <c r="T349" s="3557"/>
      <c r="U349" s="3566"/>
      <c r="V349" s="3567"/>
      <c r="W349" s="2597"/>
      <c r="X349" s="3251"/>
      <c r="Y349" s="2597"/>
      <c r="Z349" s="3251"/>
      <c r="AA349" s="2597"/>
      <c r="AB349" s="3251"/>
      <c r="AC349" s="2597"/>
      <c r="AD349" s="3251"/>
      <c r="AE349" s="3325"/>
      <c r="AF349" s="3342"/>
      <c r="AG349" s="3343"/>
      <c r="AH349" s="3303"/>
      <c r="AI349" s="3244"/>
      <c r="AJ349" s="3302"/>
      <c r="AK349" s="3244"/>
      <c r="AL349" s="3303"/>
      <c r="AM349" s="3325"/>
      <c r="AN349" s="3015"/>
      <c r="AO349" s="3344"/>
      <c r="AP349" s="3325"/>
      <c r="AQ349" s="3303"/>
      <c r="AR349" s="3303"/>
    </row>
    <row r="350" spans="1:44" ht="12.75" customHeight="1">
      <c r="A350" s="3325"/>
      <c r="B350" s="3340"/>
      <c r="C350" s="3249"/>
      <c r="D350" s="3325"/>
      <c r="E350" s="3247"/>
      <c r="F350" s="3340"/>
      <c r="G350" s="3244"/>
      <c r="H350" s="3304"/>
      <c r="I350" s="3564"/>
      <c r="J350" s="3565"/>
      <c r="K350" s="3566"/>
      <c r="L350" s="3251"/>
      <c r="M350" s="3325"/>
      <c r="N350" s="3342"/>
      <c r="O350" s="3564"/>
      <c r="P350" s="3574"/>
      <c r="Q350" s="3566"/>
      <c r="R350" s="3251"/>
      <c r="S350" s="3566"/>
      <c r="T350" s="3557"/>
      <c r="U350" s="3566"/>
      <c r="V350" s="3567"/>
      <c r="W350" s="2597"/>
      <c r="X350" s="3251"/>
      <c r="Y350" s="2597"/>
      <c r="Z350" s="3251"/>
      <c r="AA350" s="2597"/>
      <c r="AB350" s="3251"/>
      <c r="AC350" s="2597"/>
      <c r="AD350" s="3251"/>
      <c r="AE350" s="3325"/>
      <c r="AF350" s="3342"/>
      <c r="AG350" s="3343"/>
      <c r="AH350" s="3303"/>
      <c r="AI350" s="3244"/>
      <c r="AJ350" s="3302"/>
      <c r="AK350" s="3244"/>
      <c r="AL350" s="3303"/>
      <c r="AM350" s="3325"/>
      <c r="AN350" s="3015"/>
      <c r="AO350" s="3344"/>
      <c r="AP350" s="3325"/>
      <c r="AQ350" s="3303"/>
      <c r="AR350" s="3303"/>
    </row>
    <row r="351" spans="1:44" ht="12.75" customHeight="1">
      <c r="A351" s="3325"/>
      <c r="B351" s="3340"/>
      <c r="C351" s="3249"/>
      <c r="D351" s="3325"/>
      <c r="E351" s="3247"/>
      <c r="F351" s="3340"/>
      <c r="G351" s="3244"/>
      <c r="H351" s="3304"/>
      <c r="I351" s="3564"/>
      <c r="J351" s="3565"/>
      <c r="K351" s="3566"/>
      <c r="L351" s="3251"/>
      <c r="M351" s="3325"/>
      <c r="N351" s="3342"/>
      <c r="O351" s="3564"/>
      <c r="P351" s="3574"/>
      <c r="Q351" s="3566"/>
      <c r="R351" s="3251"/>
      <c r="S351" s="3566"/>
      <c r="T351" s="3557"/>
      <c r="U351" s="3566"/>
      <c r="V351" s="3567"/>
      <c r="W351" s="2597"/>
      <c r="X351" s="3251"/>
      <c r="Y351" s="2597"/>
      <c r="Z351" s="3251"/>
      <c r="AA351" s="2597"/>
      <c r="AB351" s="3251"/>
      <c r="AC351" s="2597"/>
      <c r="AD351" s="3251"/>
      <c r="AE351" s="3325"/>
      <c r="AF351" s="3342"/>
      <c r="AG351" s="3343"/>
      <c r="AH351" s="3305"/>
      <c r="AI351" s="3244"/>
      <c r="AJ351" s="3302"/>
      <c r="AK351" s="3244"/>
      <c r="AL351" s="3305"/>
      <c r="AM351" s="3325"/>
      <c r="AN351" s="3015"/>
      <c r="AO351" s="3344"/>
      <c r="AP351" s="3325"/>
      <c r="AQ351" s="3303"/>
      <c r="AR351" s="3303"/>
    </row>
    <row r="352" spans="1:44" ht="12.75" customHeight="1">
      <c r="A352" s="3325"/>
      <c r="B352" s="3340"/>
      <c r="C352" s="3249"/>
      <c r="D352" s="3325"/>
      <c r="E352" s="3247"/>
      <c r="F352" s="3340"/>
      <c r="G352" s="3244"/>
      <c r="H352" s="3304"/>
      <c r="I352" s="3564"/>
      <c r="J352" s="3565"/>
      <c r="K352" s="3566"/>
      <c r="L352" s="3251"/>
      <c r="M352" s="3325"/>
      <c r="N352" s="3342"/>
      <c r="O352" s="3564"/>
      <c r="P352" s="3574"/>
      <c r="Q352" s="3566"/>
      <c r="R352" s="3251"/>
      <c r="S352" s="3566"/>
      <c r="T352" s="3557"/>
      <c r="U352" s="3566"/>
      <c r="V352" s="3567"/>
      <c r="W352" s="2597"/>
      <c r="X352" s="3251"/>
      <c r="Y352" s="2597"/>
      <c r="Z352" s="3251"/>
      <c r="AA352" s="2597"/>
      <c r="AB352" s="3251"/>
      <c r="AC352" s="2597"/>
      <c r="AD352" s="3251"/>
      <c r="AE352" s="3325"/>
      <c r="AF352" s="3342"/>
      <c r="AG352" s="3343"/>
      <c r="AH352" s="3303"/>
      <c r="AI352" s="3244"/>
      <c r="AJ352" s="3302"/>
      <c r="AK352" s="3244"/>
      <c r="AL352" s="3303"/>
      <c r="AM352" s="3325"/>
      <c r="AN352" s="3015"/>
      <c r="AO352" s="3344"/>
      <c r="AP352" s="3325"/>
      <c r="AQ352" s="3303"/>
      <c r="AR352" s="3303"/>
    </row>
    <row r="353" spans="1:44" ht="12.75" customHeight="1">
      <c r="A353" s="3325"/>
      <c r="B353" s="3340"/>
      <c r="C353" s="3249"/>
      <c r="D353" s="3325"/>
      <c r="E353" s="3247"/>
      <c r="F353" s="3340"/>
      <c r="G353" s="3244"/>
      <c r="H353" s="3304"/>
      <c r="I353" s="3564"/>
      <c r="J353" s="3565"/>
      <c r="K353" s="3566"/>
      <c r="L353" s="3251"/>
      <c r="M353" s="3325"/>
      <c r="N353" s="3342"/>
      <c r="O353" s="3564"/>
      <c r="P353" s="3574"/>
      <c r="Q353" s="3566"/>
      <c r="R353" s="3251"/>
      <c r="S353" s="3566"/>
      <c r="T353" s="3557"/>
      <c r="U353" s="3566"/>
      <c r="V353" s="3567"/>
      <c r="W353" s="2597"/>
      <c r="X353" s="3251"/>
      <c r="Y353" s="2597"/>
      <c r="Z353" s="3251"/>
      <c r="AA353" s="2597"/>
      <c r="AB353" s="3251"/>
      <c r="AC353" s="2597"/>
      <c r="AD353" s="3251"/>
      <c r="AE353" s="3325"/>
      <c r="AF353" s="3342"/>
      <c r="AG353" s="3343"/>
      <c r="AH353" s="3303"/>
      <c r="AI353" s="3244"/>
      <c r="AJ353" s="3302"/>
      <c r="AK353" s="3244"/>
      <c r="AL353" s="3303"/>
      <c r="AM353" s="3325"/>
      <c r="AN353" s="3015"/>
      <c r="AO353" s="3344"/>
      <c r="AP353" s="3325"/>
      <c r="AQ353" s="3303"/>
      <c r="AR353" s="3303"/>
    </row>
    <row r="354" spans="1:44" ht="12.75" customHeight="1">
      <c r="A354" s="3325"/>
      <c r="B354" s="3340"/>
      <c r="C354" s="3249"/>
      <c r="D354" s="3325"/>
      <c r="E354" s="3247"/>
      <c r="F354" s="3340"/>
      <c r="G354" s="3244"/>
      <c r="H354" s="3304"/>
      <c r="I354" s="3564"/>
      <c r="J354" s="3565"/>
      <c r="K354" s="3566"/>
      <c r="L354" s="3251"/>
      <c r="M354" s="3325"/>
      <c r="N354" s="3342"/>
      <c r="O354" s="3564"/>
      <c r="P354" s="3574"/>
      <c r="Q354" s="3566"/>
      <c r="R354" s="3251"/>
      <c r="S354" s="3566"/>
      <c r="T354" s="3557"/>
      <c r="U354" s="3566"/>
      <c r="V354" s="3567"/>
      <c r="W354" s="2597"/>
      <c r="X354" s="3251"/>
      <c r="Y354" s="2597"/>
      <c r="Z354" s="3251"/>
      <c r="AA354" s="2597"/>
      <c r="AB354" s="3251"/>
      <c r="AC354" s="2597"/>
      <c r="AD354" s="3251"/>
      <c r="AE354" s="3325"/>
      <c r="AF354" s="3342"/>
      <c r="AG354" s="3343"/>
      <c r="AH354" s="3303"/>
      <c r="AI354" s="3244"/>
      <c r="AJ354" s="3302"/>
      <c r="AK354" s="3244"/>
      <c r="AL354" s="3303"/>
      <c r="AM354" s="3325"/>
      <c r="AN354" s="3015"/>
      <c r="AO354" s="3344"/>
      <c r="AP354" s="3325"/>
      <c r="AQ354" s="3303"/>
      <c r="AR354" s="3303"/>
    </row>
    <row r="355" spans="1:44" ht="12.75" customHeight="1">
      <c r="A355" s="3325"/>
      <c r="B355" s="3340"/>
      <c r="C355" s="3249"/>
      <c r="D355" s="3325"/>
      <c r="E355" s="3247"/>
      <c r="F355" s="3340"/>
      <c r="G355" s="3244"/>
      <c r="H355" s="3304"/>
      <c r="I355" s="3564"/>
      <c r="J355" s="3565"/>
      <c r="K355" s="3566"/>
      <c r="L355" s="3251"/>
      <c r="M355" s="3325"/>
      <c r="N355" s="3342"/>
      <c r="O355" s="3564"/>
      <c r="P355" s="3574"/>
      <c r="Q355" s="3566"/>
      <c r="R355" s="3251"/>
      <c r="S355" s="3566"/>
      <c r="T355" s="3557"/>
      <c r="U355" s="3566"/>
      <c r="V355" s="3567"/>
      <c r="W355" s="2597"/>
      <c r="X355" s="3251"/>
      <c r="Y355" s="2597"/>
      <c r="Z355" s="3251"/>
      <c r="AA355" s="2597"/>
      <c r="AB355" s="3251"/>
      <c r="AC355" s="2597"/>
      <c r="AD355" s="3251"/>
      <c r="AE355" s="3325"/>
      <c r="AF355" s="3342"/>
      <c r="AG355" s="3343"/>
      <c r="AH355" s="3305"/>
      <c r="AI355" s="3244"/>
      <c r="AJ355" s="3302"/>
      <c r="AK355" s="3244"/>
      <c r="AL355" s="3305"/>
      <c r="AM355" s="3325"/>
      <c r="AN355" s="3015"/>
      <c r="AO355" s="3344"/>
      <c r="AP355" s="3325"/>
      <c r="AQ355" s="3303"/>
      <c r="AR355" s="3303"/>
    </row>
    <row r="356" spans="1:44" ht="12.75" customHeight="1">
      <c r="A356" s="3325"/>
      <c r="B356" s="3340"/>
      <c r="C356" s="3249"/>
      <c r="D356" s="3325"/>
      <c r="E356" s="3247"/>
      <c r="F356" s="3340"/>
      <c r="G356" s="3244"/>
      <c r="H356" s="3304"/>
      <c r="I356" s="3564"/>
      <c r="J356" s="3565"/>
      <c r="K356" s="3566"/>
      <c r="L356" s="3251"/>
      <c r="M356" s="3325"/>
      <c r="N356" s="3342"/>
      <c r="O356" s="3564"/>
      <c r="P356" s="3574"/>
      <c r="Q356" s="3566"/>
      <c r="R356" s="3251"/>
      <c r="S356" s="3566"/>
      <c r="T356" s="3557"/>
      <c r="U356" s="3566"/>
      <c r="V356" s="3567"/>
      <c r="W356" s="2597"/>
      <c r="X356" s="3251"/>
      <c r="Y356" s="2597"/>
      <c r="Z356" s="3251"/>
      <c r="AA356" s="2597"/>
      <c r="AB356" s="3251"/>
      <c r="AC356" s="2597"/>
      <c r="AD356" s="3251"/>
      <c r="AE356" s="3325"/>
      <c r="AF356" s="3342"/>
      <c r="AG356" s="3343"/>
      <c r="AH356" s="3303"/>
      <c r="AI356" s="3244"/>
      <c r="AJ356" s="3302"/>
      <c r="AK356" s="3244"/>
      <c r="AL356" s="3303"/>
      <c r="AM356" s="3325"/>
      <c r="AN356" s="3015"/>
      <c r="AO356" s="3344"/>
      <c r="AP356" s="3325"/>
      <c r="AQ356" s="3303"/>
      <c r="AR356" s="3303"/>
    </row>
    <row r="357" spans="1:44" ht="12.75" customHeight="1">
      <c r="A357" s="3325"/>
      <c r="B357" s="3340"/>
      <c r="C357" s="3249"/>
      <c r="D357" s="3325"/>
      <c r="E357" s="3247"/>
      <c r="F357" s="3340"/>
      <c r="G357" s="3244"/>
      <c r="H357" s="3304"/>
      <c r="I357" s="3564"/>
      <c r="J357" s="3565"/>
      <c r="K357" s="3566"/>
      <c r="L357" s="3251"/>
      <c r="M357" s="3325"/>
      <c r="N357" s="3342"/>
      <c r="O357" s="3564"/>
      <c r="P357" s="3574"/>
      <c r="Q357" s="3566"/>
      <c r="R357" s="3251"/>
      <c r="S357" s="3566"/>
      <c r="T357" s="3557"/>
      <c r="U357" s="3566"/>
      <c r="V357" s="3567"/>
      <c r="W357" s="2597"/>
      <c r="X357" s="3251"/>
      <c r="Y357" s="2597"/>
      <c r="Z357" s="3251"/>
      <c r="AA357" s="2597"/>
      <c r="AB357" s="3251"/>
      <c r="AC357" s="2597"/>
      <c r="AD357" s="3251"/>
      <c r="AE357" s="3325"/>
      <c r="AF357" s="3342"/>
      <c r="AG357" s="3343"/>
      <c r="AH357" s="3303"/>
      <c r="AI357" s="3244"/>
      <c r="AJ357" s="3302"/>
      <c r="AK357" s="3244"/>
      <c r="AL357" s="3303"/>
      <c r="AM357" s="3325"/>
      <c r="AN357" s="3015"/>
      <c r="AO357" s="3344"/>
      <c r="AP357" s="3325"/>
      <c r="AQ357" s="3303"/>
      <c r="AR357" s="3303"/>
    </row>
    <row r="358" spans="1:44" ht="12.75" customHeight="1">
      <c r="A358" s="3325"/>
      <c r="B358" s="3340"/>
      <c r="C358" s="3249"/>
      <c r="D358" s="3325"/>
      <c r="E358" s="3247"/>
      <c r="F358" s="3340"/>
      <c r="G358" s="3244"/>
      <c r="H358" s="3304"/>
      <c r="I358" s="3564"/>
      <c r="J358" s="3565"/>
      <c r="K358" s="3566"/>
      <c r="L358" s="3251"/>
      <c r="M358" s="3325"/>
      <c r="N358" s="3342"/>
      <c r="O358" s="3564"/>
      <c r="P358" s="3574"/>
      <c r="Q358" s="3566"/>
      <c r="R358" s="3251"/>
      <c r="S358" s="3566"/>
      <c r="T358" s="3557"/>
      <c r="U358" s="3566"/>
      <c r="V358" s="3567"/>
      <c r="W358" s="2597"/>
      <c r="X358" s="3251"/>
      <c r="Y358" s="2597"/>
      <c r="Z358" s="3251"/>
      <c r="AA358" s="2597"/>
      <c r="AB358" s="3251"/>
      <c r="AC358" s="2597"/>
      <c r="AD358" s="3251"/>
      <c r="AE358" s="3325"/>
      <c r="AF358" s="3342"/>
      <c r="AG358" s="3343"/>
      <c r="AH358" s="3303"/>
      <c r="AI358" s="3244"/>
      <c r="AJ358" s="3302"/>
      <c r="AK358" s="3244"/>
      <c r="AL358" s="3303"/>
      <c r="AM358" s="3325"/>
      <c r="AN358" s="3015"/>
      <c r="AO358" s="3344"/>
      <c r="AP358" s="3325"/>
      <c r="AQ358" s="3303"/>
      <c r="AR358" s="3303"/>
    </row>
    <row r="359" spans="1:44" ht="12.75" customHeight="1">
      <c r="A359" s="3325"/>
      <c r="B359" s="3340"/>
      <c r="C359" s="3249"/>
      <c r="D359" s="3325"/>
      <c r="E359" s="3247"/>
      <c r="F359" s="3340"/>
      <c r="G359" s="3244"/>
      <c r="H359" s="3304"/>
      <c r="I359" s="3564"/>
      <c r="J359" s="3565"/>
      <c r="K359" s="3566"/>
      <c r="L359" s="3251"/>
      <c r="M359" s="3325"/>
      <c r="N359" s="3342"/>
      <c r="O359" s="3564"/>
      <c r="P359" s="3574"/>
      <c r="Q359" s="3566"/>
      <c r="R359" s="3251"/>
      <c r="S359" s="3566"/>
      <c r="T359" s="3557"/>
      <c r="U359" s="3566"/>
      <c r="V359" s="3567"/>
      <c r="W359" s="2597"/>
      <c r="X359" s="3251"/>
      <c r="Y359" s="2597"/>
      <c r="Z359" s="3251"/>
      <c r="AA359" s="2597"/>
      <c r="AB359" s="3251"/>
      <c r="AC359" s="2597"/>
      <c r="AD359" s="3251"/>
      <c r="AE359" s="3325"/>
      <c r="AF359" s="3342"/>
      <c r="AG359" s="3343"/>
      <c r="AH359" s="3303"/>
      <c r="AI359" s="3244"/>
      <c r="AJ359" s="3302"/>
      <c r="AK359" s="3244"/>
      <c r="AL359" s="3303"/>
      <c r="AM359" s="3325"/>
      <c r="AN359" s="3015"/>
      <c r="AO359" s="3344"/>
      <c r="AP359" s="3325"/>
      <c r="AQ359" s="3303"/>
      <c r="AR359" s="3303"/>
    </row>
    <row r="360" spans="1:44" ht="12.75" customHeight="1">
      <c r="A360" s="3325"/>
      <c r="B360" s="3340"/>
      <c r="C360" s="3249"/>
      <c r="D360" s="3325"/>
      <c r="E360" s="3247"/>
      <c r="F360" s="3340"/>
      <c r="G360" s="3244"/>
      <c r="H360" s="3304"/>
      <c r="I360" s="3564"/>
      <c r="J360" s="3565"/>
      <c r="K360" s="3566"/>
      <c r="L360" s="3251"/>
      <c r="M360" s="3325"/>
      <c r="N360" s="3342"/>
      <c r="O360" s="3564"/>
      <c r="P360" s="3574"/>
      <c r="Q360" s="3566"/>
      <c r="R360" s="3251"/>
      <c r="S360" s="3566"/>
      <c r="T360" s="3557"/>
      <c r="U360" s="3566"/>
      <c r="V360" s="3567"/>
      <c r="W360" s="2597"/>
      <c r="X360" s="3251"/>
      <c r="Y360" s="2597"/>
      <c r="Z360" s="3251"/>
      <c r="AA360" s="2597"/>
      <c r="AB360" s="3251"/>
      <c r="AC360" s="2597"/>
      <c r="AD360" s="3251"/>
      <c r="AE360" s="3325"/>
      <c r="AF360" s="3342"/>
      <c r="AG360" s="3343"/>
      <c r="AH360" s="3303"/>
      <c r="AI360" s="3244"/>
      <c r="AJ360" s="3302"/>
      <c r="AK360" s="3244"/>
      <c r="AL360" s="3303"/>
      <c r="AM360" s="3325"/>
      <c r="AN360" s="3015"/>
      <c r="AO360" s="3344"/>
      <c r="AP360" s="3325"/>
      <c r="AQ360" s="3303"/>
      <c r="AR360" s="3303"/>
    </row>
    <row r="361" spans="1:44" ht="12.75" customHeight="1">
      <c r="A361" s="3325"/>
      <c r="B361" s="3340"/>
      <c r="C361" s="3249"/>
      <c r="D361" s="3325"/>
      <c r="E361" s="3247"/>
      <c r="F361" s="3340"/>
      <c r="G361" s="3244"/>
      <c r="H361" s="3304"/>
      <c r="I361" s="3564"/>
      <c r="J361" s="3565"/>
      <c r="K361" s="3566"/>
      <c r="L361" s="3251"/>
      <c r="M361" s="3325"/>
      <c r="N361" s="3342"/>
      <c r="O361" s="3564"/>
      <c r="P361" s="3574"/>
      <c r="Q361" s="3566"/>
      <c r="R361" s="3251"/>
      <c r="S361" s="3566"/>
      <c r="T361" s="3557"/>
      <c r="U361" s="3566"/>
      <c r="V361" s="3567"/>
      <c r="W361" s="2597"/>
      <c r="X361" s="3251"/>
      <c r="Y361" s="2597"/>
      <c r="Z361" s="3251"/>
      <c r="AA361" s="2597"/>
      <c r="AB361" s="3251"/>
      <c r="AC361" s="2597"/>
      <c r="AD361" s="3251"/>
      <c r="AE361" s="3325"/>
      <c r="AF361" s="3342"/>
      <c r="AG361" s="3343"/>
      <c r="AH361" s="3303"/>
      <c r="AI361" s="3244"/>
      <c r="AJ361" s="3302"/>
      <c r="AK361" s="3244"/>
      <c r="AL361" s="3303"/>
      <c r="AM361" s="3325"/>
      <c r="AN361" s="3015"/>
      <c r="AO361" s="3344"/>
      <c r="AP361" s="3325"/>
      <c r="AQ361" s="3303"/>
      <c r="AR361" s="3303"/>
    </row>
    <row r="362" spans="1:44" ht="12.75" customHeight="1">
      <c r="A362" s="3325"/>
      <c r="B362" s="3340"/>
      <c r="C362" s="3249"/>
      <c r="D362" s="3325"/>
      <c r="E362" s="3247"/>
      <c r="F362" s="3340"/>
      <c r="G362" s="3244"/>
      <c r="H362" s="3304"/>
      <c r="I362" s="3564"/>
      <c r="J362" s="3565"/>
      <c r="K362" s="3566"/>
      <c r="L362" s="3251"/>
      <c r="M362" s="3325"/>
      <c r="N362" s="3342"/>
      <c r="O362" s="3564"/>
      <c r="P362" s="3574"/>
      <c r="Q362" s="3566"/>
      <c r="R362" s="3251"/>
      <c r="S362" s="3566"/>
      <c r="T362" s="3557"/>
      <c r="U362" s="3566"/>
      <c r="V362" s="3567"/>
      <c r="W362" s="2597"/>
      <c r="X362" s="3251"/>
      <c r="Y362" s="2597"/>
      <c r="Z362" s="3251"/>
      <c r="AA362" s="2597"/>
      <c r="AB362" s="3251"/>
      <c r="AC362" s="2597"/>
      <c r="AD362" s="3251"/>
      <c r="AE362" s="3325"/>
      <c r="AF362" s="3342"/>
      <c r="AG362" s="3343"/>
      <c r="AH362" s="3303"/>
      <c r="AI362" s="3244"/>
      <c r="AJ362" s="3302"/>
      <c r="AK362" s="3244"/>
      <c r="AL362" s="3303"/>
      <c r="AM362" s="3325"/>
      <c r="AN362" s="3015"/>
      <c r="AO362" s="3344"/>
      <c r="AP362" s="3325"/>
      <c r="AQ362" s="3303"/>
      <c r="AR362" s="3303"/>
    </row>
    <row r="363" spans="1:44" ht="12.75" customHeight="1">
      <c r="A363" s="3325"/>
      <c r="B363" s="3340"/>
      <c r="C363" s="3249"/>
      <c r="D363" s="3325"/>
      <c r="E363" s="3247"/>
      <c r="F363" s="3340"/>
      <c r="G363" s="3244"/>
      <c r="H363" s="3304"/>
      <c r="I363" s="3564"/>
      <c r="J363" s="3565"/>
      <c r="K363" s="3566"/>
      <c r="L363" s="3251"/>
      <c r="M363" s="3325"/>
      <c r="N363" s="3342"/>
      <c r="O363" s="3564"/>
      <c r="P363" s="3574"/>
      <c r="Q363" s="3566"/>
      <c r="R363" s="3251"/>
      <c r="S363" s="3566"/>
      <c r="T363" s="3557"/>
      <c r="U363" s="3566"/>
      <c r="V363" s="3567"/>
      <c r="W363" s="2597"/>
      <c r="X363" s="3251"/>
      <c r="Y363" s="2597"/>
      <c r="Z363" s="3251"/>
      <c r="AA363" s="2597"/>
      <c r="AB363" s="3251"/>
      <c r="AC363" s="2597"/>
      <c r="AD363" s="3251"/>
      <c r="AE363" s="3325"/>
      <c r="AF363" s="3342"/>
      <c r="AG363" s="3343"/>
      <c r="AH363" s="3303"/>
      <c r="AI363" s="3244"/>
      <c r="AJ363" s="3302"/>
      <c r="AK363" s="3244"/>
      <c r="AL363" s="3303"/>
      <c r="AM363" s="3325"/>
      <c r="AN363" s="3015"/>
      <c r="AO363" s="3344"/>
      <c r="AP363" s="3325"/>
      <c r="AQ363" s="3303"/>
      <c r="AR363" s="3303"/>
    </row>
    <row r="364" spans="1:44" ht="12.75" customHeight="1">
      <c r="A364" s="3325"/>
      <c r="B364" s="3340"/>
      <c r="C364" s="3249"/>
      <c r="D364" s="3325"/>
      <c r="E364" s="3247"/>
      <c r="F364" s="3340"/>
      <c r="G364" s="3244"/>
      <c r="H364" s="3304"/>
      <c r="I364" s="3564"/>
      <c r="J364" s="3565"/>
      <c r="K364" s="3566"/>
      <c r="L364" s="3251"/>
      <c r="M364" s="3325"/>
      <c r="N364" s="3342"/>
      <c r="O364" s="3564"/>
      <c r="P364" s="3574"/>
      <c r="Q364" s="3566"/>
      <c r="R364" s="3251"/>
      <c r="S364" s="3566"/>
      <c r="T364" s="3557"/>
      <c r="U364" s="3566"/>
      <c r="V364" s="3567"/>
      <c r="W364" s="2597"/>
      <c r="X364" s="3251"/>
      <c r="Y364" s="2597"/>
      <c r="Z364" s="3251"/>
      <c r="AA364" s="2597"/>
      <c r="AB364" s="3251"/>
      <c r="AC364" s="2597"/>
      <c r="AD364" s="3251"/>
      <c r="AE364" s="3325"/>
      <c r="AF364" s="3342"/>
      <c r="AG364" s="3343"/>
      <c r="AH364" s="3303"/>
      <c r="AI364" s="3244"/>
      <c r="AJ364" s="3302"/>
      <c r="AK364" s="3244"/>
      <c r="AL364" s="3303"/>
      <c r="AM364" s="3325"/>
      <c r="AN364" s="3015"/>
      <c r="AO364" s="3344"/>
      <c r="AP364" s="3325"/>
      <c r="AQ364" s="3303"/>
      <c r="AR364" s="3303"/>
    </row>
    <row r="365" spans="1:44" ht="12.75" customHeight="1">
      <c r="A365" s="3325"/>
      <c r="B365" s="3340"/>
      <c r="C365" s="3249"/>
      <c r="D365" s="3325"/>
      <c r="E365" s="3247"/>
      <c r="F365" s="3340"/>
      <c r="G365" s="3244"/>
      <c r="H365" s="3304"/>
      <c r="I365" s="3564"/>
      <c r="J365" s="3565"/>
      <c r="K365" s="3566"/>
      <c r="L365" s="3251"/>
      <c r="M365" s="3325"/>
      <c r="N365" s="3342"/>
      <c r="O365" s="3564"/>
      <c r="P365" s="3574"/>
      <c r="Q365" s="3566"/>
      <c r="R365" s="3251"/>
      <c r="S365" s="3566"/>
      <c r="T365" s="3557"/>
      <c r="U365" s="3566"/>
      <c r="V365" s="3567"/>
      <c r="W365" s="2597"/>
      <c r="X365" s="3251"/>
      <c r="Y365" s="2597"/>
      <c r="Z365" s="3251"/>
      <c r="AA365" s="2597"/>
      <c r="AB365" s="3251"/>
      <c r="AC365" s="2597"/>
      <c r="AD365" s="3251"/>
      <c r="AE365" s="3325"/>
      <c r="AF365" s="3342"/>
      <c r="AG365" s="3343"/>
      <c r="AH365" s="3303"/>
      <c r="AI365" s="3244"/>
      <c r="AJ365" s="3302"/>
      <c r="AK365" s="3244"/>
      <c r="AL365" s="3303"/>
      <c r="AM365" s="3325"/>
      <c r="AN365" s="3015"/>
      <c r="AO365" s="3344"/>
      <c r="AP365" s="3325"/>
      <c r="AQ365" s="3303"/>
      <c r="AR365" s="3303"/>
    </row>
    <row r="366" spans="1:44" ht="12.75" customHeight="1">
      <c r="A366" s="3325"/>
      <c r="B366" s="3340"/>
      <c r="C366" s="3249"/>
      <c r="D366" s="3325"/>
      <c r="E366" s="3247"/>
      <c r="F366" s="3340"/>
      <c r="G366" s="3244"/>
      <c r="H366" s="3304"/>
      <c r="I366" s="3564"/>
      <c r="J366" s="3565"/>
      <c r="K366" s="3566"/>
      <c r="L366" s="3251"/>
      <c r="M366" s="3325"/>
      <c r="N366" s="3342"/>
      <c r="O366" s="3564"/>
      <c r="P366" s="3574"/>
      <c r="Q366" s="3566"/>
      <c r="R366" s="3251"/>
      <c r="S366" s="3566"/>
      <c r="T366" s="3557"/>
      <c r="U366" s="3566"/>
      <c r="V366" s="3567"/>
      <c r="W366" s="2597"/>
      <c r="X366" s="3251"/>
      <c r="Y366" s="2597"/>
      <c r="Z366" s="3251"/>
      <c r="AA366" s="2597"/>
      <c r="AB366" s="3251"/>
      <c r="AC366" s="2597"/>
      <c r="AD366" s="3251"/>
      <c r="AE366" s="3325"/>
      <c r="AF366" s="3342"/>
      <c r="AG366" s="3343"/>
      <c r="AH366" s="3303"/>
      <c r="AI366" s="3244"/>
      <c r="AJ366" s="3302"/>
      <c r="AK366" s="3244"/>
      <c r="AL366" s="3303"/>
      <c r="AM366" s="3325"/>
      <c r="AN366" s="3015"/>
      <c r="AO366" s="3344"/>
      <c r="AP366" s="3325"/>
      <c r="AQ366" s="3303"/>
      <c r="AR366" s="3303"/>
    </row>
    <row r="367" spans="1:44" ht="12.75" customHeight="1">
      <c r="A367" s="3325"/>
      <c r="B367" s="3340"/>
      <c r="C367" s="3249"/>
      <c r="D367" s="3325"/>
      <c r="E367" s="3247"/>
      <c r="F367" s="3340"/>
      <c r="G367" s="3244"/>
      <c r="H367" s="3304"/>
      <c r="I367" s="3564"/>
      <c r="J367" s="3565"/>
      <c r="K367" s="3566"/>
      <c r="L367" s="3251"/>
      <c r="M367" s="3325"/>
      <c r="N367" s="3342"/>
      <c r="O367" s="3564"/>
      <c r="P367" s="3574"/>
      <c r="Q367" s="3566"/>
      <c r="R367" s="3251"/>
      <c r="S367" s="3566"/>
      <c r="T367" s="3557"/>
      <c r="U367" s="3566"/>
      <c r="V367" s="3567"/>
      <c r="W367" s="2597"/>
      <c r="X367" s="3251"/>
      <c r="Y367" s="2597"/>
      <c r="Z367" s="3251"/>
      <c r="AA367" s="2597"/>
      <c r="AB367" s="3251"/>
      <c r="AC367" s="2597"/>
      <c r="AD367" s="3251"/>
      <c r="AE367" s="3325"/>
      <c r="AF367" s="3342"/>
      <c r="AG367" s="3343"/>
      <c r="AH367" s="3303"/>
      <c r="AI367" s="3244"/>
      <c r="AJ367" s="3302"/>
      <c r="AK367" s="3244"/>
      <c r="AL367" s="3303"/>
      <c r="AM367" s="3325"/>
      <c r="AN367" s="3015"/>
      <c r="AO367" s="3344"/>
      <c r="AP367" s="3325"/>
      <c r="AQ367" s="3303"/>
      <c r="AR367" s="3303"/>
    </row>
    <row r="368" spans="1:44" ht="12.75" customHeight="1">
      <c r="A368" s="3325"/>
      <c r="B368" s="3340"/>
      <c r="C368" s="3249"/>
      <c r="D368" s="3325"/>
      <c r="E368" s="3247"/>
      <c r="F368" s="3340"/>
      <c r="G368" s="3244"/>
      <c r="H368" s="3304"/>
      <c r="I368" s="3564"/>
      <c r="J368" s="3565"/>
      <c r="K368" s="3566"/>
      <c r="L368" s="3251"/>
      <c r="M368" s="3325"/>
      <c r="N368" s="3342"/>
      <c r="O368" s="3564"/>
      <c r="P368" s="3574"/>
      <c r="Q368" s="3566"/>
      <c r="R368" s="3251"/>
      <c r="S368" s="3566"/>
      <c r="T368" s="3557"/>
      <c r="U368" s="3566"/>
      <c r="V368" s="3567"/>
      <c r="W368" s="2597"/>
      <c r="X368" s="3251"/>
      <c r="Y368" s="2597"/>
      <c r="Z368" s="3251"/>
      <c r="AA368" s="2597"/>
      <c r="AB368" s="3251"/>
      <c r="AC368" s="2597"/>
      <c r="AD368" s="3251"/>
      <c r="AE368" s="3325"/>
      <c r="AF368" s="3342"/>
      <c r="AG368" s="3343"/>
      <c r="AH368" s="3303"/>
      <c r="AI368" s="3244"/>
      <c r="AJ368" s="3302"/>
      <c r="AK368" s="3244"/>
      <c r="AL368" s="3303"/>
      <c r="AM368" s="3325"/>
      <c r="AN368" s="3015"/>
      <c r="AO368" s="3344"/>
      <c r="AP368" s="3325"/>
      <c r="AQ368" s="3303"/>
      <c r="AR368" s="3303"/>
    </row>
    <row r="369" spans="1:44" ht="12.75" customHeight="1">
      <c r="A369" s="3325"/>
      <c r="B369" s="3340"/>
      <c r="C369" s="3249"/>
      <c r="D369" s="3325"/>
      <c r="E369" s="3247"/>
      <c r="F369" s="3340"/>
      <c r="G369" s="3244"/>
      <c r="H369" s="3304"/>
      <c r="I369" s="3564"/>
      <c r="J369" s="3565"/>
      <c r="K369" s="3566"/>
      <c r="L369" s="3251"/>
      <c r="M369" s="3325"/>
      <c r="N369" s="3342"/>
      <c r="O369" s="3564"/>
      <c r="P369" s="3574"/>
      <c r="Q369" s="3566"/>
      <c r="R369" s="3251"/>
      <c r="S369" s="3566"/>
      <c r="T369" s="3557"/>
      <c r="U369" s="3566"/>
      <c r="V369" s="3567"/>
      <c r="W369" s="2597"/>
      <c r="X369" s="3251"/>
      <c r="Y369" s="2597"/>
      <c r="Z369" s="3251"/>
      <c r="AA369" s="2597"/>
      <c r="AB369" s="3251"/>
      <c r="AC369" s="2597"/>
      <c r="AD369" s="3251"/>
      <c r="AE369" s="3325"/>
      <c r="AF369" s="3342"/>
      <c r="AG369" s="3343"/>
      <c r="AH369" s="3303"/>
      <c r="AI369" s="3244"/>
      <c r="AJ369" s="3302"/>
      <c r="AK369" s="3244"/>
      <c r="AL369" s="3303"/>
      <c r="AM369" s="3325"/>
      <c r="AN369" s="3015"/>
      <c r="AO369" s="3344"/>
      <c r="AP369" s="3325"/>
      <c r="AQ369" s="3303"/>
      <c r="AR369" s="3303"/>
    </row>
    <row r="370" spans="1:44" ht="12.75" customHeight="1">
      <c r="A370" s="3325"/>
      <c r="B370" s="3340"/>
      <c r="C370" s="3249"/>
      <c r="D370" s="3325"/>
      <c r="E370" s="3247"/>
      <c r="F370" s="3340"/>
      <c r="G370" s="3244"/>
      <c r="H370" s="3304"/>
      <c r="I370" s="3564"/>
      <c r="J370" s="3565"/>
      <c r="K370" s="3566"/>
      <c r="L370" s="3251"/>
      <c r="M370" s="3325"/>
      <c r="N370" s="3342"/>
      <c r="O370" s="3564"/>
      <c r="P370" s="3574"/>
      <c r="Q370" s="3566"/>
      <c r="R370" s="3251"/>
      <c r="S370" s="3566"/>
      <c r="T370" s="3557"/>
      <c r="U370" s="3566"/>
      <c r="V370" s="3567"/>
      <c r="W370" s="2597"/>
      <c r="X370" s="3251"/>
      <c r="Y370" s="2597"/>
      <c r="Z370" s="3251"/>
      <c r="AA370" s="2597"/>
      <c r="AB370" s="3251"/>
      <c r="AC370" s="2597"/>
      <c r="AD370" s="3251"/>
      <c r="AE370" s="3325"/>
      <c r="AF370" s="3342"/>
      <c r="AG370" s="3343"/>
      <c r="AH370" s="3303"/>
      <c r="AI370" s="3244"/>
      <c r="AJ370" s="3302"/>
      <c r="AK370" s="3244"/>
      <c r="AL370" s="3303"/>
      <c r="AM370" s="3325"/>
      <c r="AN370" s="3015"/>
      <c r="AO370" s="3344"/>
      <c r="AP370" s="3325"/>
      <c r="AQ370" s="3303"/>
      <c r="AR370" s="3303"/>
    </row>
    <row r="371" spans="1:44" ht="12.75" customHeight="1">
      <c r="A371" s="3325"/>
      <c r="B371" s="3340"/>
      <c r="C371" s="3249"/>
      <c r="D371" s="3325"/>
      <c r="E371" s="3247"/>
      <c r="F371" s="3340"/>
      <c r="G371" s="3244"/>
      <c r="H371" s="3304"/>
      <c r="I371" s="3564"/>
      <c r="J371" s="3565"/>
      <c r="K371" s="3566"/>
      <c r="L371" s="3251"/>
      <c r="M371" s="3325"/>
      <c r="N371" s="3342"/>
      <c r="O371" s="3564"/>
      <c r="P371" s="3574"/>
      <c r="Q371" s="3566"/>
      <c r="R371" s="3251"/>
      <c r="S371" s="3566"/>
      <c r="T371" s="3557"/>
      <c r="U371" s="3566"/>
      <c r="V371" s="3567"/>
      <c r="W371" s="2597"/>
      <c r="X371" s="3251"/>
      <c r="Y371" s="2597"/>
      <c r="Z371" s="3251"/>
      <c r="AA371" s="2597"/>
      <c r="AB371" s="3251"/>
      <c r="AC371" s="2597"/>
      <c r="AD371" s="3251"/>
      <c r="AE371" s="3325"/>
      <c r="AF371" s="3342"/>
      <c r="AG371" s="3343"/>
      <c r="AH371" s="3303"/>
      <c r="AI371" s="3244"/>
      <c r="AJ371" s="3302"/>
      <c r="AK371" s="3244"/>
      <c r="AL371" s="3303"/>
      <c r="AM371" s="3325"/>
      <c r="AN371" s="3015"/>
      <c r="AO371" s="3344"/>
      <c r="AP371" s="3325"/>
      <c r="AQ371" s="3303"/>
      <c r="AR371" s="3303"/>
    </row>
    <row r="372" spans="1:44" ht="12.75" customHeight="1">
      <c r="A372" s="3325"/>
      <c r="B372" s="3340"/>
      <c r="C372" s="3249"/>
      <c r="D372" s="3325"/>
      <c r="E372" s="3247"/>
      <c r="F372" s="3340"/>
      <c r="G372" s="3244"/>
      <c r="H372" s="3304"/>
      <c r="I372" s="3564"/>
      <c r="J372" s="3565"/>
      <c r="K372" s="3566"/>
      <c r="L372" s="3251"/>
      <c r="M372" s="3325"/>
      <c r="N372" s="3342"/>
      <c r="O372" s="3564"/>
      <c r="P372" s="3574"/>
      <c r="Q372" s="3566"/>
      <c r="R372" s="3251"/>
      <c r="S372" s="3566"/>
      <c r="T372" s="3557"/>
      <c r="U372" s="3566"/>
      <c r="V372" s="3567"/>
      <c r="W372" s="2597"/>
      <c r="X372" s="3251"/>
      <c r="Y372" s="2597"/>
      <c r="Z372" s="3251"/>
      <c r="AA372" s="2597"/>
      <c r="AB372" s="3251"/>
      <c r="AC372" s="2597"/>
      <c r="AD372" s="3251"/>
      <c r="AE372" s="3325"/>
      <c r="AF372" s="3342"/>
      <c r="AG372" s="3343"/>
      <c r="AH372" s="3303"/>
      <c r="AI372" s="3244"/>
      <c r="AJ372" s="3302"/>
      <c r="AK372" s="3244"/>
      <c r="AL372" s="3303"/>
      <c r="AM372" s="3325"/>
      <c r="AN372" s="3015"/>
      <c r="AO372" s="3344"/>
      <c r="AP372" s="3325"/>
      <c r="AQ372" s="3303"/>
      <c r="AR372" s="3303"/>
    </row>
    <row r="373" spans="1:44" ht="12.75" customHeight="1">
      <c r="A373" s="3325"/>
      <c r="B373" s="3340"/>
      <c r="C373" s="3249"/>
      <c r="D373" s="3325"/>
      <c r="E373" s="3247"/>
      <c r="F373" s="3340"/>
      <c r="G373" s="3244"/>
      <c r="H373" s="3304"/>
      <c r="I373" s="3564"/>
      <c r="J373" s="3565"/>
      <c r="K373" s="3566"/>
      <c r="L373" s="3251"/>
      <c r="M373" s="3325"/>
      <c r="N373" s="3342"/>
      <c r="O373" s="3564"/>
      <c r="P373" s="3574"/>
      <c r="Q373" s="3566"/>
      <c r="R373" s="3251"/>
      <c r="S373" s="3566"/>
      <c r="T373" s="3557"/>
      <c r="U373" s="3566"/>
      <c r="V373" s="3567"/>
      <c r="W373" s="2597"/>
      <c r="X373" s="3251"/>
      <c r="Y373" s="2597"/>
      <c r="Z373" s="3251"/>
      <c r="AA373" s="2597"/>
      <c r="AB373" s="3251"/>
      <c r="AC373" s="2597"/>
      <c r="AD373" s="3251"/>
      <c r="AE373" s="3325"/>
      <c r="AF373" s="3342"/>
      <c r="AG373" s="3343"/>
      <c r="AH373" s="3303"/>
      <c r="AI373" s="3244"/>
      <c r="AJ373" s="3302"/>
      <c r="AK373" s="3244"/>
      <c r="AL373" s="3303"/>
      <c r="AM373" s="3325"/>
      <c r="AN373" s="3015"/>
      <c r="AO373" s="3344"/>
      <c r="AP373" s="3325"/>
      <c r="AQ373" s="3303"/>
      <c r="AR373" s="3303"/>
    </row>
    <row r="374" spans="1:44" ht="12.75" customHeight="1">
      <c r="A374" s="3325"/>
      <c r="B374" s="3340"/>
      <c r="C374" s="3249"/>
      <c r="D374" s="3325"/>
      <c r="E374" s="3247"/>
      <c r="F374" s="3340"/>
      <c r="G374" s="3244"/>
      <c r="H374" s="3304"/>
      <c r="I374" s="3564"/>
      <c r="J374" s="3565"/>
      <c r="K374" s="3566"/>
      <c r="L374" s="3251"/>
      <c r="M374" s="3325"/>
      <c r="N374" s="3342"/>
      <c r="O374" s="3564"/>
      <c r="P374" s="3574"/>
      <c r="Q374" s="3566"/>
      <c r="R374" s="3251"/>
      <c r="S374" s="3566"/>
      <c r="T374" s="3557"/>
      <c r="U374" s="3566"/>
      <c r="V374" s="3567"/>
      <c r="W374" s="2597"/>
      <c r="X374" s="3251"/>
      <c r="Y374" s="2597"/>
      <c r="Z374" s="3251"/>
      <c r="AA374" s="2597"/>
      <c r="AB374" s="3251"/>
      <c r="AC374" s="2597"/>
      <c r="AD374" s="3251"/>
      <c r="AE374" s="3325"/>
      <c r="AF374" s="3342"/>
      <c r="AG374" s="3343"/>
      <c r="AH374" s="3303"/>
      <c r="AI374" s="3244"/>
      <c r="AJ374" s="3302"/>
      <c r="AK374" s="3244"/>
      <c r="AL374" s="3303"/>
      <c r="AM374" s="3325"/>
      <c r="AN374" s="3015"/>
      <c r="AO374" s="3344"/>
      <c r="AP374" s="3325"/>
      <c r="AQ374" s="3303"/>
      <c r="AR374" s="3303"/>
    </row>
    <row r="375" spans="1:44" ht="12.75" customHeight="1">
      <c r="A375" s="3325"/>
      <c r="B375" s="3340"/>
      <c r="C375" s="3249"/>
      <c r="D375" s="3325"/>
      <c r="E375" s="3247"/>
      <c r="F375" s="3340"/>
      <c r="G375" s="3244"/>
      <c r="H375" s="3304"/>
      <c r="I375" s="3564"/>
      <c r="J375" s="3565"/>
      <c r="K375" s="3566"/>
      <c r="L375" s="3251"/>
      <c r="M375" s="3325"/>
      <c r="N375" s="3342"/>
      <c r="O375" s="3564"/>
      <c r="P375" s="3574"/>
      <c r="Q375" s="3566"/>
      <c r="R375" s="3251"/>
      <c r="S375" s="3566"/>
      <c r="T375" s="3557"/>
      <c r="U375" s="3566"/>
      <c r="V375" s="3567"/>
      <c r="W375" s="2597"/>
      <c r="X375" s="3251"/>
      <c r="Y375" s="2597"/>
      <c r="Z375" s="3251"/>
      <c r="AA375" s="2597"/>
      <c r="AB375" s="3251"/>
      <c r="AC375" s="2597"/>
      <c r="AD375" s="3251"/>
      <c r="AE375" s="3325"/>
      <c r="AF375" s="3342"/>
      <c r="AG375" s="3343"/>
      <c r="AH375" s="3303"/>
      <c r="AI375" s="3244"/>
      <c r="AJ375" s="3302"/>
      <c r="AK375" s="3244"/>
      <c r="AL375" s="3303"/>
      <c r="AM375" s="3325"/>
      <c r="AN375" s="3015"/>
      <c r="AO375" s="3344"/>
      <c r="AP375" s="3325"/>
      <c r="AQ375" s="3303"/>
      <c r="AR375" s="3303"/>
    </row>
    <row r="376" spans="1:44" ht="12.75" customHeight="1">
      <c r="A376" s="3325"/>
      <c r="B376" s="3340"/>
      <c r="C376" s="3249"/>
      <c r="D376" s="3325"/>
      <c r="E376" s="3247"/>
      <c r="F376" s="3340"/>
      <c r="G376" s="3244"/>
      <c r="H376" s="3304"/>
      <c r="I376" s="3564"/>
      <c r="J376" s="3565"/>
      <c r="K376" s="3566"/>
      <c r="L376" s="3251"/>
      <c r="M376" s="3325"/>
      <c r="N376" s="3342"/>
      <c r="O376" s="3564"/>
      <c r="P376" s="3574"/>
      <c r="Q376" s="3566"/>
      <c r="R376" s="3251"/>
      <c r="S376" s="3566"/>
      <c r="T376" s="3557"/>
      <c r="U376" s="3566"/>
      <c r="V376" s="3567"/>
      <c r="W376" s="2597"/>
      <c r="X376" s="3251"/>
      <c r="Y376" s="2597"/>
      <c r="Z376" s="3251"/>
      <c r="AA376" s="2597"/>
      <c r="AB376" s="3251"/>
      <c r="AC376" s="2597"/>
      <c r="AD376" s="3251"/>
      <c r="AE376" s="3325"/>
      <c r="AF376" s="3342"/>
      <c r="AG376" s="3343"/>
      <c r="AH376" s="3303"/>
      <c r="AI376" s="3244"/>
      <c r="AJ376" s="3302"/>
      <c r="AK376" s="3244"/>
      <c r="AL376" s="3303"/>
      <c r="AM376" s="3325"/>
      <c r="AN376" s="3015"/>
      <c r="AO376" s="3344"/>
      <c r="AP376" s="3325"/>
      <c r="AQ376" s="3303"/>
      <c r="AR376" s="3303"/>
    </row>
    <row r="377" spans="1:44" ht="12.75" customHeight="1">
      <c r="A377" s="3325"/>
      <c r="B377" s="3340"/>
      <c r="C377" s="3249"/>
      <c r="D377" s="3325"/>
      <c r="E377" s="3247"/>
      <c r="F377" s="3340"/>
      <c r="G377" s="3244"/>
      <c r="H377" s="3304"/>
      <c r="I377" s="3564"/>
      <c r="J377" s="3565"/>
      <c r="K377" s="3566"/>
      <c r="L377" s="3251"/>
      <c r="M377" s="3325"/>
      <c r="N377" s="3342"/>
      <c r="O377" s="3564"/>
      <c r="P377" s="3574"/>
      <c r="Q377" s="3566"/>
      <c r="R377" s="3251"/>
      <c r="S377" s="3566"/>
      <c r="T377" s="3557"/>
      <c r="U377" s="3566"/>
      <c r="V377" s="3567"/>
      <c r="W377" s="2597"/>
      <c r="X377" s="3251"/>
      <c r="Y377" s="2597"/>
      <c r="Z377" s="3251"/>
      <c r="AA377" s="2597"/>
      <c r="AB377" s="3251"/>
      <c r="AC377" s="2597"/>
      <c r="AD377" s="3251"/>
      <c r="AE377" s="3325"/>
      <c r="AF377" s="3342"/>
      <c r="AG377" s="3343"/>
      <c r="AH377" s="3303"/>
      <c r="AI377" s="3244"/>
      <c r="AJ377" s="3302"/>
      <c r="AK377" s="3244"/>
      <c r="AL377" s="3303"/>
      <c r="AM377" s="3325"/>
      <c r="AN377" s="3015"/>
      <c r="AO377" s="3344"/>
      <c r="AP377" s="3325"/>
      <c r="AQ377" s="3303"/>
      <c r="AR377" s="3303"/>
    </row>
    <row r="378" spans="1:44" ht="12.75" customHeight="1">
      <c r="A378" s="3325"/>
      <c r="B378" s="3340"/>
      <c r="C378" s="3249"/>
      <c r="D378" s="3325"/>
      <c r="E378" s="3247"/>
      <c r="F378" s="3340"/>
      <c r="G378" s="3244"/>
      <c r="H378" s="3304"/>
      <c r="I378" s="3564"/>
      <c r="J378" s="3565"/>
      <c r="K378" s="3566"/>
      <c r="L378" s="3251"/>
      <c r="M378" s="3325"/>
      <c r="N378" s="3342"/>
      <c r="O378" s="3564"/>
      <c r="P378" s="3574"/>
      <c r="Q378" s="3566"/>
      <c r="R378" s="3251"/>
      <c r="S378" s="3566"/>
      <c r="T378" s="3557"/>
      <c r="U378" s="3566"/>
      <c r="V378" s="3567"/>
      <c r="W378" s="2597"/>
      <c r="X378" s="3251"/>
      <c r="Y378" s="2597"/>
      <c r="Z378" s="3251"/>
      <c r="AA378" s="2597"/>
      <c r="AB378" s="3251"/>
      <c r="AC378" s="2597"/>
      <c r="AD378" s="3251"/>
      <c r="AE378" s="3325"/>
      <c r="AF378" s="3342"/>
      <c r="AG378" s="3343"/>
      <c r="AH378" s="3303"/>
      <c r="AI378" s="3244"/>
      <c r="AJ378" s="3302"/>
      <c r="AK378" s="3244"/>
      <c r="AL378" s="3303"/>
      <c r="AM378" s="3325"/>
      <c r="AN378" s="3015"/>
      <c r="AO378" s="3344"/>
      <c r="AP378" s="3325"/>
      <c r="AQ378" s="3303"/>
      <c r="AR378" s="3303"/>
    </row>
    <row r="379" spans="1:44" ht="12.75" customHeight="1">
      <c r="A379" s="3325"/>
      <c r="B379" s="3340"/>
      <c r="C379" s="3249"/>
      <c r="D379" s="3325"/>
      <c r="E379" s="3247"/>
      <c r="F379" s="3340"/>
      <c r="G379" s="3244"/>
      <c r="H379" s="3304"/>
      <c r="I379" s="3564"/>
      <c r="J379" s="3565"/>
      <c r="K379" s="3566"/>
      <c r="L379" s="3251"/>
      <c r="M379" s="3325"/>
      <c r="N379" s="3342"/>
      <c r="O379" s="3564"/>
      <c r="P379" s="3574"/>
      <c r="Q379" s="3566"/>
      <c r="R379" s="3251"/>
      <c r="S379" s="3566"/>
      <c r="T379" s="3557"/>
      <c r="U379" s="3566"/>
      <c r="V379" s="3567"/>
      <c r="W379" s="2597"/>
      <c r="X379" s="3251"/>
      <c r="Y379" s="2597"/>
      <c r="Z379" s="3251"/>
      <c r="AA379" s="2597"/>
      <c r="AB379" s="3251"/>
      <c r="AC379" s="2597"/>
      <c r="AD379" s="3251"/>
      <c r="AE379" s="3325"/>
      <c r="AF379" s="3342"/>
      <c r="AG379" s="3343"/>
      <c r="AH379" s="3303"/>
      <c r="AI379" s="3244"/>
      <c r="AJ379" s="3302"/>
      <c r="AK379" s="3244"/>
      <c r="AL379" s="3303"/>
      <c r="AM379" s="3325"/>
      <c r="AN379" s="3015"/>
      <c r="AO379" s="3344"/>
      <c r="AP379" s="3325"/>
      <c r="AQ379" s="3303"/>
      <c r="AR379" s="3303"/>
    </row>
    <row r="380" spans="1:44" ht="12.75" customHeight="1">
      <c r="A380" s="3325"/>
      <c r="B380" s="3340"/>
      <c r="C380" s="3249"/>
      <c r="D380" s="3325"/>
      <c r="E380" s="3247"/>
      <c r="F380" s="3340"/>
      <c r="G380" s="3244"/>
      <c r="H380" s="3304"/>
      <c r="I380" s="3564"/>
      <c r="J380" s="3565"/>
      <c r="K380" s="3566"/>
      <c r="L380" s="3251"/>
      <c r="M380" s="3325"/>
      <c r="N380" s="3342"/>
      <c r="O380" s="3564"/>
      <c r="P380" s="3574"/>
      <c r="Q380" s="3566"/>
      <c r="R380" s="3251"/>
      <c r="S380" s="3566"/>
      <c r="T380" s="3557"/>
      <c r="U380" s="3566"/>
      <c r="V380" s="3567"/>
      <c r="W380" s="2597"/>
      <c r="X380" s="3251"/>
      <c r="Y380" s="2597"/>
      <c r="Z380" s="3251"/>
      <c r="AA380" s="2597"/>
      <c r="AB380" s="3251"/>
      <c r="AC380" s="2597"/>
      <c r="AD380" s="3251"/>
      <c r="AE380" s="3325"/>
      <c r="AF380" s="3342"/>
      <c r="AG380" s="3343"/>
      <c r="AH380" s="3303"/>
      <c r="AI380" s="3244"/>
      <c r="AJ380" s="3302"/>
      <c r="AK380" s="3244"/>
      <c r="AL380" s="3303"/>
      <c r="AM380" s="3325"/>
      <c r="AN380" s="3015"/>
      <c r="AO380" s="3344"/>
      <c r="AP380" s="3325"/>
      <c r="AQ380" s="3303"/>
      <c r="AR380" s="3303"/>
    </row>
    <row r="381" spans="1:44" ht="12.75" customHeight="1">
      <c r="A381" s="3325"/>
      <c r="B381" s="3340"/>
      <c r="C381" s="3249"/>
      <c r="D381" s="3325"/>
      <c r="E381" s="3247"/>
      <c r="F381" s="3340"/>
      <c r="G381" s="3244"/>
      <c r="H381" s="3304"/>
      <c r="I381" s="3564"/>
      <c r="J381" s="3565"/>
      <c r="K381" s="3566"/>
      <c r="L381" s="3251"/>
      <c r="M381" s="3325"/>
      <c r="N381" s="3342"/>
      <c r="O381" s="3564"/>
      <c r="P381" s="3574"/>
      <c r="Q381" s="3566"/>
      <c r="R381" s="3251"/>
      <c r="S381" s="3566"/>
      <c r="T381" s="3557"/>
      <c r="U381" s="3566"/>
      <c r="V381" s="3567"/>
      <c r="W381" s="2597"/>
      <c r="X381" s="3251"/>
      <c r="Y381" s="2597"/>
      <c r="Z381" s="3251"/>
      <c r="AA381" s="2597"/>
      <c r="AB381" s="3251"/>
      <c r="AC381" s="2597"/>
      <c r="AD381" s="3251"/>
      <c r="AE381" s="3325"/>
      <c r="AF381" s="3342"/>
      <c r="AG381" s="3343"/>
      <c r="AH381" s="3303"/>
      <c r="AI381" s="3244"/>
      <c r="AJ381" s="3302"/>
      <c r="AK381" s="3244"/>
      <c r="AL381" s="3303"/>
      <c r="AM381" s="3325"/>
      <c r="AN381" s="3015"/>
      <c r="AO381" s="3344"/>
      <c r="AP381" s="3325"/>
      <c r="AQ381" s="3303"/>
      <c r="AR381" s="3303"/>
    </row>
    <row r="382" spans="1:44" ht="12.75" customHeight="1">
      <c r="A382" s="3325"/>
      <c r="B382" s="3340"/>
      <c r="C382" s="3249"/>
      <c r="D382" s="3325"/>
      <c r="E382" s="3247"/>
      <c r="F382" s="3340"/>
      <c r="G382" s="3244"/>
      <c r="H382" s="3304"/>
      <c r="I382" s="3564"/>
      <c r="J382" s="3565"/>
      <c r="K382" s="3566"/>
      <c r="L382" s="3251"/>
      <c r="M382" s="3325"/>
      <c r="N382" s="3342"/>
      <c r="O382" s="3564"/>
      <c r="P382" s="3574"/>
      <c r="Q382" s="3566"/>
      <c r="R382" s="3251"/>
      <c r="S382" s="3566"/>
      <c r="T382" s="3557"/>
      <c r="U382" s="3566"/>
      <c r="V382" s="3567"/>
      <c r="W382" s="2597"/>
      <c r="X382" s="3251"/>
      <c r="Y382" s="2597"/>
      <c r="Z382" s="3251"/>
      <c r="AA382" s="2597"/>
      <c r="AB382" s="3251"/>
      <c r="AC382" s="2597"/>
      <c r="AD382" s="3251"/>
      <c r="AE382" s="3325"/>
      <c r="AF382" s="3342"/>
      <c r="AG382" s="3343"/>
      <c r="AH382" s="3303"/>
      <c r="AI382" s="3244"/>
      <c r="AJ382" s="3302"/>
      <c r="AK382" s="3244"/>
      <c r="AL382" s="3303"/>
      <c r="AM382" s="3325"/>
      <c r="AN382" s="3015"/>
      <c r="AO382" s="3344"/>
      <c r="AP382" s="3325"/>
      <c r="AQ382" s="3303"/>
      <c r="AR382" s="3303"/>
    </row>
    <row r="383" spans="1:44" ht="12.75" customHeight="1">
      <c r="A383" s="3325"/>
      <c r="B383" s="3340"/>
      <c r="C383" s="3249"/>
      <c r="D383" s="3325"/>
      <c r="E383" s="3247"/>
      <c r="F383" s="3340"/>
      <c r="G383" s="3244"/>
      <c r="H383" s="3304"/>
      <c r="I383" s="3564"/>
      <c r="J383" s="3565"/>
      <c r="K383" s="3566"/>
      <c r="L383" s="3251"/>
      <c r="M383" s="3325"/>
      <c r="N383" s="3342"/>
      <c r="O383" s="3564"/>
      <c r="P383" s="3574"/>
      <c r="Q383" s="3566"/>
      <c r="R383" s="3251"/>
      <c r="S383" s="3566"/>
      <c r="T383" s="3557"/>
      <c r="U383" s="3566"/>
      <c r="V383" s="3567"/>
      <c r="W383" s="2597"/>
      <c r="X383" s="3251"/>
      <c r="Y383" s="2597"/>
      <c r="Z383" s="3251"/>
      <c r="AA383" s="2597"/>
      <c r="AB383" s="3251"/>
      <c r="AC383" s="2597"/>
      <c r="AD383" s="3251"/>
      <c r="AE383" s="3325"/>
      <c r="AF383" s="3342"/>
      <c r="AG383" s="3343"/>
      <c r="AH383" s="3303"/>
      <c r="AI383" s="3244"/>
      <c r="AJ383" s="3302"/>
      <c r="AK383" s="3244"/>
      <c r="AL383" s="3303"/>
      <c r="AM383" s="3325"/>
      <c r="AN383" s="3015"/>
      <c r="AO383" s="3344"/>
      <c r="AP383" s="3325"/>
      <c r="AQ383" s="3303"/>
      <c r="AR383" s="3303"/>
    </row>
    <row r="384" spans="1:44" ht="12.75" customHeight="1">
      <c r="A384" s="3325"/>
      <c r="B384" s="3340"/>
      <c r="C384" s="3249"/>
      <c r="D384" s="3325"/>
      <c r="E384" s="3247"/>
      <c r="F384" s="3340"/>
      <c r="G384" s="3244"/>
      <c r="H384" s="3304"/>
      <c r="I384" s="3564"/>
      <c r="J384" s="3565"/>
      <c r="K384" s="3566"/>
      <c r="L384" s="3251"/>
      <c r="M384" s="3325"/>
      <c r="N384" s="3342"/>
      <c r="O384" s="3564"/>
      <c r="P384" s="3574"/>
      <c r="Q384" s="3566"/>
      <c r="R384" s="3251"/>
      <c r="S384" s="3566"/>
      <c r="T384" s="3557"/>
      <c r="U384" s="3566"/>
      <c r="V384" s="3567"/>
      <c r="W384" s="2597"/>
      <c r="X384" s="3251"/>
      <c r="Y384" s="2597"/>
      <c r="Z384" s="3251"/>
      <c r="AA384" s="2597"/>
      <c r="AB384" s="3251"/>
      <c r="AC384" s="2597"/>
      <c r="AD384" s="3251"/>
      <c r="AE384" s="3325"/>
      <c r="AF384" s="3342"/>
      <c r="AG384" s="3343"/>
      <c r="AH384" s="3303"/>
      <c r="AI384" s="3244"/>
      <c r="AJ384" s="3302"/>
      <c r="AK384" s="3244"/>
      <c r="AL384" s="3303"/>
      <c r="AM384" s="3325"/>
      <c r="AN384" s="3015"/>
      <c r="AO384" s="3344"/>
      <c r="AP384" s="3325"/>
      <c r="AQ384" s="3303"/>
      <c r="AR384" s="3303"/>
    </row>
    <row r="385" spans="1:44" ht="12.75" customHeight="1">
      <c r="A385" s="3325"/>
      <c r="B385" s="3340"/>
      <c r="C385" s="3249"/>
      <c r="D385" s="3325"/>
      <c r="E385" s="3247"/>
      <c r="F385" s="3340"/>
      <c r="G385" s="3244"/>
      <c r="H385" s="3304"/>
      <c r="I385" s="3564"/>
      <c r="J385" s="3565"/>
      <c r="K385" s="3566"/>
      <c r="L385" s="3251"/>
      <c r="M385" s="3325"/>
      <c r="N385" s="3342"/>
      <c r="O385" s="3564"/>
      <c r="P385" s="3574"/>
      <c r="Q385" s="3566"/>
      <c r="R385" s="3251"/>
      <c r="S385" s="3566"/>
      <c r="T385" s="3557"/>
      <c r="U385" s="3566"/>
      <c r="V385" s="3567"/>
      <c r="W385" s="2597"/>
      <c r="X385" s="3251"/>
      <c r="Y385" s="2597"/>
      <c r="Z385" s="3251"/>
      <c r="AA385" s="2597"/>
      <c r="AB385" s="3251"/>
      <c r="AC385" s="2597"/>
      <c r="AD385" s="3251"/>
      <c r="AE385" s="3325"/>
      <c r="AF385" s="3342"/>
      <c r="AG385" s="3343"/>
      <c r="AH385" s="3303"/>
      <c r="AI385" s="3244"/>
      <c r="AJ385" s="3302"/>
      <c r="AK385" s="3244"/>
      <c r="AL385" s="3303"/>
      <c r="AM385" s="3325"/>
      <c r="AN385" s="3015"/>
      <c r="AO385" s="3344"/>
      <c r="AP385" s="3325"/>
      <c r="AQ385" s="3303"/>
      <c r="AR385" s="3303"/>
    </row>
    <row r="386" spans="1:44" ht="12.75" customHeight="1">
      <c r="A386" s="3325"/>
      <c r="B386" s="3340"/>
      <c r="C386" s="3249"/>
      <c r="D386" s="3325"/>
      <c r="E386" s="3247"/>
      <c r="F386" s="3340"/>
      <c r="G386" s="3244"/>
      <c r="H386" s="3304"/>
      <c r="I386" s="3564"/>
      <c r="J386" s="3565"/>
      <c r="K386" s="3566"/>
      <c r="L386" s="3251"/>
      <c r="M386" s="3325"/>
      <c r="N386" s="3342"/>
      <c r="O386" s="3564"/>
      <c r="P386" s="3574"/>
      <c r="Q386" s="3566"/>
      <c r="R386" s="3251"/>
      <c r="S386" s="3566"/>
      <c r="T386" s="3557"/>
      <c r="U386" s="3566"/>
      <c r="V386" s="3567"/>
      <c r="W386" s="2597"/>
      <c r="X386" s="3251"/>
      <c r="Y386" s="2597"/>
      <c r="Z386" s="3251"/>
      <c r="AA386" s="2597"/>
      <c r="AB386" s="3251"/>
      <c r="AC386" s="2597"/>
      <c r="AD386" s="3251"/>
      <c r="AE386" s="3325"/>
      <c r="AF386" s="3342"/>
      <c r="AG386" s="3343"/>
      <c r="AH386" s="3303"/>
      <c r="AI386" s="3244"/>
      <c r="AJ386" s="3302"/>
      <c r="AK386" s="3244"/>
      <c r="AL386" s="3303"/>
      <c r="AM386" s="3325"/>
      <c r="AN386" s="3015"/>
      <c r="AO386" s="3344"/>
      <c r="AP386" s="3325"/>
      <c r="AQ386" s="3303"/>
      <c r="AR386" s="3303"/>
    </row>
    <row r="387" spans="1:44" ht="12.75" customHeight="1">
      <c r="A387" s="3325"/>
      <c r="B387" s="3340"/>
      <c r="C387" s="3249"/>
      <c r="D387" s="3325"/>
      <c r="E387" s="3247"/>
      <c r="F387" s="3340"/>
      <c r="G387" s="3244"/>
      <c r="H387" s="3304"/>
      <c r="I387" s="3564"/>
      <c r="J387" s="3565"/>
      <c r="K387" s="3566"/>
      <c r="L387" s="3251"/>
      <c r="M387" s="3325"/>
      <c r="N387" s="3342"/>
      <c r="O387" s="3564"/>
      <c r="P387" s="3574"/>
      <c r="Q387" s="3566"/>
      <c r="R387" s="3251"/>
      <c r="S387" s="3566"/>
      <c r="T387" s="3557"/>
      <c r="U387" s="3566"/>
      <c r="V387" s="3567"/>
      <c r="W387" s="2597"/>
      <c r="X387" s="3251"/>
      <c r="Y387" s="2597"/>
      <c r="Z387" s="3251"/>
      <c r="AA387" s="2597"/>
      <c r="AB387" s="3251"/>
      <c r="AC387" s="2597"/>
      <c r="AD387" s="3251"/>
      <c r="AE387" s="3325"/>
      <c r="AF387" s="3342"/>
      <c r="AG387" s="3343"/>
      <c r="AH387" s="3303"/>
      <c r="AI387" s="3244"/>
      <c r="AJ387" s="3302"/>
      <c r="AK387" s="3244"/>
      <c r="AL387" s="3303"/>
      <c r="AM387" s="3325"/>
      <c r="AN387" s="3015"/>
      <c r="AO387" s="3344"/>
      <c r="AP387" s="3325"/>
      <c r="AQ387" s="3303"/>
      <c r="AR387" s="3303"/>
    </row>
    <row r="388" spans="1:44" ht="12.75" customHeight="1">
      <c r="A388" s="3325"/>
      <c r="B388" s="3340"/>
      <c r="C388" s="3249"/>
      <c r="D388" s="3325"/>
      <c r="E388" s="3247"/>
      <c r="F388" s="3340"/>
      <c r="G388" s="3244"/>
      <c r="H388" s="3304"/>
      <c r="I388" s="3564"/>
      <c r="J388" s="3565"/>
      <c r="K388" s="3566"/>
      <c r="L388" s="3251"/>
      <c r="M388" s="3325"/>
      <c r="N388" s="3342"/>
      <c r="O388" s="3564"/>
      <c r="P388" s="3574"/>
      <c r="Q388" s="3566"/>
      <c r="R388" s="3251"/>
      <c r="S388" s="3566"/>
      <c r="T388" s="3557"/>
      <c r="U388" s="3566"/>
      <c r="V388" s="3567"/>
      <c r="W388" s="2597"/>
      <c r="X388" s="3251"/>
      <c r="Y388" s="2597"/>
      <c r="Z388" s="3251"/>
      <c r="AA388" s="2597"/>
      <c r="AB388" s="3251"/>
      <c r="AC388" s="2597"/>
      <c r="AD388" s="3251"/>
      <c r="AE388" s="3325"/>
      <c r="AF388" s="3342"/>
      <c r="AG388" s="3343"/>
      <c r="AH388" s="3303"/>
      <c r="AI388" s="3244"/>
      <c r="AJ388" s="3302"/>
      <c r="AK388" s="3244"/>
      <c r="AL388" s="3303"/>
      <c r="AM388" s="3325"/>
      <c r="AN388" s="3015"/>
      <c r="AO388" s="3344"/>
      <c r="AP388" s="3325"/>
      <c r="AQ388" s="3303"/>
      <c r="AR388" s="3303"/>
    </row>
    <row r="389" spans="1:44" ht="12.75" customHeight="1">
      <c r="A389" s="3325"/>
      <c r="B389" s="3340"/>
      <c r="C389" s="3249"/>
      <c r="D389" s="3325"/>
      <c r="E389" s="3247"/>
      <c r="F389" s="3340"/>
      <c r="G389" s="3244"/>
      <c r="H389" s="3304"/>
      <c r="I389" s="3564"/>
      <c r="J389" s="3565"/>
      <c r="K389" s="3566"/>
      <c r="L389" s="3251"/>
      <c r="M389" s="3325"/>
      <c r="N389" s="3342"/>
      <c r="O389" s="3564"/>
      <c r="P389" s="3574"/>
      <c r="Q389" s="3566"/>
      <c r="R389" s="3251"/>
      <c r="S389" s="3566"/>
      <c r="T389" s="3557"/>
      <c r="U389" s="3566"/>
      <c r="V389" s="3567"/>
      <c r="W389" s="2597"/>
      <c r="X389" s="3251"/>
      <c r="Y389" s="2597"/>
      <c r="Z389" s="3251"/>
      <c r="AA389" s="2597"/>
      <c r="AB389" s="3251"/>
      <c r="AC389" s="2597"/>
      <c r="AD389" s="3251"/>
      <c r="AE389" s="3325"/>
      <c r="AF389" s="3342"/>
      <c r="AG389" s="3343"/>
      <c r="AH389" s="3303"/>
      <c r="AI389" s="3244"/>
      <c r="AJ389" s="3302"/>
      <c r="AK389" s="3244"/>
      <c r="AL389" s="3303"/>
      <c r="AM389" s="3325"/>
      <c r="AN389" s="3015"/>
      <c r="AO389" s="3344"/>
      <c r="AP389" s="3325"/>
      <c r="AQ389" s="3303"/>
      <c r="AR389" s="3303"/>
    </row>
    <row r="390" spans="1:44" ht="12.75" customHeight="1">
      <c r="A390" s="3325"/>
      <c r="B390" s="3340"/>
      <c r="C390" s="3249"/>
      <c r="D390" s="3325"/>
      <c r="E390" s="3247"/>
      <c r="F390" s="3340"/>
      <c r="G390" s="3244"/>
      <c r="H390" s="3304"/>
      <c r="I390" s="3564"/>
      <c r="J390" s="3565"/>
      <c r="K390" s="3566"/>
      <c r="L390" s="3251"/>
      <c r="M390" s="3325"/>
      <c r="N390" s="3342"/>
      <c r="O390" s="3564"/>
      <c r="P390" s="3574"/>
      <c r="Q390" s="3566"/>
      <c r="R390" s="3251"/>
      <c r="S390" s="3566"/>
      <c r="T390" s="3557"/>
      <c r="U390" s="3566"/>
      <c r="V390" s="3567"/>
      <c r="W390" s="2597"/>
      <c r="X390" s="3251"/>
      <c r="Y390" s="2597"/>
      <c r="Z390" s="3251"/>
      <c r="AA390" s="2597"/>
      <c r="AB390" s="3251"/>
      <c r="AC390" s="2597"/>
      <c r="AD390" s="3251"/>
      <c r="AE390" s="3325"/>
      <c r="AF390" s="3342"/>
      <c r="AG390" s="3343"/>
      <c r="AH390" s="3303"/>
      <c r="AI390" s="3244"/>
      <c r="AJ390" s="3302"/>
      <c r="AK390" s="3244"/>
      <c r="AL390" s="3303"/>
      <c r="AM390" s="3325"/>
      <c r="AN390" s="3015"/>
      <c r="AO390" s="3344"/>
      <c r="AP390" s="3325"/>
      <c r="AQ390" s="3303"/>
      <c r="AR390" s="3303"/>
    </row>
    <row r="391" spans="1:44" ht="12.75" customHeight="1">
      <c r="A391" s="3325"/>
      <c r="B391" s="3340"/>
      <c r="C391" s="3249"/>
      <c r="D391" s="3325"/>
      <c r="E391" s="3247"/>
      <c r="F391" s="3340"/>
      <c r="G391" s="3244"/>
      <c r="H391" s="3304"/>
      <c r="I391" s="3564"/>
      <c r="J391" s="3565"/>
      <c r="K391" s="3566"/>
      <c r="L391" s="3251"/>
      <c r="M391" s="3325"/>
      <c r="N391" s="3342"/>
      <c r="O391" s="3564"/>
      <c r="P391" s="3574"/>
      <c r="Q391" s="3566"/>
      <c r="R391" s="3251"/>
      <c r="S391" s="3566"/>
      <c r="T391" s="3557"/>
      <c r="U391" s="3566"/>
      <c r="V391" s="3567"/>
      <c r="W391" s="2597"/>
      <c r="X391" s="3251"/>
      <c r="Y391" s="2597"/>
      <c r="Z391" s="3251"/>
      <c r="AA391" s="2597"/>
      <c r="AB391" s="3251"/>
      <c r="AC391" s="2597"/>
      <c r="AD391" s="3251"/>
      <c r="AE391" s="3325"/>
      <c r="AF391" s="3342"/>
      <c r="AG391" s="3343"/>
      <c r="AH391" s="3303"/>
      <c r="AI391" s="3244"/>
      <c r="AJ391" s="3302"/>
      <c r="AK391" s="3244"/>
      <c r="AL391" s="3303"/>
      <c r="AM391" s="3325"/>
      <c r="AN391" s="3015"/>
      <c r="AO391" s="3344"/>
      <c r="AP391" s="3325"/>
      <c r="AQ391" s="3303"/>
      <c r="AR391" s="3303"/>
    </row>
    <row r="392" spans="1:44" ht="12.75" customHeight="1">
      <c r="A392" s="3325"/>
      <c r="B392" s="3340"/>
      <c r="C392" s="3249"/>
      <c r="D392" s="3325"/>
      <c r="E392" s="3247"/>
      <c r="F392" s="3340"/>
      <c r="G392" s="3244"/>
      <c r="H392" s="3304"/>
      <c r="I392" s="3564"/>
      <c r="J392" s="3565"/>
      <c r="K392" s="3566"/>
      <c r="L392" s="3251"/>
      <c r="M392" s="3325"/>
      <c r="N392" s="3342"/>
      <c r="O392" s="3564"/>
      <c r="P392" s="3574"/>
      <c r="Q392" s="3566"/>
      <c r="R392" s="3251"/>
      <c r="S392" s="3566"/>
      <c r="T392" s="3557"/>
      <c r="U392" s="3566"/>
      <c r="V392" s="3567"/>
      <c r="W392" s="2597"/>
      <c r="X392" s="3251"/>
      <c r="Y392" s="2597"/>
      <c r="Z392" s="3251"/>
      <c r="AA392" s="2597"/>
      <c r="AB392" s="3251"/>
      <c r="AC392" s="2597"/>
      <c r="AD392" s="3251"/>
      <c r="AE392" s="3325"/>
      <c r="AF392" s="3342"/>
      <c r="AG392" s="3343"/>
      <c r="AH392" s="3303"/>
      <c r="AI392" s="3244"/>
      <c r="AJ392" s="3302"/>
      <c r="AK392" s="3244"/>
      <c r="AL392" s="3303"/>
      <c r="AM392" s="3325"/>
      <c r="AN392" s="3015"/>
      <c r="AO392" s="3344"/>
      <c r="AP392" s="3325"/>
      <c r="AQ392" s="3303"/>
      <c r="AR392" s="3303"/>
    </row>
    <row r="393" spans="1:44" ht="12.75" customHeight="1">
      <c r="A393" s="3325"/>
      <c r="B393" s="3340"/>
      <c r="C393" s="3249"/>
      <c r="D393" s="3325"/>
      <c r="E393" s="3247"/>
      <c r="F393" s="3340"/>
      <c r="G393" s="3244"/>
      <c r="H393" s="3304"/>
      <c r="I393" s="3564"/>
      <c r="J393" s="3565"/>
      <c r="K393" s="3566"/>
      <c r="L393" s="3251"/>
      <c r="M393" s="3325"/>
      <c r="N393" s="3342"/>
      <c r="O393" s="3564"/>
      <c r="P393" s="3574"/>
      <c r="Q393" s="3566"/>
      <c r="R393" s="3251"/>
      <c r="S393" s="3566"/>
      <c r="T393" s="3557"/>
      <c r="U393" s="3566"/>
      <c r="V393" s="3567"/>
      <c r="W393" s="2597"/>
      <c r="X393" s="3251"/>
      <c r="Y393" s="2597"/>
      <c r="Z393" s="3251"/>
      <c r="AA393" s="2597"/>
      <c r="AB393" s="3251"/>
      <c r="AC393" s="2597"/>
      <c r="AD393" s="3251"/>
      <c r="AE393" s="3325"/>
      <c r="AF393" s="3342"/>
      <c r="AG393" s="3343"/>
      <c r="AH393" s="3303"/>
      <c r="AI393" s="3244"/>
      <c r="AJ393" s="3302"/>
      <c r="AK393" s="3244"/>
      <c r="AL393" s="3303"/>
      <c r="AM393" s="3325"/>
      <c r="AN393" s="3015"/>
      <c r="AO393" s="3344"/>
      <c r="AP393" s="3325"/>
      <c r="AQ393" s="3303"/>
      <c r="AR393" s="3303"/>
    </row>
    <row r="394" spans="1:44" ht="12.75" customHeight="1">
      <c r="A394" s="3325"/>
      <c r="B394" s="3340"/>
      <c r="C394" s="3249"/>
      <c r="D394" s="3325"/>
      <c r="E394" s="3247"/>
      <c r="F394" s="3340"/>
      <c r="G394" s="3244"/>
      <c r="H394" s="3304"/>
      <c r="I394" s="3564"/>
      <c r="J394" s="3565"/>
      <c r="K394" s="3566"/>
      <c r="L394" s="3251"/>
      <c r="M394" s="3325"/>
      <c r="N394" s="3342"/>
      <c r="O394" s="3564"/>
      <c r="P394" s="3574"/>
      <c r="Q394" s="3566"/>
      <c r="R394" s="3251"/>
      <c r="S394" s="3566"/>
      <c r="T394" s="3557"/>
      <c r="U394" s="3566"/>
      <c r="V394" s="3567"/>
      <c r="W394" s="2597"/>
      <c r="X394" s="3251"/>
      <c r="Y394" s="2597"/>
      <c r="Z394" s="3251"/>
      <c r="AA394" s="2597"/>
      <c r="AB394" s="3251"/>
      <c r="AC394" s="2597"/>
      <c r="AD394" s="3251"/>
      <c r="AE394" s="3325"/>
      <c r="AF394" s="3342"/>
      <c r="AG394" s="3343"/>
      <c r="AH394" s="3303"/>
      <c r="AI394" s="3244"/>
      <c r="AJ394" s="3302"/>
      <c r="AK394" s="3244"/>
      <c r="AL394" s="3303"/>
      <c r="AM394" s="3325"/>
      <c r="AN394" s="3015"/>
      <c r="AO394" s="3344"/>
      <c r="AP394" s="3325"/>
      <c r="AQ394" s="3303"/>
      <c r="AR394" s="3303"/>
    </row>
    <row r="395" spans="1:44" ht="12.75" customHeight="1">
      <c r="A395" s="3325"/>
      <c r="B395" s="3340"/>
      <c r="C395" s="3249"/>
      <c r="D395" s="3325"/>
      <c r="E395" s="3247"/>
      <c r="F395" s="3340"/>
      <c r="G395" s="3244"/>
      <c r="H395" s="3304"/>
      <c r="I395" s="3564"/>
      <c r="J395" s="3565"/>
      <c r="K395" s="3566"/>
      <c r="L395" s="3251"/>
      <c r="M395" s="3325"/>
      <c r="N395" s="3342"/>
      <c r="O395" s="3564"/>
      <c r="P395" s="3574"/>
      <c r="Q395" s="3566"/>
      <c r="R395" s="3251"/>
      <c r="S395" s="3566"/>
      <c r="T395" s="3557"/>
      <c r="U395" s="3566"/>
      <c r="V395" s="3567"/>
      <c r="W395" s="2597"/>
      <c r="X395" s="3251"/>
      <c r="Y395" s="2597"/>
      <c r="Z395" s="3251"/>
      <c r="AA395" s="2597"/>
      <c r="AB395" s="3251"/>
      <c r="AC395" s="2597"/>
      <c r="AD395" s="3251"/>
      <c r="AE395" s="3325"/>
      <c r="AF395" s="3342"/>
      <c r="AG395" s="3343"/>
      <c r="AH395" s="3303"/>
      <c r="AI395" s="3244"/>
      <c r="AJ395" s="3302"/>
      <c r="AK395" s="3244"/>
      <c r="AL395" s="3303"/>
      <c r="AM395" s="3325"/>
      <c r="AN395" s="3015"/>
      <c r="AO395" s="3344"/>
      <c r="AP395" s="3325"/>
      <c r="AQ395" s="3303"/>
      <c r="AR395" s="3303"/>
    </row>
    <row r="396" spans="1:44" ht="12.75" customHeight="1">
      <c r="A396" s="3325"/>
      <c r="B396" s="3340"/>
      <c r="C396" s="3249"/>
      <c r="D396" s="3325"/>
      <c r="E396" s="3247"/>
      <c r="F396" s="3340"/>
      <c r="G396" s="3244"/>
      <c r="H396" s="3304"/>
      <c r="I396" s="3564"/>
      <c r="J396" s="3565"/>
      <c r="K396" s="3566"/>
      <c r="L396" s="3251"/>
      <c r="M396" s="3325"/>
      <c r="N396" s="3342"/>
      <c r="O396" s="3564"/>
      <c r="P396" s="3574"/>
      <c r="Q396" s="3566"/>
      <c r="R396" s="3251"/>
      <c r="S396" s="3566"/>
      <c r="T396" s="3557"/>
      <c r="U396" s="3566"/>
      <c r="V396" s="3567"/>
      <c r="W396" s="2597"/>
      <c r="X396" s="3251"/>
      <c r="Y396" s="2597"/>
      <c r="Z396" s="3251"/>
      <c r="AA396" s="2597"/>
      <c r="AB396" s="3251"/>
      <c r="AC396" s="2597"/>
      <c r="AD396" s="3251"/>
      <c r="AE396" s="3325"/>
      <c r="AF396" s="3342"/>
      <c r="AG396" s="3343"/>
      <c r="AH396" s="3303"/>
      <c r="AI396" s="3244"/>
      <c r="AJ396" s="3302"/>
      <c r="AK396" s="3244"/>
      <c r="AL396" s="3303"/>
      <c r="AM396" s="3325"/>
      <c r="AN396" s="3015"/>
      <c r="AO396" s="3344"/>
      <c r="AP396" s="3325"/>
      <c r="AQ396" s="3303"/>
      <c r="AR396" s="3303"/>
    </row>
    <row r="397" spans="1:44" ht="12.75" customHeight="1">
      <c r="A397" s="3325"/>
      <c r="B397" s="3340"/>
      <c r="C397" s="3249"/>
      <c r="D397" s="3325"/>
      <c r="E397" s="3247"/>
      <c r="F397" s="3340"/>
      <c r="G397" s="3244"/>
      <c r="H397" s="3304"/>
      <c r="I397" s="3564"/>
      <c r="J397" s="3565"/>
      <c r="K397" s="3566"/>
      <c r="L397" s="3251"/>
      <c r="M397" s="3325"/>
      <c r="N397" s="3342"/>
      <c r="O397" s="3564"/>
      <c r="P397" s="3574"/>
      <c r="Q397" s="3566"/>
      <c r="R397" s="3251"/>
      <c r="S397" s="3566"/>
      <c r="T397" s="3557"/>
      <c r="U397" s="3566"/>
      <c r="V397" s="3567"/>
      <c r="W397" s="2597"/>
      <c r="X397" s="3251"/>
      <c r="Y397" s="2597"/>
      <c r="Z397" s="3251"/>
      <c r="AA397" s="2597"/>
      <c r="AB397" s="3251"/>
      <c r="AC397" s="2597"/>
      <c r="AD397" s="3251"/>
      <c r="AE397" s="3325"/>
      <c r="AF397" s="3342"/>
      <c r="AG397" s="3343"/>
      <c r="AH397" s="3303"/>
      <c r="AI397" s="3244"/>
      <c r="AJ397" s="3302"/>
      <c r="AK397" s="3244"/>
      <c r="AL397" s="3303"/>
      <c r="AM397" s="3325"/>
      <c r="AN397" s="3015"/>
      <c r="AO397" s="3344"/>
      <c r="AP397" s="3325"/>
      <c r="AQ397" s="3303"/>
      <c r="AR397" s="3303"/>
    </row>
    <row r="398" spans="1:44" ht="12.75" customHeight="1">
      <c r="A398" s="3325"/>
      <c r="B398" s="3340"/>
      <c r="C398" s="3249"/>
      <c r="D398" s="3325"/>
      <c r="E398" s="3247"/>
      <c r="F398" s="3340"/>
      <c r="G398" s="3244"/>
      <c r="H398" s="3304"/>
      <c r="I398" s="3564"/>
      <c r="J398" s="3565"/>
      <c r="K398" s="3566"/>
      <c r="L398" s="3251"/>
      <c r="M398" s="3325"/>
      <c r="N398" s="3342"/>
      <c r="O398" s="3564"/>
      <c r="P398" s="3574"/>
      <c r="Q398" s="3566"/>
      <c r="R398" s="3251"/>
      <c r="S398" s="3566"/>
      <c r="T398" s="3557"/>
      <c r="U398" s="3566"/>
      <c r="V398" s="3567"/>
      <c r="W398" s="2597"/>
      <c r="X398" s="3251"/>
      <c r="Y398" s="2597"/>
      <c r="Z398" s="3251"/>
      <c r="AA398" s="2597"/>
      <c r="AB398" s="3251"/>
      <c r="AC398" s="2597"/>
      <c r="AD398" s="3251"/>
      <c r="AE398" s="3325"/>
      <c r="AF398" s="3342"/>
      <c r="AG398" s="3343"/>
      <c r="AH398" s="3303"/>
      <c r="AI398" s="3244"/>
      <c r="AJ398" s="3302"/>
      <c r="AK398" s="3244"/>
      <c r="AL398" s="3303"/>
      <c r="AM398" s="3325"/>
      <c r="AN398" s="3015"/>
      <c r="AO398" s="3344"/>
      <c r="AP398" s="3325"/>
      <c r="AQ398" s="3303"/>
      <c r="AR398" s="3303"/>
    </row>
    <row r="399" spans="1:44" ht="12.75" customHeight="1">
      <c r="A399" s="3325"/>
      <c r="B399" s="3340"/>
      <c r="C399" s="3249"/>
      <c r="D399" s="3325"/>
      <c r="E399" s="3247"/>
      <c r="F399" s="3340"/>
      <c r="G399" s="3244"/>
      <c r="H399" s="3304"/>
      <c r="I399" s="3564"/>
      <c r="J399" s="3565"/>
      <c r="K399" s="3566"/>
      <c r="L399" s="3251"/>
      <c r="M399" s="3325"/>
      <c r="N399" s="3342"/>
      <c r="O399" s="3564"/>
      <c r="P399" s="3574"/>
      <c r="Q399" s="3566"/>
      <c r="R399" s="3251"/>
      <c r="S399" s="3566"/>
      <c r="T399" s="3557"/>
      <c r="U399" s="3566"/>
      <c r="V399" s="3567"/>
      <c r="W399" s="2597"/>
      <c r="X399" s="3251"/>
      <c r="Y399" s="2597"/>
      <c r="Z399" s="3251"/>
      <c r="AA399" s="2597"/>
      <c r="AB399" s="3251"/>
      <c r="AC399" s="2597"/>
      <c r="AD399" s="3251"/>
      <c r="AE399" s="3325"/>
      <c r="AF399" s="3342"/>
      <c r="AG399" s="3343"/>
      <c r="AH399" s="3303"/>
      <c r="AI399" s="3244"/>
      <c r="AJ399" s="3302"/>
      <c r="AK399" s="3244"/>
      <c r="AL399" s="3303"/>
      <c r="AM399" s="3325"/>
      <c r="AN399" s="3015"/>
      <c r="AO399" s="3344"/>
      <c r="AP399" s="3325"/>
      <c r="AQ399" s="3303"/>
      <c r="AR399" s="3303"/>
    </row>
    <row r="400" spans="1:44" ht="12.75" customHeight="1">
      <c r="A400" s="3325"/>
      <c r="B400" s="3340"/>
      <c r="C400" s="3249"/>
      <c r="D400" s="3325"/>
      <c r="E400" s="3247"/>
      <c r="F400" s="3340"/>
      <c r="G400" s="3244"/>
      <c r="H400" s="3304"/>
      <c r="I400" s="3564"/>
      <c r="J400" s="3565"/>
      <c r="K400" s="3566"/>
      <c r="L400" s="3251"/>
      <c r="M400" s="3325"/>
      <c r="N400" s="3342"/>
      <c r="O400" s="3564"/>
      <c r="P400" s="3574"/>
      <c r="Q400" s="3566"/>
      <c r="R400" s="3251"/>
      <c r="S400" s="3566"/>
      <c r="T400" s="3557"/>
      <c r="U400" s="3566"/>
      <c r="V400" s="3567"/>
      <c r="W400" s="2597"/>
      <c r="X400" s="3251"/>
      <c r="Y400" s="2597"/>
      <c r="Z400" s="3251"/>
      <c r="AA400" s="2597"/>
      <c r="AB400" s="3251"/>
      <c r="AC400" s="2597"/>
      <c r="AD400" s="3251"/>
      <c r="AE400" s="3325"/>
      <c r="AF400" s="3342"/>
      <c r="AG400" s="3343"/>
      <c r="AH400" s="3303"/>
      <c r="AI400" s="3244"/>
      <c r="AJ400" s="3302"/>
      <c r="AK400" s="3244"/>
      <c r="AL400" s="3303"/>
      <c r="AM400" s="3325"/>
      <c r="AN400" s="3015"/>
      <c r="AO400" s="3344"/>
      <c r="AP400" s="3325"/>
      <c r="AQ400" s="3303"/>
      <c r="AR400" s="3303"/>
    </row>
    <row r="401" spans="1:44" ht="12.75" customHeight="1">
      <c r="A401" s="3325"/>
      <c r="B401" s="3340"/>
      <c r="C401" s="3249"/>
      <c r="D401" s="3325"/>
      <c r="E401" s="3247"/>
      <c r="F401" s="3340"/>
      <c r="G401" s="3244"/>
      <c r="H401" s="3304"/>
      <c r="I401" s="3564"/>
      <c r="J401" s="3565"/>
      <c r="K401" s="3566"/>
      <c r="L401" s="3251"/>
      <c r="M401" s="3325"/>
      <c r="N401" s="3342"/>
      <c r="O401" s="3564"/>
      <c r="P401" s="3574"/>
      <c r="Q401" s="3566"/>
      <c r="R401" s="3251"/>
      <c r="S401" s="3566"/>
      <c r="T401" s="3557"/>
      <c r="U401" s="3566"/>
      <c r="V401" s="3567"/>
      <c r="W401" s="2597"/>
      <c r="X401" s="3251"/>
      <c r="Y401" s="2597"/>
      <c r="Z401" s="3251"/>
      <c r="AA401" s="2597"/>
      <c r="AB401" s="3251"/>
      <c r="AC401" s="2597"/>
      <c r="AD401" s="3251"/>
      <c r="AE401" s="3325"/>
      <c r="AF401" s="3342"/>
      <c r="AG401" s="3343"/>
      <c r="AH401" s="3303"/>
      <c r="AI401" s="3244"/>
      <c r="AJ401" s="3302"/>
      <c r="AK401" s="3244"/>
      <c r="AL401" s="3303"/>
      <c r="AM401" s="3325"/>
      <c r="AN401" s="3015"/>
      <c r="AO401" s="3344"/>
      <c r="AP401" s="3325"/>
      <c r="AQ401" s="3303"/>
      <c r="AR401" s="3303"/>
    </row>
    <row r="402" spans="1:44" ht="12.75" customHeight="1">
      <c r="A402" s="3325"/>
      <c r="B402" s="3340"/>
      <c r="C402" s="3249"/>
      <c r="D402" s="3325"/>
      <c r="E402" s="3247"/>
      <c r="F402" s="3340"/>
      <c r="G402" s="3244"/>
      <c r="H402" s="3304"/>
      <c r="I402" s="3564"/>
      <c r="J402" s="3565"/>
      <c r="K402" s="3566"/>
      <c r="L402" s="3251"/>
      <c r="M402" s="3325"/>
      <c r="N402" s="3342"/>
      <c r="O402" s="3564"/>
      <c r="P402" s="3574"/>
      <c r="Q402" s="3566"/>
      <c r="R402" s="3251"/>
      <c r="S402" s="3566"/>
      <c r="T402" s="3557"/>
      <c r="U402" s="3566"/>
      <c r="V402" s="3567"/>
      <c r="W402" s="2597"/>
      <c r="X402" s="3251"/>
      <c r="Y402" s="2597"/>
      <c r="Z402" s="3251"/>
      <c r="AA402" s="2597"/>
      <c r="AB402" s="3251"/>
      <c r="AC402" s="2597"/>
      <c r="AD402" s="3251"/>
      <c r="AE402" s="3325"/>
      <c r="AF402" s="3342"/>
      <c r="AG402" s="3343"/>
      <c r="AH402" s="3303"/>
      <c r="AI402" s="3244"/>
      <c r="AJ402" s="3302"/>
      <c r="AK402" s="3244"/>
      <c r="AL402" s="3303"/>
      <c r="AM402" s="3325"/>
      <c r="AN402" s="3015"/>
      <c r="AO402" s="3344"/>
      <c r="AP402" s="3325"/>
      <c r="AQ402" s="3303"/>
      <c r="AR402" s="3303"/>
    </row>
    <row r="403" spans="1:44" ht="12.75" customHeight="1">
      <c r="A403" s="3325"/>
      <c r="B403" s="3340"/>
      <c r="C403" s="3249"/>
      <c r="D403" s="3325"/>
      <c r="E403" s="3247"/>
      <c r="F403" s="3340"/>
      <c r="G403" s="3244"/>
      <c r="H403" s="3304"/>
      <c r="I403" s="3564"/>
      <c r="J403" s="3565"/>
      <c r="K403" s="3566"/>
      <c r="L403" s="3251"/>
      <c r="M403" s="3325"/>
      <c r="N403" s="3342"/>
      <c r="O403" s="3564"/>
      <c r="P403" s="3574"/>
      <c r="Q403" s="3566"/>
      <c r="R403" s="3251"/>
      <c r="S403" s="3566"/>
      <c r="T403" s="3557"/>
      <c r="U403" s="3566"/>
      <c r="V403" s="3567"/>
      <c r="W403" s="2597"/>
      <c r="X403" s="3251"/>
      <c r="Y403" s="2597"/>
      <c r="Z403" s="3251"/>
      <c r="AA403" s="2597"/>
      <c r="AB403" s="3251"/>
      <c r="AC403" s="2597"/>
      <c r="AD403" s="3251"/>
      <c r="AE403" s="3325"/>
      <c r="AF403" s="3342"/>
      <c r="AG403" s="3343"/>
      <c r="AH403" s="3303"/>
      <c r="AI403" s="3244"/>
      <c r="AJ403" s="3302"/>
      <c r="AK403" s="3244"/>
      <c r="AL403" s="3303"/>
      <c r="AM403" s="3325"/>
      <c r="AN403" s="3015"/>
      <c r="AO403" s="3344"/>
      <c r="AP403" s="3325"/>
      <c r="AQ403" s="3303"/>
      <c r="AR403" s="3303"/>
    </row>
    <row r="404" spans="1:44" ht="12.75" customHeight="1">
      <c r="A404" s="3325"/>
      <c r="B404" s="3340"/>
      <c r="C404" s="3249"/>
      <c r="D404" s="3325"/>
      <c r="E404" s="3247"/>
      <c r="F404" s="3340"/>
      <c r="G404" s="3244"/>
      <c r="H404" s="3304"/>
      <c r="I404" s="3564"/>
      <c r="J404" s="3565"/>
      <c r="K404" s="3566"/>
      <c r="L404" s="3251"/>
      <c r="M404" s="3325"/>
      <c r="N404" s="3342"/>
      <c r="O404" s="3564"/>
      <c r="P404" s="3574"/>
      <c r="Q404" s="3566"/>
      <c r="R404" s="3251"/>
      <c r="S404" s="3566"/>
      <c r="T404" s="3557"/>
      <c r="U404" s="3566"/>
      <c r="V404" s="3567"/>
      <c r="W404" s="2597"/>
      <c r="X404" s="3251"/>
      <c r="Y404" s="2597"/>
      <c r="Z404" s="3251"/>
      <c r="AA404" s="2597"/>
      <c r="AB404" s="3251"/>
      <c r="AC404" s="2597"/>
      <c r="AD404" s="3251"/>
      <c r="AE404" s="3325"/>
      <c r="AF404" s="3342"/>
      <c r="AG404" s="3343"/>
      <c r="AH404" s="3303"/>
      <c r="AI404" s="3244"/>
      <c r="AJ404" s="3302"/>
      <c r="AK404" s="3244"/>
      <c r="AL404" s="3303"/>
      <c r="AM404" s="3325"/>
      <c r="AN404" s="3015"/>
      <c r="AO404" s="3344"/>
      <c r="AP404" s="3325"/>
      <c r="AQ404" s="3303"/>
      <c r="AR404" s="3303"/>
    </row>
    <row r="405" spans="1:44" ht="12.75" customHeight="1">
      <c r="A405" s="3325"/>
      <c r="B405" s="3340"/>
      <c r="C405" s="3249"/>
      <c r="D405" s="3325"/>
      <c r="E405" s="3247"/>
      <c r="F405" s="3340"/>
      <c r="G405" s="3244"/>
      <c r="H405" s="3304"/>
      <c r="I405" s="3564"/>
      <c r="J405" s="3565"/>
      <c r="K405" s="3566"/>
      <c r="L405" s="3251"/>
      <c r="M405" s="3325"/>
      <c r="N405" s="3342"/>
      <c r="O405" s="3564"/>
      <c r="P405" s="3574"/>
      <c r="Q405" s="3566"/>
      <c r="R405" s="3251"/>
      <c r="S405" s="3566"/>
      <c r="T405" s="3557"/>
      <c r="U405" s="3566"/>
      <c r="V405" s="3567"/>
      <c r="W405" s="2597"/>
      <c r="X405" s="3251"/>
      <c r="Y405" s="2597"/>
      <c r="Z405" s="3251"/>
      <c r="AA405" s="2597"/>
      <c r="AB405" s="3251"/>
      <c r="AC405" s="2597"/>
      <c r="AD405" s="3251"/>
      <c r="AE405" s="3325"/>
      <c r="AF405" s="3342"/>
      <c r="AG405" s="3343"/>
      <c r="AH405" s="3303"/>
      <c r="AI405" s="3244"/>
      <c r="AJ405" s="3302"/>
      <c r="AK405" s="3244"/>
      <c r="AL405" s="3303"/>
      <c r="AM405" s="3325"/>
      <c r="AN405" s="3015"/>
      <c r="AO405" s="3344"/>
      <c r="AP405" s="3325"/>
      <c r="AQ405" s="3303"/>
      <c r="AR405" s="3303"/>
    </row>
    <row r="406" spans="1:44" ht="12.75" customHeight="1">
      <c r="A406" s="3325"/>
      <c r="B406" s="3340"/>
      <c r="C406" s="3249"/>
      <c r="D406" s="3325"/>
      <c r="E406" s="3247"/>
      <c r="F406" s="3340"/>
      <c r="G406" s="3244"/>
      <c r="H406" s="3304"/>
      <c r="I406" s="3564"/>
      <c r="J406" s="3565"/>
      <c r="K406" s="3566"/>
      <c r="L406" s="3251"/>
      <c r="M406" s="3325"/>
      <c r="N406" s="3342"/>
      <c r="O406" s="3564"/>
      <c r="P406" s="3574"/>
      <c r="Q406" s="3566"/>
      <c r="R406" s="3251"/>
      <c r="S406" s="3566"/>
      <c r="T406" s="3557"/>
      <c r="U406" s="3566"/>
      <c r="V406" s="3567"/>
      <c r="W406" s="2597"/>
      <c r="X406" s="3251"/>
      <c r="Y406" s="2597"/>
      <c r="Z406" s="3251"/>
      <c r="AA406" s="2597"/>
      <c r="AB406" s="3251"/>
      <c r="AC406" s="2597"/>
      <c r="AD406" s="3251"/>
      <c r="AE406" s="3325"/>
      <c r="AF406" s="3342"/>
      <c r="AG406" s="3343"/>
      <c r="AH406" s="3303"/>
      <c r="AI406" s="3244"/>
      <c r="AJ406" s="3302"/>
      <c r="AK406" s="3244"/>
      <c r="AL406" s="3303"/>
      <c r="AM406" s="3325"/>
      <c r="AN406" s="3015"/>
      <c r="AO406" s="3344"/>
      <c r="AP406" s="3325"/>
      <c r="AQ406" s="3303"/>
      <c r="AR406" s="3303"/>
    </row>
    <row r="407" spans="1:44" ht="12.75" customHeight="1">
      <c r="A407" s="3325"/>
      <c r="B407" s="3340"/>
      <c r="C407" s="3249"/>
      <c r="D407" s="3325"/>
      <c r="E407" s="3247"/>
      <c r="F407" s="3340"/>
      <c r="G407" s="3244"/>
      <c r="H407" s="3304"/>
      <c r="I407" s="3564"/>
      <c r="J407" s="3565"/>
      <c r="K407" s="3566"/>
      <c r="L407" s="3251"/>
      <c r="M407" s="3325"/>
      <c r="N407" s="3342"/>
      <c r="O407" s="3564"/>
      <c r="P407" s="3574"/>
      <c r="Q407" s="3566"/>
      <c r="R407" s="3251"/>
      <c r="S407" s="3566"/>
      <c r="T407" s="3557"/>
      <c r="U407" s="3566"/>
      <c r="V407" s="3567"/>
      <c r="W407" s="2597"/>
      <c r="X407" s="3251"/>
      <c r="Y407" s="2597"/>
      <c r="Z407" s="3251"/>
      <c r="AA407" s="2597"/>
      <c r="AB407" s="3251"/>
      <c r="AC407" s="2597"/>
      <c r="AD407" s="3251"/>
      <c r="AE407" s="3325"/>
      <c r="AF407" s="3342"/>
      <c r="AG407" s="3343"/>
      <c r="AH407" s="3303"/>
      <c r="AI407" s="3244"/>
      <c r="AJ407" s="3302"/>
      <c r="AK407" s="3244"/>
      <c r="AL407" s="3303"/>
      <c r="AM407" s="3325"/>
      <c r="AN407" s="3015"/>
      <c r="AO407" s="3344"/>
      <c r="AP407" s="3325"/>
      <c r="AQ407" s="3303"/>
      <c r="AR407" s="3303"/>
    </row>
    <row r="408" spans="1:44" ht="12.75" customHeight="1">
      <c r="A408" s="3325"/>
      <c r="B408" s="3340"/>
      <c r="C408" s="3249"/>
      <c r="D408" s="3325"/>
      <c r="E408" s="3247"/>
      <c r="F408" s="3340"/>
      <c r="G408" s="3244"/>
      <c r="H408" s="3304"/>
      <c r="I408" s="3564"/>
      <c r="J408" s="3565"/>
      <c r="K408" s="3566"/>
      <c r="L408" s="3251"/>
      <c r="M408" s="3325"/>
      <c r="N408" s="3342"/>
      <c r="O408" s="3564"/>
      <c r="P408" s="3574"/>
      <c r="Q408" s="3566"/>
      <c r="R408" s="3251"/>
      <c r="S408" s="3566"/>
      <c r="T408" s="3557"/>
      <c r="U408" s="3566"/>
      <c r="V408" s="3567"/>
      <c r="W408" s="2597"/>
      <c r="X408" s="3251"/>
      <c r="Y408" s="2597"/>
      <c r="Z408" s="3251"/>
      <c r="AA408" s="2597"/>
      <c r="AB408" s="3251"/>
      <c r="AC408" s="2597"/>
      <c r="AD408" s="3251"/>
      <c r="AE408" s="3325"/>
      <c r="AF408" s="3342"/>
      <c r="AG408" s="3343"/>
      <c r="AH408" s="3303"/>
      <c r="AI408" s="3244"/>
      <c r="AJ408" s="3302"/>
      <c r="AK408" s="3244"/>
      <c r="AL408" s="3303"/>
      <c r="AM408" s="3325"/>
      <c r="AN408" s="3015"/>
      <c r="AO408" s="3344"/>
      <c r="AP408" s="3325"/>
      <c r="AQ408" s="3303"/>
      <c r="AR408" s="3303"/>
    </row>
    <row r="409" spans="1:44" ht="12.75" customHeight="1">
      <c r="A409" s="3325"/>
      <c r="B409" s="3340"/>
      <c r="C409" s="3249"/>
      <c r="D409" s="3325"/>
      <c r="E409" s="3247"/>
      <c r="F409" s="3340"/>
      <c r="G409" s="3244"/>
      <c r="H409" s="3304"/>
      <c r="I409" s="3564"/>
      <c r="J409" s="3565"/>
      <c r="K409" s="3566"/>
      <c r="L409" s="3251"/>
      <c r="M409" s="3325"/>
      <c r="N409" s="3342"/>
      <c r="O409" s="3564"/>
      <c r="P409" s="3574"/>
      <c r="Q409" s="3566"/>
      <c r="R409" s="3251"/>
      <c r="S409" s="3566"/>
      <c r="T409" s="3557"/>
      <c r="U409" s="3566"/>
      <c r="V409" s="3567"/>
      <c r="W409" s="2597"/>
      <c r="X409" s="3251"/>
      <c r="Y409" s="2597"/>
      <c r="Z409" s="3251"/>
      <c r="AA409" s="2597"/>
      <c r="AB409" s="3251"/>
      <c r="AC409" s="2597"/>
      <c r="AD409" s="3251"/>
      <c r="AE409" s="3325"/>
      <c r="AF409" s="3342"/>
      <c r="AG409" s="3343"/>
      <c r="AH409" s="3303"/>
      <c r="AI409" s="3244"/>
      <c r="AJ409" s="3302"/>
      <c r="AK409" s="3244"/>
      <c r="AL409" s="3303"/>
      <c r="AM409" s="3325"/>
      <c r="AN409" s="3015"/>
      <c r="AO409" s="3344"/>
      <c r="AP409" s="3325"/>
      <c r="AQ409" s="3303"/>
      <c r="AR409" s="3303"/>
    </row>
    <row r="410" spans="1:44" ht="12.75" customHeight="1">
      <c r="A410" s="3325"/>
      <c r="B410" s="3340"/>
      <c r="C410" s="3249"/>
      <c r="D410" s="3325"/>
      <c r="E410" s="3247"/>
      <c r="F410" s="3340"/>
      <c r="G410" s="3244"/>
      <c r="H410" s="3304"/>
      <c r="I410" s="3564"/>
      <c r="J410" s="3565"/>
      <c r="K410" s="3566"/>
      <c r="L410" s="3251"/>
      <c r="M410" s="3325"/>
      <c r="N410" s="3342"/>
      <c r="O410" s="3564"/>
      <c r="P410" s="3574"/>
      <c r="Q410" s="3566"/>
      <c r="R410" s="3251"/>
      <c r="S410" s="3566"/>
      <c r="T410" s="3557"/>
      <c r="U410" s="3566"/>
      <c r="V410" s="3567"/>
      <c r="W410" s="2597"/>
      <c r="X410" s="3251"/>
      <c r="Y410" s="2597"/>
      <c r="Z410" s="3251"/>
      <c r="AA410" s="2597"/>
      <c r="AB410" s="3251"/>
      <c r="AC410" s="2597"/>
      <c r="AD410" s="3251"/>
      <c r="AE410" s="3325"/>
      <c r="AF410" s="3342"/>
      <c r="AG410" s="3343"/>
      <c r="AH410" s="3303"/>
      <c r="AI410" s="3244"/>
      <c r="AJ410" s="3302"/>
      <c r="AK410" s="3244"/>
      <c r="AL410" s="3303"/>
      <c r="AM410" s="3325"/>
      <c r="AN410" s="3015"/>
      <c r="AO410" s="3344"/>
      <c r="AP410" s="3325"/>
      <c r="AQ410" s="3303"/>
      <c r="AR410" s="3303"/>
    </row>
    <row r="411" spans="1:44" ht="12.75" customHeight="1">
      <c r="A411" s="3325"/>
      <c r="B411" s="3340"/>
      <c r="C411" s="3249"/>
      <c r="D411" s="3325"/>
      <c r="E411" s="3247"/>
      <c r="F411" s="3340"/>
      <c r="G411" s="3244"/>
      <c r="H411" s="3304"/>
      <c r="I411" s="3564"/>
      <c r="J411" s="3565"/>
      <c r="K411" s="3566"/>
      <c r="L411" s="3251"/>
      <c r="M411" s="3325"/>
      <c r="N411" s="3342"/>
      <c r="O411" s="3564"/>
      <c r="P411" s="3574"/>
      <c r="Q411" s="3566"/>
      <c r="R411" s="3251"/>
      <c r="S411" s="3566"/>
      <c r="T411" s="3557"/>
      <c r="U411" s="3566"/>
      <c r="V411" s="3567"/>
      <c r="W411" s="2597"/>
      <c r="X411" s="3251"/>
      <c r="Y411" s="2597"/>
      <c r="Z411" s="3251"/>
      <c r="AA411" s="2597"/>
      <c r="AB411" s="3251"/>
      <c r="AC411" s="2597"/>
      <c r="AD411" s="3251"/>
      <c r="AE411" s="3325"/>
      <c r="AF411" s="3342"/>
      <c r="AG411" s="3343"/>
      <c r="AH411" s="3303"/>
      <c r="AI411" s="3244"/>
      <c r="AJ411" s="3302"/>
      <c r="AK411" s="3244"/>
      <c r="AL411" s="3303"/>
      <c r="AM411" s="3325"/>
      <c r="AN411" s="3015"/>
      <c r="AO411" s="3344"/>
      <c r="AP411" s="3325"/>
      <c r="AQ411" s="3303"/>
      <c r="AR411" s="3303"/>
    </row>
    <row r="412" spans="1:44" ht="12.75" customHeight="1">
      <c r="A412" s="3325"/>
      <c r="B412" s="3340"/>
      <c r="C412" s="3249"/>
      <c r="D412" s="3325"/>
      <c r="E412" s="3247"/>
      <c r="F412" s="3340"/>
      <c r="G412" s="3244"/>
      <c r="H412" s="3304"/>
      <c r="I412" s="3564"/>
      <c r="J412" s="3565"/>
      <c r="K412" s="3566"/>
      <c r="L412" s="3251"/>
      <c r="M412" s="3325"/>
      <c r="N412" s="3342"/>
      <c r="O412" s="3564"/>
      <c r="P412" s="3574"/>
      <c r="Q412" s="3566"/>
      <c r="R412" s="3251"/>
      <c r="S412" s="3566"/>
      <c r="T412" s="3557"/>
      <c r="U412" s="3566"/>
      <c r="V412" s="3567"/>
      <c r="W412" s="2597"/>
      <c r="X412" s="3251"/>
      <c r="Y412" s="2597"/>
      <c r="Z412" s="3251"/>
      <c r="AA412" s="2597"/>
      <c r="AB412" s="3251"/>
      <c r="AC412" s="2597"/>
      <c r="AD412" s="3251"/>
      <c r="AE412" s="3325"/>
      <c r="AF412" s="3342"/>
      <c r="AG412" s="3343"/>
      <c r="AH412" s="3303"/>
      <c r="AI412" s="3244"/>
      <c r="AJ412" s="3302"/>
      <c r="AK412" s="3244"/>
      <c r="AL412" s="3303"/>
      <c r="AM412" s="3325"/>
      <c r="AN412" s="3015"/>
      <c r="AO412" s="3344"/>
      <c r="AP412" s="3325"/>
      <c r="AQ412" s="3303"/>
      <c r="AR412" s="3303"/>
    </row>
    <row r="413" spans="1:44" ht="12.75" customHeight="1">
      <c r="A413" s="3325"/>
      <c r="B413" s="3340"/>
      <c r="C413" s="3249"/>
      <c r="D413" s="3325"/>
      <c r="E413" s="3247"/>
      <c r="F413" s="3340"/>
      <c r="G413" s="3244"/>
      <c r="H413" s="3304"/>
      <c r="I413" s="3564"/>
      <c r="J413" s="3565"/>
      <c r="K413" s="3566"/>
      <c r="L413" s="3251"/>
      <c r="M413" s="3325"/>
      <c r="N413" s="3342"/>
      <c r="O413" s="3564"/>
      <c r="P413" s="3574"/>
      <c r="Q413" s="3566"/>
      <c r="R413" s="3251"/>
      <c r="S413" s="3566"/>
      <c r="T413" s="3557"/>
      <c r="U413" s="3566"/>
      <c r="V413" s="3567"/>
      <c r="W413" s="2597"/>
      <c r="X413" s="3251"/>
      <c r="Y413" s="2597"/>
      <c r="Z413" s="3251"/>
      <c r="AA413" s="2597"/>
      <c r="AB413" s="3251"/>
      <c r="AC413" s="2597"/>
      <c r="AD413" s="3251"/>
      <c r="AE413" s="3325"/>
      <c r="AF413" s="3342"/>
      <c r="AG413" s="3343"/>
      <c r="AH413" s="3303"/>
      <c r="AI413" s="3244"/>
      <c r="AJ413" s="3302"/>
      <c r="AK413" s="3244"/>
      <c r="AL413" s="3303"/>
      <c r="AM413" s="3325"/>
      <c r="AN413" s="3015"/>
      <c r="AO413" s="3344"/>
      <c r="AP413" s="3325"/>
      <c r="AQ413" s="3303"/>
      <c r="AR413" s="3303"/>
    </row>
    <row r="414" spans="1:44" ht="12.75" customHeight="1">
      <c r="A414" s="3325"/>
      <c r="B414" s="3340"/>
      <c r="C414" s="3249"/>
      <c r="D414" s="3325"/>
      <c r="E414" s="3247"/>
      <c r="F414" s="3340"/>
      <c r="G414" s="3244"/>
      <c r="H414" s="3304"/>
      <c r="I414" s="3564"/>
      <c r="J414" s="3565"/>
      <c r="K414" s="3566"/>
      <c r="L414" s="3251"/>
      <c r="M414" s="3325"/>
      <c r="N414" s="3342"/>
      <c r="O414" s="3564"/>
      <c r="P414" s="3574"/>
      <c r="Q414" s="3566"/>
      <c r="R414" s="3251"/>
      <c r="S414" s="3566"/>
      <c r="T414" s="3557"/>
      <c r="U414" s="3566"/>
      <c r="V414" s="3567"/>
      <c r="W414" s="2597"/>
      <c r="X414" s="3251"/>
      <c r="Y414" s="2597"/>
      <c r="Z414" s="3251"/>
      <c r="AA414" s="2597"/>
      <c r="AB414" s="3251"/>
      <c r="AC414" s="2597"/>
      <c r="AD414" s="3251"/>
      <c r="AE414" s="3325"/>
      <c r="AF414" s="3342"/>
      <c r="AG414" s="3343"/>
      <c r="AH414" s="3303"/>
      <c r="AI414" s="3244"/>
      <c r="AJ414" s="3302"/>
      <c r="AK414" s="3244"/>
      <c r="AL414" s="3303"/>
      <c r="AM414" s="3325"/>
      <c r="AN414" s="3015"/>
      <c r="AO414" s="3344"/>
      <c r="AP414" s="3325"/>
      <c r="AQ414" s="3303"/>
      <c r="AR414" s="3303"/>
    </row>
    <row r="415" spans="1:44" ht="12.75" customHeight="1">
      <c r="A415" s="3325"/>
      <c r="B415" s="3340"/>
      <c r="C415" s="3249"/>
      <c r="D415" s="3325"/>
      <c r="E415" s="3247"/>
      <c r="F415" s="3340"/>
      <c r="G415" s="3244"/>
      <c r="H415" s="3304"/>
      <c r="I415" s="3564"/>
      <c r="J415" s="3565"/>
      <c r="K415" s="3566"/>
      <c r="L415" s="3251"/>
      <c r="M415" s="3325"/>
      <c r="N415" s="3342"/>
      <c r="O415" s="3564"/>
      <c r="P415" s="3574"/>
      <c r="Q415" s="3566"/>
      <c r="R415" s="3251"/>
      <c r="S415" s="3566"/>
      <c r="T415" s="3557"/>
      <c r="U415" s="3566"/>
      <c r="V415" s="3567"/>
      <c r="W415" s="2597"/>
      <c r="X415" s="3251"/>
      <c r="Y415" s="2597"/>
      <c r="Z415" s="3251"/>
      <c r="AA415" s="2597"/>
      <c r="AB415" s="3251"/>
      <c r="AC415" s="2597"/>
      <c r="AD415" s="3251"/>
      <c r="AE415" s="3325"/>
      <c r="AF415" s="3342"/>
      <c r="AG415" s="3343"/>
      <c r="AH415" s="3303"/>
      <c r="AI415" s="3244"/>
      <c r="AJ415" s="3302"/>
      <c r="AK415" s="3244"/>
      <c r="AL415" s="3303"/>
      <c r="AM415" s="3325"/>
      <c r="AN415" s="3015"/>
      <c r="AO415" s="3344"/>
      <c r="AP415" s="3325"/>
      <c r="AQ415" s="3303"/>
      <c r="AR415" s="3303"/>
    </row>
    <row r="416" spans="1:44" ht="12.75" customHeight="1">
      <c r="A416" s="3325"/>
      <c r="B416" s="3340"/>
      <c r="C416" s="3249"/>
      <c r="D416" s="3325"/>
      <c r="E416" s="3247"/>
      <c r="F416" s="3340"/>
      <c r="G416" s="3244"/>
      <c r="H416" s="3304"/>
      <c r="I416" s="3564"/>
      <c r="J416" s="3565"/>
      <c r="K416" s="3566"/>
      <c r="L416" s="3251"/>
      <c r="M416" s="3325"/>
      <c r="N416" s="3342"/>
      <c r="O416" s="3564"/>
      <c r="P416" s="3574"/>
      <c r="Q416" s="3566"/>
      <c r="R416" s="3251"/>
      <c r="S416" s="3566"/>
      <c r="T416" s="3557"/>
      <c r="U416" s="3566"/>
      <c r="V416" s="3567"/>
      <c r="W416" s="2597"/>
      <c r="X416" s="3251"/>
      <c r="Y416" s="2597"/>
      <c r="Z416" s="3251"/>
      <c r="AA416" s="2597"/>
      <c r="AB416" s="3251"/>
      <c r="AC416" s="2597"/>
      <c r="AD416" s="3251"/>
      <c r="AE416" s="3325"/>
      <c r="AF416" s="3342"/>
      <c r="AG416" s="3343"/>
      <c r="AH416" s="3303"/>
      <c r="AI416" s="3244"/>
      <c r="AJ416" s="3302"/>
      <c r="AK416" s="3244"/>
      <c r="AL416" s="3303"/>
      <c r="AM416" s="3325"/>
      <c r="AN416" s="3015"/>
      <c r="AO416" s="3344"/>
      <c r="AP416" s="3325"/>
      <c r="AQ416" s="3303"/>
      <c r="AR416" s="3303"/>
    </row>
    <row r="417" spans="1:44" ht="12.75" customHeight="1">
      <c r="A417" s="3325"/>
      <c r="B417" s="3340"/>
      <c r="C417" s="3249"/>
      <c r="D417" s="3325"/>
      <c r="E417" s="3247"/>
      <c r="F417" s="3340"/>
      <c r="G417" s="3244"/>
      <c r="H417" s="3304"/>
      <c r="I417" s="3564"/>
      <c r="J417" s="3565"/>
      <c r="K417" s="3566"/>
      <c r="L417" s="3251"/>
      <c r="M417" s="3325"/>
      <c r="N417" s="3342"/>
      <c r="O417" s="3564"/>
      <c r="P417" s="3574"/>
      <c r="Q417" s="3566"/>
      <c r="R417" s="3251"/>
      <c r="S417" s="3566"/>
      <c r="T417" s="3557"/>
      <c r="U417" s="3566"/>
      <c r="V417" s="3567"/>
      <c r="W417" s="2597"/>
      <c r="X417" s="3251"/>
      <c r="Y417" s="2597"/>
      <c r="Z417" s="3251"/>
      <c r="AA417" s="2597"/>
      <c r="AB417" s="3251"/>
      <c r="AC417" s="2597"/>
      <c r="AD417" s="3251"/>
      <c r="AE417" s="3325"/>
      <c r="AF417" s="3342"/>
      <c r="AG417" s="3343"/>
      <c r="AH417" s="3303"/>
      <c r="AI417" s="3244"/>
      <c r="AJ417" s="3302"/>
      <c r="AK417" s="3244"/>
      <c r="AL417" s="3303"/>
      <c r="AM417" s="3325"/>
      <c r="AN417" s="3015"/>
      <c r="AO417" s="3344"/>
      <c r="AP417" s="3325"/>
      <c r="AQ417" s="3303"/>
      <c r="AR417" s="3303"/>
    </row>
    <row r="418" spans="1:44" ht="12.75" customHeight="1">
      <c r="A418" s="3325"/>
      <c r="B418" s="3340"/>
      <c r="C418" s="3249"/>
      <c r="D418" s="3325"/>
      <c r="E418" s="3247"/>
      <c r="F418" s="3340"/>
      <c r="G418" s="3244"/>
      <c r="H418" s="3304"/>
      <c r="I418" s="3564"/>
      <c r="J418" s="3565"/>
      <c r="K418" s="3566"/>
      <c r="L418" s="3251"/>
      <c r="M418" s="3325"/>
      <c r="N418" s="3342"/>
      <c r="O418" s="3564"/>
      <c r="P418" s="3574"/>
      <c r="Q418" s="3566"/>
      <c r="R418" s="3251"/>
      <c r="S418" s="3566"/>
      <c r="T418" s="3557"/>
      <c r="U418" s="3566"/>
      <c r="V418" s="3567"/>
      <c r="W418" s="2597"/>
      <c r="X418" s="3251"/>
      <c r="Y418" s="2597"/>
      <c r="Z418" s="3251"/>
      <c r="AA418" s="2597"/>
      <c r="AB418" s="3251"/>
      <c r="AC418" s="2597"/>
      <c r="AD418" s="3251"/>
      <c r="AE418" s="3325"/>
      <c r="AF418" s="3342"/>
      <c r="AG418" s="3343"/>
      <c r="AH418" s="3305"/>
      <c r="AI418" s="3244"/>
      <c r="AJ418" s="3302"/>
      <c r="AK418" s="3244"/>
      <c r="AL418" s="3305"/>
      <c r="AM418" s="3325"/>
      <c r="AN418" s="3015"/>
      <c r="AO418" s="3344"/>
      <c r="AP418" s="3325"/>
      <c r="AQ418" s="3303"/>
      <c r="AR418" s="3303"/>
    </row>
    <row r="419" spans="1:44" ht="12.75" customHeight="1">
      <c r="A419" s="3325"/>
      <c r="B419" s="3340"/>
      <c r="C419" s="3249"/>
      <c r="D419" s="3325"/>
      <c r="E419" s="3247"/>
      <c r="F419" s="3340"/>
      <c r="G419" s="3244"/>
      <c r="H419" s="3304"/>
      <c r="I419" s="3564"/>
      <c r="J419" s="3565"/>
      <c r="K419" s="3566"/>
      <c r="L419" s="3251"/>
      <c r="M419" s="3325"/>
      <c r="N419" s="3342"/>
      <c r="O419" s="3564"/>
      <c r="P419" s="3574"/>
      <c r="Q419" s="3566"/>
      <c r="R419" s="3251"/>
      <c r="S419" s="3566"/>
      <c r="T419" s="3557"/>
      <c r="U419" s="3566"/>
      <c r="V419" s="3567"/>
      <c r="W419" s="2597"/>
      <c r="X419" s="3251"/>
      <c r="Y419" s="2597"/>
      <c r="Z419" s="3251"/>
      <c r="AA419" s="2597"/>
      <c r="AB419" s="3251"/>
      <c r="AC419" s="2597"/>
      <c r="AD419" s="3251"/>
      <c r="AE419" s="3325"/>
      <c r="AF419" s="3342"/>
      <c r="AG419" s="3343"/>
      <c r="AH419" s="3303"/>
      <c r="AI419" s="3244"/>
      <c r="AJ419" s="3302"/>
      <c r="AK419" s="3244"/>
      <c r="AL419" s="3303"/>
      <c r="AM419" s="3325"/>
      <c r="AN419" s="3015"/>
      <c r="AO419" s="3344"/>
      <c r="AP419" s="3325"/>
      <c r="AQ419" s="3303"/>
      <c r="AR419" s="3303"/>
    </row>
    <row r="420" spans="1:44" ht="12.75" customHeight="1">
      <c r="A420" s="3325"/>
      <c r="B420" s="3340"/>
      <c r="C420" s="3249"/>
      <c r="D420" s="3325"/>
      <c r="E420" s="3247"/>
      <c r="F420" s="3340"/>
      <c r="G420" s="3244"/>
      <c r="H420" s="3304"/>
      <c r="I420" s="3564"/>
      <c r="J420" s="3565"/>
      <c r="K420" s="3566"/>
      <c r="L420" s="3251"/>
      <c r="M420" s="3325"/>
      <c r="N420" s="3342"/>
      <c r="O420" s="3564"/>
      <c r="P420" s="3574"/>
      <c r="Q420" s="3566"/>
      <c r="R420" s="3251"/>
      <c r="S420" s="3566"/>
      <c r="T420" s="3557"/>
      <c r="U420" s="3566"/>
      <c r="V420" s="3567"/>
      <c r="W420" s="2597"/>
      <c r="X420" s="3251"/>
      <c r="Y420" s="2597"/>
      <c r="Z420" s="3251"/>
      <c r="AA420" s="2597"/>
      <c r="AB420" s="3251"/>
      <c r="AC420" s="2597"/>
      <c r="AD420" s="3251"/>
      <c r="AE420" s="3325"/>
      <c r="AF420" s="3342"/>
      <c r="AG420" s="3343"/>
      <c r="AH420" s="3303"/>
      <c r="AI420" s="3244"/>
      <c r="AJ420" s="3302"/>
      <c r="AK420" s="3244"/>
      <c r="AL420" s="3303"/>
      <c r="AM420" s="3325"/>
      <c r="AN420" s="3015"/>
      <c r="AO420" s="3344"/>
      <c r="AP420" s="3325"/>
      <c r="AQ420" s="3303"/>
      <c r="AR420" s="3303"/>
    </row>
    <row r="421" spans="1:44" ht="12.75" customHeight="1">
      <c r="A421" s="3325"/>
      <c r="B421" s="3340"/>
      <c r="C421" s="3249"/>
      <c r="D421" s="3325"/>
      <c r="E421" s="3247"/>
      <c r="F421" s="3340"/>
      <c r="G421" s="3244"/>
      <c r="H421" s="3304"/>
      <c r="I421" s="3564"/>
      <c r="J421" s="3565"/>
      <c r="K421" s="3566"/>
      <c r="L421" s="3251"/>
      <c r="M421" s="3325"/>
      <c r="N421" s="3342"/>
      <c r="O421" s="3564"/>
      <c r="P421" s="3574"/>
      <c r="Q421" s="3566"/>
      <c r="R421" s="3251"/>
      <c r="S421" s="3566"/>
      <c r="T421" s="3557"/>
      <c r="U421" s="3566"/>
      <c r="V421" s="3567"/>
      <c r="W421" s="2597"/>
      <c r="X421" s="3251"/>
      <c r="Y421" s="2597"/>
      <c r="Z421" s="3251"/>
      <c r="AA421" s="2597"/>
      <c r="AB421" s="3251"/>
      <c r="AC421" s="2597"/>
      <c r="AD421" s="3251"/>
      <c r="AE421" s="3325"/>
      <c r="AF421" s="3342"/>
      <c r="AG421" s="3343"/>
      <c r="AH421" s="3303"/>
      <c r="AI421" s="3244"/>
      <c r="AJ421" s="3302"/>
      <c r="AK421" s="3244"/>
      <c r="AL421" s="3303"/>
      <c r="AM421" s="3325"/>
      <c r="AN421" s="3015"/>
      <c r="AO421" s="3344"/>
      <c r="AP421" s="3325"/>
      <c r="AQ421" s="3303"/>
      <c r="AR421" s="3303"/>
    </row>
    <row r="422" spans="1:44" ht="12.75" customHeight="1">
      <c r="A422" s="3325"/>
      <c r="B422" s="3340"/>
      <c r="C422" s="3249"/>
      <c r="D422" s="3325"/>
      <c r="E422" s="3247"/>
      <c r="F422" s="3340"/>
      <c r="G422" s="3244"/>
      <c r="H422" s="3304"/>
      <c r="I422" s="3564"/>
      <c r="J422" s="3565"/>
      <c r="K422" s="3566"/>
      <c r="L422" s="3251"/>
      <c r="M422" s="3325"/>
      <c r="N422" s="3342"/>
      <c r="O422" s="3564"/>
      <c r="P422" s="3574"/>
      <c r="Q422" s="3566"/>
      <c r="R422" s="3251"/>
      <c r="S422" s="3566"/>
      <c r="T422" s="3557"/>
      <c r="U422" s="3566"/>
      <c r="V422" s="3567"/>
      <c r="W422" s="2597"/>
      <c r="X422" s="3251"/>
      <c r="Y422" s="2597"/>
      <c r="Z422" s="3251"/>
      <c r="AA422" s="2597"/>
      <c r="AB422" s="3251"/>
      <c r="AC422" s="2597"/>
      <c r="AD422" s="3251"/>
      <c r="AE422" s="3325"/>
      <c r="AF422" s="3342"/>
      <c r="AG422" s="3343"/>
      <c r="AH422" s="3303"/>
      <c r="AI422" s="3244"/>
      <c r="AJ422" s="3302"/>
      <c r="AK422" s="3244"/>
      <c r="AL422" s="3303"/>
      <c r="AM422" s="3325"/>
      <c r="AN422" s="3015"/>
      <c r="AO422" s="3344"/>
      <c r="AP422" s="3325"/>
      <c r="AQ422" s="3303"/>
      <c r="AR422" s="3303"/>
    </row>
    <row r="423" spans="1:44" ht="12.75" customHeight="1">
      <c r="A423" s="3325"/>
      <c r="B423" s="3340"/>
      <c r="C423" s="3249"/>
      <c r="D423" s="3325"/>
      <c r="E423" s="3247"/>
      <c r="F423" s="3340"/>
      <c r="G423" s="3244"/>
      <c r="H423" s="3304"/>
      <c r="I423" s="3564"/>
      <c r="J423" s="3565"/>
      <c r="K423" s="3566"/>
      <c r="L423" s="3251"/>
      <c r="M423" s="3325"/>
      <c r="N423" s="3342"/>
      <c r="O423" s="3564"/>
      <c r="P423" s="3574"/>
      <c r="Q423" s="3566"/>
      <c r="R423" s="3251"/>
      <c r="S423" s="3566"/>
      <c r="T423" s="3557"/>
      <c r="U423" s="3566"/>
      <c r="V423" s="3567"/>
      <c r="W423" s="2597"/>
      <c r="X423" s="3251"/>
      <c r="Y423" s="2597"/>
      <c r="Z423" s="3251"/>
      <c r="AA423" s="2597"/>
      <c r="AB423" s="3251"/>
      <c r="AC423" s="2597"/>
      <c r="AD423" s="3251"/>
      <c r="AE423" s="3325"/>
      <c r="AF423" s="3342"/>
      <c r="AG423" s="3343"/>
      <c r="AH423" s="3303"/>
      <c r="AI423" s="3244"/>
      <c r="AJ423" s="3302"/>
      <c r="AK423" s="3244"/>
      <c r="AL423" s="3303"/>
      <c r="AM423" s="3325"/>
      <c r="AN423" s="3015"/>
      <c r="AO423" s="3344"/>
      <c r="AP423" s="3325"/>
      <c r="AQ423" s="3303"/>
      <c r="AR423" s="3303"/>
    </row>
    <row r="424" spans="1:44" ht="12.75" customHeight="1">
      <c r="A424" s="3325"/>
      <c r="B424" s="3340"/>
      <c r="C424" s="3249"/>
      <c r="D424" s="3325"/>
      <c r="E424" s="3247"/>
      <c r="F424" s="3340"/>
      <c r="G424" s="3244"/>
      <c r="H424" s="3304"/>
      <c r="I424" s="3564"/>
      <c r="J424" s="3565"/>
      <c r="K424" s="3566"/>
      <c r="L424" s="3251"/>
      <c r="M424" s="3325"/>
      <c r="N424" s="3342"/>
      <c r="O424" s="3564"/>
      <c r="P424" s="3574"/>
      <c r="Q424" s="3566"/>
      <c r="R424" s="3251"/>
      <c r="S424" s="3566"/>
      <c r="T424" s="3557"/>
      <c r="U424" s="3566"/>
      <c r="V424" s="3567"/>
      <c r="W424" s="2597"/>
      <c r="X424" s="3251"/>
      <c r="Y424" s="2597"/>
      <c r="Z424" s="3251"/>
      <c r="AA424" s="2597"/>
      <c r="AB424" s="3251"/>
      <c r="AC424" s="2597"/>
      <c r="AD424" s="3251"/>
      <c r="AE424" s="3325"/>
      <c r="AF424" s="3342"/>
      <c r="AG424" s="3343"/>
      <c r="AH424" s="3303"/>
      <c r="AI424" s="3244"/>
      <c r="AJ424" s="3302"/>
      <c r="AK424" s="3244"/>
      <c r="AL424" s="3303"/>
      <c r="AM424" s="3325"/>
      <c r="AN424" s="3015"/>
      <c r="AO424" s="3344"/>
      <c r="AP424" s="3325"/>
      <c r="AQ424" s="3303"/>
      <c r="AR424" s="3303"/>
    </row>
    <row r="425" spans="1:44" ht="12.75" customHeight="1">
      <c r="A425" s="3325"/>
      <c r="B425" s="3340"/>
      <c r="C425" s="3249"/>
      <c r="D425" s="3325"/>
      <c r="E425" s="3247"/>
      <c r="F425" s="3340"/>
      <c r="G425" s="3244"/>
      <c r="H425" s="3304"/>
      <c r="I425" s="3564"/>
      <c r="J425" s="3565"/>
      <c r="K425" s="3566"/>
      <c r="L425" s="3251"/>
      <c r="M425" s="3325"/>
      <c r="N425" s="3342"/>
      <c r="O425" s="3564"/>
      <c r="P425" s="3574"/>
      <c r="Q425" s="3566"/>
      <c r="R425" s="3251"/>
      <c r="S425" s="3566"/>
      <c r="T425" s="3557"/>
      <c r="U425" s="3566"/>
      <c r="V425" s="3567"/>
      <c r="W425" s="2597"/>
      <c r="X425" s="3251"/>
      <c r="Y425" s="2597"/>
      <c r="Z425" s="3251"/>
      <c r="AA425" s="2597"/>
      <c r="AB425" s="3251"/>
      <c r="AC425" s="2597"/>
      <c r="AD425" s="3251"/>
      <c r="AE425" s="3325"/>
      <c r="AF425" s="3342"/>
      <c r="AG425" s="3343"/>
      <c r="AH425" s="3303"/>
      <c r="AI425" s="3244"/>
      <c r="AJ425" s="3302"/>
      <c r="AK425" s="3244"/>
      <c r="AL425" s="3303"/>
      <c r="AM425" s="3325"/>
      <c r="AN425" s="3015"/>
      <c r="AO425" s="3344"/>
      <c r="AP425" s="3325"/>
      <c r="AQ425" s="3303"/>
      <c r="AR425" s="3303"/>
    </row>
    <row r="426" spans="1:44" ht="12.75" customHeight="1">
      <c r="A426" s="3325"/>
      <c r="B426" s="3340"/>
      <c r="C426" s="3249"/>
      <c r="D426" s="3325"/>
      <c r="E426" s="3247"/>
      <c r="F426" s="3340"/>
      <c r="G426" s="3244"/>
      <c r="H426" s="3304"/>
      <c r="I426" s="3564"/>
      <c r="J426" s="3565"/>
      <c r="K426" s="3566"/>
      <c r="L426" s="3251"/>
      <c r="M426" s="3325"/>
      <c r="N426" s="3342"/>
      <c r="O426" s="3564"/>
      <c r="P426" s="3574"/>
      <c r="Q426" s="3566"/>
      <c r="R426" s="3251"/>
      <c r="S426" s="3566"/>
      <c r="T426" s="3557"/>
      <c r="U426" s="3566"/>
      <c r="V426" s="3567"/>
      <c r="W426" s="2597"/>
      <c r="X426" s="3251"/>
      <c r="Y426" s="2597"/>
      <c r="Z426" s="3251"/>
      <c r="AA426" s="2597"/>
      <c r="AB426" s="3251"/>
      <c r="AC426" s="2597"/>
      <c r="AD426" s="3251"/>
      <c r="AE426" s="3325"/>
      <c r="AF426" s="3342"/>
      <c r="AG426" s="3343"/>
      <c r="AH426" s="3303"/>
      <c r="AI426" s="3244"/>
      <c r="AJ426" s="3302"/>
      <c r="AK426" s="3244"/>
      <c r="AL426" s="3303"/>
      <c r="AM426" s="3325"/>
      <c r="AN426" s="3015"/>
      <c r="AO426" s="3344"/>
      <c r="AP426" s="3325"/>
      <c r="AQ426" s="3303"/>
      <c r="AR426" s="3303"/>
    </row>
    <row r="427" spans="1:44" ht="12.75" customHeight="1">
      <c r="A427" s="3325"/>
      <c r="B427" s="3340"/>
      <c r="C427" s="3249"/>
      <c r="D427" s="3325"/>
      <c r="E427" s="3247"/>
      <c r="F427" s="3340"/>
      <c r="G427" s="3244"/>
      <c r="H427" s="3304"/>
      <c r="I427" s="3564"/>
      <c r="J427" s="3565"/>
      <c r="K427" s="3566"/>
      <c r="L427" s="3251"/>
      <c r="M427" s="3325"/>
      <c r="N427" s="3342"/>
      <c r="O427" s="3564"/>
      <c r="P427" s="3574"/>
      <c r="Q427" s="3566"/>
      <c r="R427" s="3251"/>
      <c r="S427" s="3566"/>
      <c r="T427" s="3557"/>
      <c r="U427" s="3566"/>
      <c r="V427" s="3567"/>
      <c r="W427" s="2597"/>
      <c r="X427" s="3251"/>
      <c r="Y427" s="2597"/>
      <c r="Z427" s="3251"/>
      <c r="AA427" s="2597"/>
      <c r="AB427" s="3251"/>
      <c r="AC427" s="2597"/>
      <c r="AD427" s="3251"/>
      <c r="AE427" s="3325"/>
      <c r="AF427" s="3342"/>
      <c r="AG427" s="3343"/>
      <c r="AH427" s="3303"/>
      <c r="AI427" s="3244"/>
      <c r="AJ427" s="3302"/>
      <c r="AK427" s="3244"/>
      <c r="AL427" s="3303"/>
      <c r="AM427" s="3325"/>
      <c r="AN427" s="3015"/>
      <c r="AO427" s="3344"/>
      <c r="AP427" s="3325"/>
      <c r="AQ427" s="3303"/>
      <c r="AR427" s="3303"/>
    </row>
    <row r="428" spans="1:44" ht="12.75" customHeight="1">
      <c r="A428" s="3325"/>
      <c r="B428" s="3340"/>
      <c r="C428" s="3249"/>
      <c r="D428" s="3325"/>
      <c r="E428" s="3247"/>
      <c r="F428" s="3340"/>
      <c r="G428" s="3244"/>
      <c r="H428" s="3304"/>
      <c r="I428" s="3564"/>
      <c r="J428" s="3565"/>
      <c r="K428" s="3566"/>
      <c r="L428" s="3251"/>
      <c r="M428" s="3325"/>
      <c r="N428" s="3342"/>
      <c r="O428" s="3564"/>
      <c r="P428" s="3574"/>
      <c r="Q428" s="3566"/>
      <c r="R428" s="3251"/>
      <c r="S428" s="3566"/>
      <c r="T428" s="3557"/>
      <c r="U428" s="3566"/>
      <c r="V428" s="3567"/>
      <c r="W428" s="2597"/>
      <c r="X428" s="3251"/>
      <c r="Y428" s="2597"/>
      <c r="Z428" s="3251"/>
      <c r="AA428" s="2597"/>
      <c r="AB428" s="3251"/>
      <c r="AC428" s="2597"/>
      <c r="AD428" s="3251"/>
      <c r="AE428" s="3325"/>
      <c r="AF428" s="3342"/>
      <c r="AG428" s="3343"/>
      <c r="AH428" s="3303"/>
      <c r="AI428" s="3244"/>
      <c r="AJ428" s="3302"/>
      <c r="AK428" s="3244"/>
      <c r="AL428" s="3303"/>
      <c r="AM428" s="3325"/>
      <c r="AN428" s="3015"/>
      <c r="AO428" s="3344"/>
      <c r="AP428" s="3325"/>
      <c r="AQ428" s="3303"/>
      <c r="AR428" s="3303"/>
    </row>
    <row r="429" spans="1:44" ht="12.75" customHeight="1">
      <c r="A429" s="3325"/>
      <c r="B429" s="3340"/>
      <c r="C429" s="3249"/>
      <c r="D429" s="3325"/>
      <c r="E429" s="3247"/>
      <c r="F429" s="3340"/>
      <c r="G429" s="3244"/>
      <c r="H429" s="3304"/>
      <c r="I429" s="3564"/>
      <c r="J429" s="3565"/>
      <c r="K429" s="3566"/>
      <c r="L429" s="3251"/>
      <c r="M429" s="3325"/>
      <c r="N429" s="3342"/>
      <c r="O429" s="3564"/>
      <c r="P429" s="3574"/>
      <c r="Q429" s="3566"/>
      <c r="R429" s="3251"/>
      <c r="S429" s="3566"/>
      <c r="T429" s="3557"/>
      <c r="U429" s="3566"/>
      <c r="V429" s="3567"/>
      <c r="W429" s="2597"/>
      <c r="X429" s="3251"/>
      <c r="Y429" s="2597"/>
      <c r="Z429" s="3251"/>
      <c r="AA429" s="2597"/>
      <c r="AB429" s="3251"/>
      <c r="AC429" s="2597"/>
      <c r="AD429" s="3251"/>
      <c r="AE429" s="3325"/>
      <c r="AF429" s="3342"/>
      <c r="AG429" s="3343"/>
      <c r="AH429" s="3303"/>
      <c r="AI429" s="3244"/>
      <c r="AJ429" s="3302"/>
      <c r="AK429" s="3244"/>
      <c r="AL429" s="3303"/>
      <c r="AM429" s="3325"/>
      <c r="AN429" s="3015"/>
      <c r="AO429" s="3344"/>
      <c r="AP429" s="3325"/>
      <c r="AQ429" s="3303"/>
      <c r="AR429" s="3303"/>
    </row>
    <row r="430" spans="1:44" ht="12.75" customHeight="1">
      <c r="A430" s="3325"/>
      <c r="B430" s="3340"/>
      <c r="C430" s="3249"/>
      <c r="D430" s="3325"/>
      <c r="E430" s="3247"/>
      <c r="F430" s="3340"/>
      <c r="G430" s="3244"/>
      <c r="H430" s="3304"/>
      <c r="I430" s="3564"/>
      <c r="J430" s="3565"/>
      <c r="K430" s="3566"/>
      <c r="L430" s="3251"/>
      <c r="M430" s="3325"/>
      <c r="N430" s="3342"/>
      <c r="O430" s="3564"/>
      <c r="P430" s="3574"/>
      <c r="Q430" s="3566"/>
      <c r="R430" s="3251"/>
      <c r="S430" s="3566"/>
      <c r="T430" s="3557"/>
      <c r="U430" s="3566"/>
      <c r="V430" s="3567"/>
      <c r="W430" s="2597"/>
      <c r="X430" s="3251"/>
      <c r="Y430" s="2597"/>
      <c r="Z430" s="3251"/>
      <c r="AA430" s="2597"/>
      <c r="AB430" s="3251"/>
      <c r="AC430" s="2597"/>
      <c r="AD430" s="3251"/>
      <c r="AE430" s="3325"/>
      <c r="AF430" s="3342"/>
      <c r="AG430" s="3343"/>
      <c r="AH430" s="3303"/>
      <c r="AI430" s="3244"/>
      <c r="AJ430" s="3302"/>
      <c r="AK430" s="3244"/>
      <c r="AL430" s="3303"/>
      <c r="AM430" s="3325"/>
      <c r="AN430" s="3015"/>
      <c r="AO430" s="3344"/>
      <c r="AP430" s="3325"/>
      <c r="AQ430" s="3303"/>
      <c r="AR430" s="3303"/>
    </row>
    <row r="431" spans="1:44" ht="12.75" customHeight="1">
      <c r="A431" s="3325"/>
      <c r="B431" s="3340"/>
      <c r="C431" s="3249"/>
      <c r="D431" s="3325"/>
      <c r="E431" s="3247"/>
      <c r="F431" s="3340"/>
      <c r="G431" s="3244"/>
      <c r="H431" s="3304"/>
      <c r="I431" s="3564"/>
      <c r="J431" s="3565"/>
      <c r="K431" s="3566"/>
      <c r="L431" s="3251"/>
      <c r="M431" s="3325"/>
      <c r="N431" s="3342"/>
      <c r="O431" s="3564"/>
      <c r="P431" s="3574"/>
      <c r="Q431" s="3566"/>
      <c r="R431" s="3251"/>
      <c r="S431" s="3566"/>
      <c r="T431" s="3557"/>
      <c r="U431" s="3566"/>
      <c r="V431" s="3567"/>
      <c r="W431" s="2597"/>
      <c r="X431" s="3251"/>
      <c r="Y431" s="2597"/>
      <c r="Z431" s="3251"/>
      <c r="AA431" s="2597"/>
      <c r="AB431" s="3251"/>
      <c r="AC431" s="2597"/>
      <c r="AD431" s="3251"/>
      <c r="AE431" s="3325"/>
      <c r="AF431" s="3342"/>
      <c r="AG431" s="3343"/>
      <c r="AH431" s="3303"/>
      <c r="AI431" s="3244"/>
      <c r="AJ431" s="3302"/>
      <c r="AK431" s="3244"/>
      <c r="AL431" s="3303"/>
      <c r="AM431" s="3325"/>
      <c r="AN431" s="3015"/>
      <c r="AO431" s="3344"/>
      <c r="AP431" s="3325"/>
      <c r="AQ431" s="3303"/>
      <c r="AR431" s="3303"/>
    </row>
    <row r="432" spans="1:44" ht="12.75" customHeight="1">
      <c r="A432" s="3325"/>
      <c r="B432" s="3340"/>
      <c r="C432" s="3249"/>
      <c r="D432" s="3325"/>
      <c r="E432" s="3247"/>
      <c r="F432" s="3340"/>
      <c r="G432" s="3244"/>
      <c r="H432" s="3304"/>
      <c r="I432" s="3564"/>
      <c r="J432" s="3565"/>
      <c r="K432" s="3566"/>
      <c r="L432" s="3251"/>
      <c r="M432" s="3325"/>
      <c r="N432" s="3342"/>
      <c r="O432" s="3564"/>
      <c r="P432" s="3574"/>
      <c r="Q432" s="3566"/>
      <c r="R432" s="3251"/>
      <c r="S432" s="3566"/>
      <c r="T432" s="3557"/>
      <c r="U432" s="3566"/>
      <c r="V432" s="3567"/>
      <c r="W432" s="2597"/>
      <c r="X432" s="3251"/>
      <c r="Y432" s="2597"/>
      <c r="Z432" s="3251"/>
      <c r="AA432" s="2597"/>
      <c r="AB432" s="3251"/>
      <c r="AC432" s="2597"/>
      <c r="AD432" s="3251"/>
      <c r="AE432" s="3325"/>
      <c r="AF432" s="3342"/>
      <c r="AG432" s="3343"/>
      <c r="AH432" s="3303"/>
      <c r="AI432" s="3244"/>
      <c r="AJ432" s="3302"/>
      <c r="AK432" s="3244"/>
      <c r="AL432" s="3303"/>
      <c r="AM432" s="3325"/>
      <c r="AN432" s="3015"/>
      <c r="AO432" s="3344"/>
      <c r="AP432" s="3325"/>
      <c r="AQ432" s="3303"/>
      <c r="AR432" s="3303"/>
    </row>
    <row r="433" spans="1:44" ht="12.75" customHeight="1">
      <c r="A433" s="3325"/>
      <c r="B433" s="3340"/>
      <c r="C433" s="3249"/>
      <c r="D433" s="3325"/>
      <c r="E433" s="3247"/>
      <c r="F433" s="3340"/>
      <c r="G433" s="3244"/>
      <c r="H433" s="3304"/>
      <c r="I433" s="3564"/>
      <c r="J433" s="3565"/>
      <c r="K433" s="3566"/>
      <c r="L433" s="3251"/>
      <c r="M433" s="3325"/>
      <c r="N433" s="3342"/>
      <c r="O433" s="3564"/>
      <c r="P433" s="3574"/>
      <c r="Q433" s="3566"/>
      <c r="R433" s="3251"/>
      <c r="S433" s="3566"/>
      <c r="T433" s="3557"/>
      <c r="U433" s="3566"/>
      <c r="V433" s="3567"/>
      <c r="W433" s="2597"/>
      <c r="X433" s="3251"/>
      <c r="Y433" s="2597"/>
      <c r="Z433" s="3251"/>
      <c r="AA433" s="2597"/>
      <c r="AB433" s="3251"/>
      <c r="AC433" s="2597"/>
      <c r="AD433" s="3251"/>
      <c r="AE433" s="3325"/>
      <c r="AF433" s="3342"/>
      <c r="AG433" s="3343"/>
      <c r="AH433" s="3303"/>
      <c r="AI433" s="3244"/>
      <c r="AJ433" s="3302"/>
      <c r="AK433" s="3244"/>
      <c r="AL433" s="3303"/>
      <c r="AM433" s="3325"/>
      <c r="AN433" s="3015"/>
      <c r="AO433" s="3344"/>
      <c r="AP433" s="3325"/>
      <c r="AQ433" s="3303"/>
      <c r="AR433" s="3303"/>
    </row>
    <row r="434" spans="1:44" ht="12.75" customHeight="1">
      <c r="A434" s="3325"/>
      <c r="B434" s="3340"/>
      <c r="C434" s="3249"/>
      <c r="D434" s="3325"/>
      <c r="E434" s="3247"/>
      <c r="F434" s="3340"/>
      <c r="G434" s="3244"/>
      <c r="H434" s="3304"/>
      <c r="I434" s="3564"/>
      <c r="J434" s="3565"/>
      <c r="K434" s="3566"/>
      <c r="L434" s="3251"/>
      <c r="M434" s="3325"/>
      <c r="N434" s="3342"/>
      <c r="O434" s="3564"/>
      <c r="P434" s="3574"/>
      <c r="Q434" s="3566"/>
      <c r="R434" s="3251"/>
      <c r="S434" s="3566"/>
      <c r="T434" s="3557"/>
      <c r="U434" s="3566"/>
      <c r="V434" s="3567"/>
      <c r="W434" s="2597"/>
      <c r="X434" s="3251"/>
      <c r="Y434" s="2597"/>
      <c r="Z434" s="3251"/>
      <c r="AA434" s="2597"/>
      <c r="AB434" s="3251"/>
      <c r="AC434" s="2597"/>
      <c r="AD434" s="3251"/>
      <c r="AE434" s="3325"/>
      <c r="AF434" s="3342"/>
      <c r="AG434" s="3343"/>
      <c r="AH434" s="3303"/>
      <c r="AI434" s="3244"/>
      <c r="AJ434" s="3302"/>
      <c r="AK434" s="3244"/>
      <c r="AL434" s="3303"/>
      <c r="AM434" s="3325"/>
      <c r="AN434" s="3015"/>
      <c r="AO434" s="3344"/>
      <c r="AP434" s="3325"/>
      <c r="AQ434" s="3303"/>
      <c r="AR434" s="3303"/>
    </row>
    <row r="435" spans="1:44" ht="12.75" customHeight="1">
      <c r="A435" s="3325"/>
      <c r="B435" s="3340"/>
      <c r="C435" s="3249"/>
      <c r="D435" s="3325"/>
      <c r="E435" s="3247"/>
      <c r="F435" s="3340"/>
      <c r="G435" s="3244"/>
      <c r="H435" s="3304"/>
      <c r="I435" s="3564"/>
      <c r="J435" s="3565"/>
      <c r="K435" s="3566"/>
      <c r="L435" s="3251"/>
      <c r="M435" s="3325"/>
      <c r="N435" s="3342"/>
      <c r="O435" s="3564"/>
      <c r="P435" s="3574"/>
      <c r="Q435" s="3566"/>
      <c r="R435" s="3251"/>
      <c r="S435" s="3566"/>
      <c r="T435" s="3557"/>
      <c r="U435" s="3566"/>
      <c r="V435" s="3567"/>
      <c r="W435" s="2597"/>
      <c r="X435" s="3251"/>
      <c r="Y435" s="2597"/>
      <c r="Z435" s="3251"/>
      <c r="AA435" s="2597"/>
      <c r="AB435" s="3251"/>
      <c r="AC435" s="2597"/>
      <c r="AD435" s="3251"/>
      <c r="AE435" s="3325"/>
      <c r="AF435" s="3342"/>
      <c r="AG435" s="3343"/>
      <c r="AH435" s="3303"/>
      <c r="AI435" s="3244"/>
      <c r="AJ435" s="3302"/>
      <c r="AK435" s="3244"/>
      <c r="AL435" s="3303"/>
      <c r="AM435" s="3325"/>
      <c r="AN435" s="3015"/>
      <c r="AO435" s="3344"/>
      <c r="AP435" s="3325"/>
      <c r="AQ435" s="3303"/>
      <c r="AR435" s="3303"/>
    </row>
    <row r="436" spans="1:44" ht="12.75" customHeight="1">
      <c r="A436" s="3325"/>
      <c r="B436" s="3340"/>
      <c r="C436" s="3249"/>
      <c r="D436" s="3325"/>
      <c r="E436" s="3247"/>
      <c r="F436" s="3340"/>
      <c r="G436" s="3244"/>
      <c r="H436" s="3304"/>
      <c r="I436" s="3564"/>
      <c r="J436" s="3565"/>
      <c r="K436" s="3566"/>
      <c r="L436" s="3251"/>
      <c r="M436" s="3325"/>
      <c r="N436" s="3342"/>
      <c r="O436" s="3564"/>
      <c r="P436" s="3574"/>
      <c r="Q436" s="3566"/>
      <c r="R436" s="3251"/>
      <c r="S436" s="3566"/>
      <c r="T436" s="3557"/>
      <c r="U436" s="3566"/>
      <c r="V436" s="3567"/>
      <c r="W436" s="2597"/>
      <c r="X436" s="3251"/>
      <c r="Y436" s="2597"/>
      <c r="Z436" s="3251"/>
      <c r="AA436" s="2597"/>
      <c r="AB436" s="3251"/>
      <c r="AC436" s="2597"/>
      <c r="AD436" s="3251"/>
      <c r="AE436" s="3325"/>
      <c r="AF436" s="3342"/>
      <c r="AG436" s="3343"/>
      <c r="AH436" s="3305"/>
      <c r="AI436" s="3244"/>
      <c r="AJ436" s="3302"/>
      <c r="AK436" s="3244"/>
      <c r="AL436" s="3305"/>
      <c r="AM436" s="3325"/>
      <c r="AN436" s="3015"/>
      <c r="AO436" s="3344"/>
      <c r="AP436" s="3325"/>
      <c r="AQ436" s="3303"/>
      <c r="AR436" s="3303"/>
    </row>
    <row r="437" spans="1:44" ht="12.75" customHeight="1">
      <c r="A437" s="3325"/>
      <c r="B437" s="3340"/>
      <c r="C437" s="3249"/>
      <c r="D437" s="3325"/>
      <c r="E437" s="3247"/>
      <c r="F437" s="3340"/>
      <c r="G437" s="3244"/>
      <c r="H437" s="3304"/>
      <c r="I437" s="3564"/>
      <c r="J437" s="3565"/>
      <c r="K437" s="3566"/>
      <c r="L437" s="3251"/>
      <c r="M437" s="3325"/>
      <c r="N437" s="3342"/>
      <c r="O437" s="3564"/>
      <c r="P437" s="3574"/>
      <c r="Q437" s="3566"/>
      <c r="R437" s="3251"/>
      <c r="S437" s="3566"/>
      <c r="T437" s="3557"/>
      <c r="U437" s="3566"/>
      <c r="V437" s="3567"/>
      <c r="W437" s="2597"/>
      <c r="X437" s="3251"/>
      <c r="Y437" s="2597"/>
      <c r="Z437" s="3251"/>
      <c r="AA437" s="2597"/>
      <c r="AB437" s="3251"/>
      <c r="AC437" s="2597"/>
      <c r="AD437" s="3251"/>
      <c r="AE437" s="3325"/>
      <c r="AF437" s="3342"/>
      <c r="AG437" s="3343"/>
      <c r="AH437" s="3303"/>
      <c r="AI437" s="3244"/>
      <c r="AJ437" s="3302"/>
      <c r="AK437" s="3244"/>
      <c r="AL437" s="3303"/>
      <c r="AM437" s="3325"/>
      <c r="AN437" s="3015"/>
      <c r="AO437" s="3344"/>
      <c r="AP437" s="3325"/>
      <c r="AQ437" s="3303"/>
      <c r="AR437" s="3303"/>
    </row>
    <row r="438" spans="1:44" ht="12.75" customHeight="1">
      <c r="A438" s="3325"/>
      <c r="B438" s="3340"/>
      <c r="C438" s="3249"/>
      <c r="D438" s="3325"/>
      <c r="E438" s="3247"/>
      <c r="F438" s="3340"/>
      <c r="G438" s="3244"/>
      <c r="H438" s="3304"/>
      <c r="I438" s="3564"/>
      <c r="J438" s="3565"/>
      <c r="K438" s="3566"/>
      <c r="L438" s="3251"/>
      <c r="M438" s="3325"/>
      <c r="N438" s="3342"/>
      <c r="O438" s="3564"/>
      <c r="P438" s="3574"/>
      <c r="Q438" s="3566"/>
      <c r="R438" s="3251"/>
      <c r="S438" s="3566"/>
      <c r="T438" s="3557"/>
      <c r="U438" s="3566"/>
      <c r="V438" s="3567"/>
      <c r="W438" s="2597"/>
      <c r="X438" s="3251"/>
      <c r="Y438" s="2597"/>
      <c r="Z438" s="3251"/>
      <c r="AA438" s="2597"/>
      <c r="AB438" s="3251"/>
      <c r="AC438" s="2597"/>
      <c r="AD438" s="3251"/>
      <c r="AE438" s="3325"/>
      <c r="AF438" s="3342"/>
      <c r="AG438" s="3343"/>
      <c r="AH438" s="3305"/>
      <c r="AI438" s="3244"/>
      <c r="AJ438" s="3302"/>
      <c r="AK438" s="3244"/>
      <c r="AL438" s="3305"/>
      <c r="AM438" s="3325"/>
      <c r="AN438" s="3015"/>
      <c r="AO438" s="3344"/>
      <c r="AP438" s="3325"/>
      <c r="AQ438" s="3303"/>
      <c r="AR438" s="3303"/>
    </row>
    <row r="439" spans="1:44" ht="12.75" customHeight="1">
      <c r="A439" s="3325"/>
      <c r="B439" s="3340"/>
      <c r="C439" s="3249"/>
      <c r="D439" s="3325"/>
      <c r="E439" s="3247"/>
      <c r="F439" s="3340"/>
      <c r="G439" s="3244"/>
      <c r="H439" s="3304"/>
      <c r="I439" s="3564"/>
      <c r="J439" s="3565"/>
      <c r="K439" s="3566"/>
      <c r="L439" s="3251"/>
      <c r="M439" s="3325"/>
      <c r="N439" s="3342"/>
      <c r="O439" s="3564"/>
      <c r="P439" s="3574"/>
      <c r="Q439" s="3566"/>
      <c r="R439" s="3251"/>
      <c r="S439" s="3566"/>
      <c r="T439" s="3557"/>
      <c r="U439" s="3566"/>
      <c r="V439" s="3567"/>
      <c r="W439" s="2597"/>
      <c r="X439" s="3251"/>
      <c r="Y439" s="2597"/>
      <c r="Z439" s="3251"/>
      <c r="AA439" s="2597"/>
      <c r="AB439" s="3251"/>
      <c r="AC439" s="2597"/>
      <c r="AD439" s="3251"/>
      <c r="AE439" s="3325"/>
      <c r="AF439" s="3342"/>
      <c r="AG439" s="3343"/>
      <c r="AH439" s="3303"/>
      <c r="AI439" s="3244"/>
      <c r="AJ439" s="3302"/>
      <c r="AK439" s="3244"/>
      <c r="AL439" s="3303"/>
      <c r="AM439" s="3325"/>
      <c r="AN439" s="3015"/>
      <c r="AO439" s="3344"/>
      <c r="AP439" s="3325"/>
      <c r="AQ439" s="3303"/>
      <c r="AR439" s="3303"/>
    </row>
    <row r="440" spans="1:44" ht="12.75" customHeight="1">
      <c r="A440" s="3325"/>
      <c r="B440" s="3340"/>
      <c r="C440" s="3249"/>
      <c r="D440" s="3325"/>
      <c r="E440" s="3247"/>
      <c r="F440" s="3340"/>
      <c r="G440" s="3244"/>
      <c r="H440" s="3304"/>
      <c r="I440" s="3564"/>
      <c r="J440" s="3565"/>
      <c r="K440" s="3566"/>
      <c r="L440" s="3251"/>
      <c r="M440" s="3325"/>
      <c r="N440" s="3342"/>
      <c r="O440" s="3564"/>
      <c r="P440" s="3574"/>
      <c r="Q440" s="3566"/>
      <c r="R440" s="3251"/>
      <c r="S440" s="3566"/>
      <c r="T440" s="3557"/>
      <c r="U440" s="3566"/>
      <c r="V440" s="3567"/>
      <c r="W440" s="2597"/>
      <c r="X440" s="3251"/>
      <c r="Y440" s="2597"/>
      <c r="Z440" s="3251"/>
      <c r="AA440" s="2597"/>
      <c r="AB440" s="3251"/>
      <c r="AC440" s="2597"/>
      <c r="AD440" s="3251"/>
      <c r="AE440" s="3325"/>
      <c r="AF440" s="3342"/>
      <c r="AG440" s="3343"/>
      <c r="AH440" s="3303"/>
      <c r="AI440" s="3244"/>
      <c r="AJ440" s="3302"/>
      <c r="AK440" s="3244"/>
      <c r="AL440" s="3303"/>
      <c r="AM440" s="3325"/>
      <c r="AN440" s="3015"/>
      <c r="AO440" s="3344"/>
      <c r="AP440" s="3325"/>
      <c r="AQ440" s="3303"/>
      <c r="AR440" s="3303"/>
    </row>
    <row r="441" spans="1:44" ht="12.75" customHeight="1">
      <c r="A441" s="3325"/>
      <c r="B441" s="3340"/>
      <c r="C441" s="3249"/>
      <c r="D441" s="3325"/>
      <c r="E441" s="3247"/>
      <c r="F441" s="3340"/>
      <c r="G441" s="3244"/>
      <c r="H441" s="3304"/>
      <c r="I441" s="3564"/>
      <c r="J441" s="3565"/>
      <c r="K441" s="3566"/>
      <c r="L441" s="3251"/>
      <c r="M441" s="3325"/>
      <c r="N441" s="3342"/>
      <c r="O441" s="3564"/>
      <c r="P441" s="3574"/>
      <c r="Q441" s="3566"/>
      <c r="R441" s="3251"/>
      <c r="S441" s="3566"/>
      <c r="T441" s="3557"/>
      <c r="U441" s="3566"/>
      <c r="V441" s="3567"/>
      <c r="W441" s="2597"/>
      <c r="X441" s="3251"/>
      <c r="Y441" s="2597"/>
      <c r="Z441" s="3251"/>
      <c r="AA441" s="2597"/>
      <c r="AB441" s="3251"/>
      <c r="AC441" s="2597"/>
      <c r="AD441" s="3251"/>
      <c r="AE441" s="3325"/>
      <c r="AF441" s="3342"/>
      <c r="AG441" s="3343"/>
      <c r="AH441" s="3303"/>
      <c r="AI441" s="3244"/>
      <c r="AJ441" s="3302"/>
      <c r="AK441" s="3244"/>
      <c r="AL441" s="3303"/>
      <c r="AM441" s="3325"/>
      <c r="AN441" s="3015"/>
      <c r="AO441" s="3344"/>
      <c r="AP441" s="3325"/>
      <c r="AQ441" s="3303"/>
      <c r="AR441" s="3303"/>
    </row>
    <row r="442" spans="1:44" ht="12.75" customHeight="1">
      <c r="A442" s="3325"/>
      <c r="B442" s="3340"/>
      <c r="C442" s="3249"/>
      <c r="D442" s="3325"/>
      <c r="E442" s="3247"/>
      <c r="F442" s="3340"/>
      <c r="G442" s="3244"/>
      <c r="H442" s="3304"/>
      <c r="I442" s="3564"/>
      <c r="J442" s="3565"/>
      <c r="K442" s="3566"/>
      <c r="L442" s="3251"/>
      <c r="M442" s="3325"/>
      <c r="N442" s="3342"/>
      <c r="O442" s="3564"/>
      <c r="P442" s="3574"/>
      <c r="Q442" s="3566"/>
      <c r="R442" s="3251"/>
      <c r="S442" s="3566"/>
      <c r="T442" s="3557"/>
      <c r="U442" s="3566"/>
      <c r="V442" s="3567"/>
      <c r="W442" s="2597"/>
      <c r="X442" s="3251"/>
      <c r="Y442" s="2597"/>
      <c r="Z442" s="3251"/>
      <c r="AA442" s="2597"/>
      <c r="AB442" s="3251"/>
      <c r="AC442" s="2597"/>
      <c r="AD442" s="3251"/>
      <c r="AE442" s="3325"/>
      <c r="AF442" s="3342"/>
      <c r="AG442" s="3343"/>
      <c r="AH442" s="3303"/>
      <c r="AI442" s="3244"/>
      <c r="AJ442" s="3302"/>
      <c r="AK442" s="3244"/>
      <c r="AL442" s="3303"/>
      <c r="AM442" s="3325"/>
      <c r="AN442" s="3015"/>
      <c r="AO442" s="3344"/>
      <c r="AP442" s="3325"/>
      <c r="AQ442" s="3303"/>
      <c r="AR442" s="3303"/>
    </row>
    <row r="443" spans="1:44" ht="12.75" customHeight="1">
      <c r="A443" s="3325"/>
      <c r="B443" s="3340"/>
      <c r="C443" s="3249"/>
      <c r="D443" s="3325"/>
      <c r="E443" s="3247"/>
      <c r="F443" s="3340"/>
      <c r="G443" s="3244"/>
      <c r="H443" s="3304"/>
      <c r="I443" s="3564"/>
      <c r="J443" s="3565"/>
      <c r="K443" s="3566"/>
      <c r="L443" s="3251"/>
      <c r="M443" s="3325"/>
      <c r="N443" s="3342"/>
      <c r="O443" s="3564"/>
      <c r="P443" s="3574"/>
      <c r="Q443" s="3566"/>
      <c r="R443" s="3251"/>
      <c r="S443" s="3566"/>
      <c r="T443" s="3557"/>
      <c r="U443" s="3566"/>
      <c r="V443" s="3567"/>
      <c r="W443" s="2597"/>
      <c r="X443" s="3251"/>
      <c r="Y443" s="2597"/>
      <c r="Z443" s="3251"/>
      <c r="AA443" s="2597"/>
      <c r="AB443" s="3251"/>
      <c r="AC443" s="2597"/>
      <c r="AD443" s="3251"/>
      <c r="AE443" s="3325"/>
      <c r="AF443" s="3342"/>
      <c r="AG443" s="3343"/>
      <c r="AH443" s="3305"/>
      <c r="AI443" s="3244"/>
      <c r="AJ443" s="3302"/>
      <c r="AK443" s="3244"/>
      <c r="AL443" s="3305"/>
      <c r="AM443" s="3325"/>
      <c r="AN443" s="3015"/>
      <c r="AO443" s="3344"/>
      <c r="AP443" s="3325"/>
      <c r="AQ443" s="3303"/>
      <c r="AR443" s="3303"/>
    </row>
    <row r="444" spans="1:44" ht="12.75" customHeight="1">
      <c r="A444" s="3325"/>
      <c r="B444" s="3340"/>
      <c r="C444" s="3249"/>
      <c r="D444" s="3325"/>
      <c r="E444" s="3247"/>
      <c r="F444" s="3340"/>
      <c r="G444" s="3244"/>
      <c r="H444" s="3304"/>
      <c r="I444" s="3564"/>
      <c r="J444" s="3565"/>
      <c r="K444" s="3566"/>
      <c r="L444" s="3251"/>
      <c r="M444" s="3325"/>
      <c r="N444" s="3342"/>
      <c r="O444" s="3564"/>
      <c r="P444" s="3574"/>
      <c r="Q444" s="3566"/>
      <c r="R444" s="3251"/>
      <c r="S444" s="3566"/>
      <c r="T444" s="3557"/>
      <c r="U444" s="3566"/>
      <c r="V444" s="3567"/>
      <c r="W444" s="2597"/>
      <c r="X444" s="3251"/>
      <c r="Y444" s="2597"/>
      <c r="Z444" s="3251"/>
      <c r="AA444" s="2597"/>
      <c r="AB444" s="3251"/>
      <c r="AC444" s="2597"/>
      <c r="AD444" s="3251"/>
      <c r="AE444" s="3325"/>
      <c r="AF444" s="3342"/>
      <c r="AG444" s="3343"/>
      <c r="AH444" s="3303"/>
      <c r="AI444" s="3244"/>
      <c r="AJ444" s="3302"/>
      <c r="AK444" s="3244"/>
      <c r="AL444" s="3303"/>
      <c r="AM444" s="3325"/>
      <c r="AN444" s="3015"/>
      <c r="AO444" s="3344"/>
      <c r="AP444" s="3325"/>
      <c r="AQ444" s="3303"/>
      <c r="AR444" s="3303"/>
    </row>
    <row r="445" spans="1:44" ht="12.75" customHeight="1">
      <c r="A445" s="3325"/>
      <c r="B445" s="3340"/>
      <c r="C445" s="3249"/>
      <c r="D445" s="3325"/>
      <c r="E445" s="3247"/>
      <c r="F445" s="3340"/>
      <c r="G445" s="3244"/>
      <c r="H445" s="3304"/>
      <c r="I445" s="3564"/>
      <c r="J445" s="3565"/>
      <c r="K445" s="3566"/>
      <c r="L445" s="3251"/>
      <c r="M445" s="3325"/>
      <c r="N445" s="3342"/>
      <c r="O445" s="3564"/>
      <c r="P445" s="3574"/>
      <c r="Q445" s="3566"/>
      <c r="R445" s="3251"/>
      <c r="S445" s="3566"/>
      <c r="T445" s="3557"/>
      <c r="U445" s="3566"/>
      <c r="V445" s="3567"/>
      <c r="W445" s="2597"/>
      <c r="X445" s="3251"/>
      <c r="Y445" s="2597"/>
      <c r="Z445" s="3251"/>
      <c r="AA445" s="2597"/>
      <c r="AB445" s="3251"/>
      <c r="AC445" s="2597"/>
      <c r="AD445" s="3251"/>
      <c r="AE445" s="3325"/>
      <c r="AF445" s="3342"/>
      <c r="AG445" s="3343"/>
      <c r="AH445" s="3303"/>
      <c r="AI445" s="3244"/>
      <c r="AJ445" s="3302"/>
      <c r="AK445" s="3244"/>
      <c r="AL445" s="3303"/>
      <c r="AM445" s="3325"/>
      <c r="AN445" s="3015"/>
      <c r="AO445" s="3344"/>
      <c r="AP445" s="3325"/>
      <c r="AQ445" s="3303"/>
      <c r="AR445" s="3303"/>
    </row>
    <row r="446" spans="1:44" ht="12.75" customHeight="1">
      <c r="A446" s="3325"/>
      <c r="B446" s="3340"/>
      <c r="C446" s="3249"/>
      <c r="D446" s="3325"/>
      <c r="E446" s="3247"/>
      <c r="F446" s="3340"/>
      <c r="G446" s="3244"/>
      <c r="H446" s="3304"/>
      <c r="I446" s="3564"/>
      <c r="J446" s="3565"/>
      <c r="K446" s="3566"/>
      <c r="L446" s="3251"/>
      <c r="M446" s="3325"/>
      <c r="N446" s="3342"/>
      <c r="O446" s="3564"/>
      <c r="P446" s="3574"/>
      <c r="Q446" s="3566"/>
      <c r="R446" s="3251"/>
      <c r="S446" s="3566"/>
      <c r="T446" s="3557"/>
      <c r="U446" s="3566"/>
      <c r="V446" s="3567"/>
      <c r="W446" s="2597"/>
      <c r="X446" s="3251"/>
      <c r="Y446" s="2597"/>
      <c r="Z446" s="3251"/>
      <c r="AA446" s="2597"/>
      <c r="AB446" s="3251"/>
      <c r="AC446" s="2597"/>
      <c r="AD446" s="3251"/>
      <c r="AE446" s="3325"/>
      <c r="AF446" s="3342"/>
      <c r="AG446" s="3343"/>
      <c r="AH446" s="3303"/>
      <c r="AI446" s="3244"/>
      <c r="AJ446" s="3302"/>
      <c r="AK446" s="3244"/>
      <c r="AL446" s="3303"/>
      <c r="AM446" s="3325"/>
      <c r="AN446" s="3015"/>
      <c r="AO446" s="3344"/>
      <c r="AP446" s="3325"/>
      <c r="AQ446" s="3303"/>
      <c r="AR446" s="3303"/>
    </row>
    <row r="447" spans="1:44" ht="12.75" customHeight="1">
      <c r="A447" s="3325"/>
      <c r="B447" s="3340"/>
      <c r="C447" s="3249"/>
      <c r="D447" s="3325"/>
      <c r="E447" s="3247"/>
      <c r="F447" s="3340"/>
      <c r="G447" s="3244"/>
      <c r="H447" s="3304"/>
      <c r="I447" s="3564"/>
      <c r="J447" s="3565"/>
      <c r="K447" s="3566"/>
      <c r="L447" s="3251"/>
      <c r="M447" s="3325"/>
      <c r="N447" s="3342"/>
      <c r="O447" s="3564"/>
      <c r="P447" s="3574"/>
      <c r="Q447" s="3566"/>
      <c r="R447" s="3251"/>
      <c r="S447" s="3566"/>
      <c r="T447" s="3557"/>
      <c r="U447" s="3566"/>
      <c r="V447" s="3567"/>
      <c r="W447" s="2597"/>
      <c r="X447" s="3251"/>
      <c r="Y447" s="2597"/>
      <c r="Z447" s="3251"/>
      <c r="AA447" s="2597"/>
      <c r="AB447" s="3251"/>
      <c r="AC447" s="2597"/>
      <c r="AD447" s="3251"/>
      <c r="AE447" s="3325"/>
      <c r="AF447" s="3342"/>
      <c r="AG447" s="3343"/>
      <c r="AH447" s="3303"/>
      <c r="AI447" s="3244"/>
      <c r="AJ447" s="3302"/>
      <c r="AK447" s="3244"/>
      <c r="AL447" s="3303"/>
      <c r="AM447" s="3325"/>
      <c r="AN447" s="3015"/>
      <c r="AO447" s="3344"/>
      <c r="AP447" s="3325"/>
      <c r="AQ447" s="3303"/>
      <c r="AR447" s="3303"/>
    </row>
    <row r="448" spans="1:44" ht="12.75" customHeight="1">
      <c r="A448" s="3325"/>
      <c r="B448" s="3340"/>
      <c r="C448" s="3249"/>
      <c r="D448" s="3325"/>
      <c r="E448" s="3247"/>
      <c r="F448" s="3340"/>
      <c r="G448" s="3244"/>
      <c r="H448" s="3304"/>
      <c r="I448" s="3564"/>
      <c r="J448" s="3565"/>
      <c r="K448" s="3566"/>
      <c r="L448" s="3251"/>
      <c r="M448" s="3325"/>
      <c r="N448" s="3342"/>
      <c r="O448" s="3564"/>
      <c r="P448" s="3574"/>
      <c r="Q448" s="3566"/>
      <c r="R448" s="3251"/>
      <c r="S448" s="3566"/>
      <c r="T448" s="3557"/>
      <c r="U448" s="3566"/>
      <c r="V448" s="3567"/>
      <c r="W448" s="2597"/>
      <c r="X448" s="3251"/>
      <c r="Y448" s="2597"/>
      <c r="Z448" s="3251"/>
      <c r="AA448" s="2597"/>
      <c r="AB448" s="3251"/>
      <c r="AC448" s="2597"/>
      <c r="AD448" s="3251"/>
      <c r="AE448" s="3325"/>
      <c r="AF448" s="3342"/>
      <c r="AG448" s="3343"/>
      <c r="AH448" s="3303"/>
      <c r="AI448" s="3244"/>
      <c r="AJ448" s="3302"/>
      <c r="AK448" s="3244"/>
      <c r="AL448" s="3303"/>
      <c r="AM448" s="3325"/>
      <c r="AN448" s="3015"/>
      <c r="AO448" s="3344"/>
      <c r="AP448" s="3325"/>
      <c r="AQ448" s="3303"/>
      <c r="AR448" s="3303"/>
    </row>
    <row r="449" spans="1:44" ht="12.75" customHeight="1">
      <c r="A449" s="3325"/>
      <c r="B449" s="3340"/>
      <c r="C449" s="3249"/>
      <c r="D449" s="3325"/>
      <c r="E449" s="3247"/>
      <c r="F449" s="3340"/>
      <c r="G449" s="3244"/>
      <c r="H449" s="3304"/>
      <c r="I449" s="3564"/>
      <c r="J449" s="3565"/>
      <c r="K449" s="3566"/>
      <c r="L449" s="3251"/>
      <c r="M449" s="3325"/>
      <c r="N449" s="3342"/>
      <c r="O449" s="3564"/>
      <c r="P449" s="3574"/>
      <c r="Q449" s="3566"/>
      <c r="R449" s="3251"/>
      <c r="S449" s="3566"/>
      <c r="T449" s="3557"/>
      <c r="U449" s="3566"/>
      <c r="V449" s="3567"/>
      <c r="W449" s="2597"/>
      <c r="X449" s="3251"/>
      <c r="Y449" s="2597"/>
      <c r="Z449" s="3251"/>
      <c r="AA449" s="2597"/>
      <c r="AB449" s="3251"/>
      <c r="AC449" s="2597"/>
      <c r="AD449" s="3251"/>
      <c r="AE449" s="3325"/>
      <c r="AF449" s="3342"/>
      <c r="AG449" s="3343"/>
      <c r="AH449" s="3303"/>
      <c r="AI449" s="3244"/>
      <c r="AJ449" s="3302"/>
      <c r="AK449" s="3244"/>
      <c r="AL449" s="3303"/>
      <c r="AM449" s="3325"/>
      <c r="AN449" s="3015"/>
      <c r="AO449" s="3344"/>
      <c r="AP449" s="3325"/>
      <c r="AQ449" s="3303"/>
      <c r="AR449" s="3303"/>
    </row>
    <row r="450" spans="1:44" ht="12.75" customHeight="1">
      <c r="A450" s="3325"/>
      <c r="B450" s="3340"/>
      <c r="C450" s="3249"/>
      <c r="D450" s="3325"/>
      <c r="E450" s="3247"/>
      <c r="F450" s="3340"/>
      <c r="G450" s="3244"/>
      <c r="H450" s="3304"/>
      <c r="I450" s="3564"/>
      <c r="J450" s="3565"/>
      <c r="K450" s="3566"/>
      <c r="L450" s="3251"/>
      <c r="M450" s="3325"/>
      <c r="N450" s="3342"/>
      <c r="O450" s="3564"/>
      <c r="P450" s="3574"/>
      <c r="Q450" s="3566"/>
      <c r="R450" s="3251"/>
      <c r="S450" s="3566"/>
      <c r="T450" s="3557"/>
      <c r="U450" s="3566"/>
      <c r="V450" s="3567"/>
      <c r="W450" s="2597"/>
      <c r="X450" s="3251"/>
      <c r="Y450" s="2597"/>
      <c r="Z450" s="3251"/>
      <c r="AA450" s="2597"/>
      <c r="AB450" s="3251"/>
      <c r="AC450" s="2597"/>
      <c r="AD450" s="3251"/>
      <c r="AE450" s="3325"/>
      <c r="AF450" s="3342"/>
      <c r="AG450" s="3343"/>
      <c r="AH450" s="3303"/>
      <c r="AI450" s="3244"/>
      <c r="AJ450" s="3302"/>
      <c r="AK450" s="3244"/>
      <c r="AL450" s="3303"/>
      <c r="AM450" s="3325"/>
      <c r="AN450" s="3015"/>
      <c r="AO450" s="3344"/>
      <c r="AP450" s="3325"/>
      <c r="AQ450" s="3303"/>
      <c r="AR450" s="3303"/>
    </row>
    <row r="451" spans="1:44" ht="12.75" customHeight="1">
      <c r="A451" s="3325"/>
      <c r="B451" s="3340"/>
      <c r="C451" s="3249"/>
      <c r="D451" s="3325"/>
      <c r="E451" s="3247"/>
      <c r="F451" s="3340"/>
      <c r="G451" s="3244"/>
      <c r="H451" s="3304"/>
      <c r="I451" s="3564"/>
      <c r="J451" s="3565"/>
      <c r="K451" s="3566"/>
      <c r="L451" s="3251"/>
      <c r="M451" s="3325"/>
      <c r="N451" s="3342"/>
      <c r="O451" s="3564"/>
      <c r="P451" s="3574"/>
      <c r="Q451" s="3566"/>
      <c r="R451" s="3251"/>
      <c r="S451" s="3566"/>
      <c r="T451" s="3557"/>
      <c r="U451" s="3566"/>
      <c r="V451" s="3567"/>
      <c r="W451" s="2597"/>
      <c r="X451" s="3251"/>
      <c r="Y451" s="2597"/>
      <c r="Z451" s="3251"/>
      <c r="AA451" s="2597"/>
      <c r="AB451" s="3251"/>
      <c r="AC451" s="2597"/>
      <c r="AD451" s="3251"/>
      <c r="AE451" s="3325"/>
      <c r="AF451" s="3342"/>
      <c r="AG451" s="3343"/>
      <c r="AH451" s="3303"/>
      <c r="AI451" s="3244"/>
      <c r="AJ451" s="3302"/>
      <c r="AK451" s="3244"/>
      <c r="AL451" s="3303"/>
      <c r="AM451" s="3325"/>
      <c r="AN451" s="3015"/>
      <c r="AO451" s="3344"/>
      <c r="AP451" s="3325"/>
      <c r="AQ451" s="3303"/>
      <c r="AR451" s="3303"/>
    </row>
    <row r="452" spans="1:44" ht="12.75" customHeight="1">
      <c r="A452" s="3325"/>
      <c r="B452" s="3340"/>
      <c r="C452" s="3249"/>
      <c r="D452" s="3325"/>
      <c r="E452" s="3247"/>
      <c r="F452" s="3340"/>
      <c r="G452" s="3244"/>
      <c r="H452" s="3304"/>
      <c r="I452" s="3564"/>
      <c r="J452" s="3565"/>
      <c r="K452" s="3566"/>
      <c r="L452" s="3251"/>
      <c r="M452" s="3325"/>
      <c r="N452" s="3342"/>
      <c r="O452" s="3564"/>
      <c r="P452" s="3574"/>
      <c r="Q452" s="3566"/>
      <c r="R452" s="3251"/>
      <c r="S452" s="3566"/>
      <c r="T452" s="3557"/>
      <c r="U452" s="3566"/>
      <c r="V452" s="3567"/>
      <c r="W452" s="2597"/>
      <c r="X452" s="3251"/>
      <c r="Y452" s="2597"/>
      <c r="Z452" s="3251"/>
      <c r="AA452" s="2597"/>
      <c r="AB452" s="3251"/>
      <c r="AC452" s="2597"/>
      <c r="AD452" s="3251"/>
      <c r="AE452" s="3325"/>
      <c r="AF452" s="3342"/>
      <c r="AG452" s="3343"/>
      <c r="AH452" s="3303"/>
      <c r="AI452" s="3244"/>
      <c r="AJ452" s="3302"/>
      <c r="AK452" s="3244"/>
      <c r="AL452" s="3303"/>
      <c r="AM452" s="3325"/>
      <c r="AN452" s="3015"/>
      <c r="AO452" s="3344"/>
      <c r="AP452" s="3325"/>
      <c r="AQ452" s="3303"/>
      <c r="AR452" s="3303"/>
    </row>
    <row r="453" spans="1:44" ht="12.75" customHeight="1">
      <c r="A453" s="3325"/>
      <c r="B453" s="3340"/>
      <c r="C453" s="3249"/>
      <c r="D453" s="3325"/>
      <c r="E453" s="3247"/>
      <c r="F453" s="3340"/>
      <c r="G453" s="3244"/>
      <c r="H453" s="3304"/>
      <c r="I453" s="3564"/>
      <c r="J453" s="3565"/>
      <c r="K453" s="3566"/>
      <c r="L453" s="3251"/>
      <c r="M453" s="3325"/>
      <c r="N453" s="3342"/>
      <c r="O453" s="3564"/>
      <c r="P453" s="3574"/>
      <c r="Q453" s="3566"/>
      <c r="R453" s="3251"/>
      <c r="S453" s="3566"/>
      <c r="T453" s="3557"/>
      <c r="U453" s="3566"/>
      <c r="V453" s="3567"/>
      <c r="W453" s="2597"/>
      <c r="X453" s="3251"/>
      <c r="Y453" s="2597"/>
      <c r="Z453" s="3251"/>
      <c r="AA453" s="2597"/>
      <c r="AB453" s="3251"/>
      <c r="AC453" s="2597"/>
      <c r="AD453" s="3251"/>
      <c r="AE453" s="3325"/>
      <c r="AF453" s="3342"/>
      <c r="AG453" s="3343"/>
      <c r="AH453" s="3303"/>
      <c r="AI453" s="3244"/>
      <c r="AJ453" s="3302"/>
      <c r="AK453" s="3244"/>
      <c r="AL453" s="3303"/>
      <c r="AM453" s="3325"/>
      <c r="AN453" s="3015"/>
      <c r="AO453" s="3344"/>
      <c r="AP453" s="3325"/>
      <c r="AQ453" s="3303"/>
      <c r="AR453" s="3303"/>
    </row>
    <row r="454" spans="1:44" ht="12.75" customHeight="1">
      <c r="A454" s="3325"/>
      <c r="B454" s="3340"/>
      <c r="C454" s="3249"/>
      <c r="D454" s="3325"/>
      <c r="E454" s="3247"/>
      <c r="F454" s="3340"/>
      <c r="G454" s="3244"/>
      <c r="H454" s="3304"/>
      <c r="I454" s="3564"/>
      <c r="J454" s="3565"/>
      <c r="K454" s="3566"/>
      <c r="L454" s="3251"/>
      <c r="M454" s="3325"/>
      <c r="N454" s="3342"/>
      <c r="O454" s="3564"/>
      <c r="P454" s="3574"/>
      <c r="Q454" s="3566"/>
      <c r="R454" s="3251"/>
      <c r="S454" s="3566"/>
      <c r="T454" s="3557"/>
      <c r="U454" s="3566"/>
      <c r="V454" s="3567"/>
      <c r="W454" s="2597"/>
      <c r="X454" s="3251"/>
      <c r="Y454" s="2597"/>
      <c r="Z454" s="3251"/>
      <c r="AA454" s="2597"/>
      <c r="AB454" s="3251"/>
      <c r="AC454" s="2597"/>
      <c r="AD454" s="3251"/>
      <c r="AE454" s="3325"/>
      <c r="AF454" s="3342"/>
      <c r="AG454" s="3343"/>
      <c r="AH454" s="3303"/>
      <c r="AI454" s="3244"/>
      <c r="AJ454" s="3302"/>
      <c r="AK454" s="3244"/>
      <c r="AL454" s="3303"/>
      <c r="AM454" s="3325"/>
      <c r="AN454" s="3015"/>
      <c r="AO454" s="3344"/>
      <c r="AP454" s="3325"/>
      <c r="AQ454" s="3303"/>
      <c r="AR454" s="3303"/>
    </row>
    <row r="455" spans="1:44" ht="12.75" customHeight="1">
      <c r="A455" s="3325"/>
      <c r="B455" s="3340"/>
      <c r="C455" s="3249"/>
      <c r="D455" s="3325"/>
      <c r="E455" s="3247"/>
      <c r="F455" s="3340"/>
      <c r="G455" s="3244"/>
      <c r="H455" s="3304"/>
      <c r="I455" s="3564"/>
      <c r="J455" s="3565"/>
      <c r="K455" s="3566"/>
      <c r="L455" s="3251"/>
      <c r="M455" s="3325"/>
      <c r="N455" s="3342"/>
      <c r="O455" s="3564"/>
      <c r="P455" s="3574"/>
      <c r="Q455" s="3566"/>
      <c r="R455" s="3251"/>
      <c r="S455" s="3566"/>
      <c r="T455" s="3557"/>
      <c r="U455" s="3566"/>
      <c r="V455" s="3567"/>
      <c r="W455" s="2597"/>
      <c r="X455" s="3251"/>
      <c r="Y455" s="2597"/>
      <c r="Z455" s="3251"/>
      <c r="AA455" s="2597"/>
      <c r="AB455" s="3251"/>
      <c r="AC455" s="2597"/>
      <c r="AD455" s="3251"/>
      <c r="AE455" s="3325"/>
      <c r="AF455" s="3342"/>
      <c r="AG455" s="3343"/>
      <c r="AH455" s="3303"/>
      <c r="AI455" s="3244"/>
      <c r="AJ455" s="3302"/>
      <c r="AK455" s="3244"/>
      <c r="AL455" s="3303"/>
      <c r="AM455" s="3325"/>
      <c r="AN455" s="3015"/>
      <c r="AO455" s="3344"/>
      <c r="AP455" s="3325"/>
      <c r="AQ455" s="3303"/>
      <c r="AR455" s="3303"/>
    </row>
    <row r="456" spans="1:44" ht="12.75" customHeight="1">
      <c r="A456" s="3325"/>
      <c r="B456" s="3340"/>
      <c r="C456" s="3249"/>
      <c r="D456" s="3325"/>
      <c r="E456" s="3247"/>
      <c r="F456" s="3340"/>
      <c r="G456" s="3244"/>
      <c r="H456" s="3304"/>
      <c r="I456" s="3564"/>
      <c r="J456" s="3565"/>
      <c r="K456" s="3566"/>
      <c r="L456" s="3251"/>
      <c r="M456" s="3325"/>
      <c r="N456" s="3342"/>
      <c r="O456" s="3564"/>
      <c r="P456" s="3574"/>
      <c r="Q456" s="3566"/>
      <c r="R456" s="3251"/>
      <c r="S456" s="3566"/>
      <c r="T456" s="3557"/>
      <c r="U456" s="3566"/>
      <c r="V456" s="3567"/>
      <c r="W456" s="2597"/>
      <c r="X456" s="3251"/>
      <c r="Y456" s="2597"/>
      <c r="Z456" s="3251"/>
      <c r="AA456" s="2597"/>
      <c r="AB456" s="3251"/>
      <c r="AC456" s="2597"/>
      <c r="AD456" s="3251"/>
      <c r="AE456" s="3325"/>
      <c r="AF456" s="3342"/>
      <c r="AG456" s="3343"/>
      <c r="AH456" s="3303"/>
      <c r="AI456" s="3244"/>
      <c r="AJ456" s="3302"/>
      <c r="AK456" s="3244"/>
      <c r="AL456" s="3303"/>
      <c r="AM456" s="3325"/>
      <c r="AN456" s="3015"/>
      <c r="AO456" s="3344"/>
      <c r="AP456" s="3325"/>
      <c r="AQ456" s="3303"/>
      <c r="AR456" s="3303"/>
    </row>
    <row r="457" spans="1:44" ht="12.75" customHeight="1">
      <c r="A457" s="3325"/>
      <c r="B457" s="3340"/>
      <c r="C457" s="3249"/>
      <c r="D457" s="3325"/>
      <c r="E457" s="3247"/>
      <c r="F457" s="3340"/>
      <c r="G457" s="3244"/>
      <c r="H457" s="3304"/>
      <c r="I457" s="3564"/>
      <c r="J457" s="3565"/>
      <c r="K457" s="3566"/>
      <c r="L457" s="3251"/>
      <c r="M457" s="3325"/>
      <c r="N457" s="3342"/>
      <c r="O457" s="3564"/>
      <c r="P457" s="3574"/>
      <c r="Q457" s="3566"/>
      <c r="R457" s="3251"/>
      <c r="S457" s="3566"/>
      <c r="T457" s="3557"/>
      <c r="U457" s="3566"/>
      <c r="V457" s="3567"/>
      <c r="W457" s="2597"/>
      <c r="X457" s="3251"/>
      <c r="Y457" s="2597"/>
      <c r="Z457" s="3251"/>
      <c r="AA457" s="2597"/>
      <c r="AB457" s="3251"/>
      <c r="AC457" s="2597"/>
      <c r="AD457" s="3251"/>
      <c r="AE457" s="3325"/>
      <c r="AF457" s="3342"/>
      <c r="AG457" s="3343"/>
      <c r="AH457" s="3303"/>
      <c r="AI457" s="3244"/>
      <c r="AJ457" s="3302"/>
      <c r="AK457" s="3244"/>
      <c r="AL457" s="3303"/>
      <c r="AM457" s="3325"/>
      <c r="AN457" s="3015"/>
      <c r="AO457" s="3344"/>
      <c r="AP457" s="3325"/>
      <c r="AQ457" s="3303"/>
      <c r="AR457" s="3303"/>
    </row>
    <row r="458" spans="1:44" ht="12.75" customHeight="1">
      <c r="A458" s="3325"/>
      <c r="B458" s="3340"/>
      <c r="C458" s="3249"/>
      <c r="D458" s="3325"/>
      <c r="E458" s="3247"/>
      <c r="F458" s="3340"/>
      <c r="G458" s="3244"/>
      <c r="H458" s="3304"/>
      <c r="I458" s="3564"/>
      <c r="J458" s="3565"/>
      <c r="K458" s="3566"/>
      <c r="L458" s="3251"/>
      <c r="M458" s="3325"/>
      <c r="N458" s="3342"/>
      <c r="O458" s="3564"/>
      <c r="P458" s="3574"/>
      <c r="Q458" s="3566"/>
      <c r="R458" s="3251"/>
      <c r="S458" s="3566"/>
      <c r="T458" s="3557"/>
      <c r="U458" s="3566"/>
      <c r="V458" s="3567"/>
      <c r="W458" s="2597"/>
      <c r="X458" s="3251"/>
      <c r="Y458" s="2597"/>
      <c r="Z458" s="3251"/>
      <c r="AA458" s="2597"/>
      <c r="AB458" s="3251"/>
      <c r="AC458" s="2597"/>
      <c r="AD458" s="3251"/>
      <c r="AE458" s="3325"/>
      <c r="AF458" s="3342"/>
      <c r="AG458" s="3343"/>
      <c r="AH458" s="3303"/>
      <c r="AI458" s="3244"/>
      <c r="AJ458" s="3302"/>
      <c r="AK458" s="3244"/>
      <c r="AL458" s="3303"/>
      <c r="AM458" s="3325"/>
      <c r="AN458" s="3015"/>
      <c r="AO458" s="3344"/>
      <c r="AP458" s="3325"/>
      <c r="AQ458" s="3303"/>
      <c r="AR458" s="3303"/>
    </row>
    <row r="459" spans="1:44" ht="12.75" customHeight="1">
      <c r="A459" s="3325"/>
      <c r="B459" s="3340"/>
      <c r="C459" s="3249"/>
      <c r="D459" s="3325"/>
      <c r="E459" s="3247"/>
      <c r="F459" s="3340"/>
      <c r="G459" s="3244"/>
      <c r="H459" s="3304"/>
      <c r="I459" s="3564"/>
      <c r="J459" s="3565"/>
      <c r="K459" s="3566"/>
      <c r="L459" s="3251"/>
      <c r="M459" s="3325"/>
      <c r="N459" s="3342"/>
      <c r="O459" s="3564"/>
      <c r="P459" s="3574"/>
      <c r="Q459" s="3566"/>
      <c r="R459" s="3251"/>
      <c r="S459" s="3566"/>
      <c r="T459" s="3557"/>
      <c r="U459" s="3566"/>
      <c r="V459" s="3567"/>
      <c r="W459" s="2597"/>
      <c r="X459" s="3251"/>
      <c r="Y459" s="2597"/>
      <c r="Z459" s="3251"/>
      <c r="AA459" s="2597"/>
      <c r="AB459" s="3251"/>
      <c r="AC459" s="2597"/>
      <c r="AD459" s="3251"/>
      <c r="AE459" s="3325"/>
      <c r="AF459" s="3342"/>
      <c r="AG459" s="3343"/>
      <c r="AH459" s="3303"/>
      <c r="AI459" s="3244"/>
      <c r="AJ459" s="3302"/>
      <c r="AK459" s="3244"/>
      <c r="AL459" s="3303"/>
      <c r="AM459" s="3325"/>
      <c r="AN459" s="3015"/>
      <c r="AO459" s="3344"/>
      <c r="AP459" s="3325"/>
      <c r="AQ459" s="3303"/>
      <c r="AR459" s="3303"/>
    </row>
    <row r="460" spans="1:44" ht="12.75" customHeight="1">
      <c r="A460" s="3325"/>
      <c r="B460" s="3340"/>
      <c r="C460" s="3249"/>
      <c r="D460" s="3325"/>
      <c r="E460" s="3247"/>
      <c r="F460" s="3340"/>
      <c r="G460" s="3244"/>
      <c r="H460" s="3304"/>
      <c r="I460" s="3564"/>
      <c r="J460" s="3565"/>
      <c r="K460" s="3566"/>
      <c r="L460" s="3251"/>
      <c r="M460" s="3325"/>
      <c r="N460" s="3342"/>
      <c r="O460" s="3564"/>
      <c r="P460" s="3574"/>
      <c r="Q460" s="3566"/>
      <c r="R460" s="3251"/>
      <c r="S460" s="3566"/>
      <c r="T460" s="3557"/>
      <c r="U460" s="3566"/>
      <c r="V460" s="3567"/>
      <c r="W460" s="2597"/>
      <c r="X460" s="3251"/>
      <c r="Y460" s="2597"/>
      <c r="Z460" s="3251"/>
      <c r="AA460" s="2597"/>
      <c r="AB460" s="3251"/>
      <c r="AC460" s="2597"/>
      <c r="AD460" s="3251"/>
      <c r="AE460" s="3325"/>
      <c r="AF460" s="3342"/>
      <c r="AG460" s="3343"/>
      <c r="AH460" s="3303"/>
      <c r="AI460" s="3244"/>
      <c r="AJ460" s="3302"/>
      <c r="AK460" s="3244"/>
      <c r="AL460" s="3303"/>
      <c r="AM460" s="3325"/>
      <c r="AN460" s="3015"/>
      <c r="AO460" s="3344"/>
      <c r="AP460" s="3325"/>
      <c r="AQ460" s="3303"/>
      <c r="AR460" s="3303"/>
    </row>
    <row r="461" spans="1:44" ht="12.75" customHeight="1">
      <c r="A461" s="3325"/>
      <c r="B461" s="3340"/>
      <c r="C461" s="3249"/>
      <c r="D461" s="3325"/>
      <c r="E461" s="3247"/>
      <c r="F461" s="3340"/>
      <c r="G461" s="3244"/>
      <c r="H461" s="3304"/>
      <c r="I461" s="3564"/>
      <c r="J461" s="3565"/>
      <c r="K461" s="3566"/>
      <c r="L461" s="3251"/>
      <c r="M461" s="3325"/>
      <c r="N461" s="3342"/>
      <c r="O461" s="3564"/>
      <c r="P461" s="3574"/>
      <c r="Q461" s="3566"/>
      <c r="R461" s="3251"/>
      <c r="S461" s="3566"/>
      <c r="T461" s="3557"/>
      <c r="U461" s="3566"/>
      <c r="V461" s="3567"/>
      <c r="W461" s="2597"/>
      <c r="X461" s="3251"/>
      <c r="Y461" s="2597"/>
      <c r="Z461" s="3251"/>
      <c r="AA461" s="2597"/>
      <c r="AB461" s="3251"/>
      <c r="AC461" s="2597"/>
      <c r="AD461" s="3251"/>
      <c r="AE461" s="3325"/>
      <c r="AF461" s="3342"/>
      <c r="AG461" s="3343"/>
      <c r="AH461" s="3303"/>
      <c r="AI461" s="3244"/>
      <c r="AJ461" s="3302"/>
      <c r="AK461" s="3244"/>
      <c r="AL461" s="3303"/>
      <c r="AM461" s="3325"/>
      <c r="AN461" s="3015"/>
      <c r="AO461" s="3344"/>
      <c r="AP461" s="3325"/>
      <c r="AQ461" s="3303"/>
      <c r="AR461" s="3303"/>
    </row>
    <row r="462" spans="1:44" ht="12.75" customHeight="1">
      <c r="A462" s="3325"/>
      <c r="B462" s="3340"/>
      <c r="C462" s="3249"/>
      <c r="D462" s="3325"/>
      <c r="E462" s="3247"/>
      <c r="F462" s="3340"/>
      <c r="G462" s="3244"/>
      <c r="H462" s="3304"/>
      <c r="I462" s="3564"/>
      <c r="J462" s="3565"/>
      <c r="K462" s="3566"/>
      <c r="L462" s="3251"/>
      <c r="M462" s="3325"/>
      <c r="N462" s="3342"/>
      <c r="O462" s="3564"/>
      <c r="P462" s="3574"/>
      <c r="Q462" s="3566"/>
      <c r="R462" s="3251"/>
      <c r="S462" s="3566"/>
      <c r="T462" s="3557"/>
      <c r="U462" s="3566"/>
      <c r="V462" s="3567"/>
      <c r="W462" s="2597"/>
      <c r="X462" s="3251"/>
      <c r="Y462" s="2597"/>
      <c r="Z462" s="3251"/>
      <c r="AA462" s="2597"/>
      <c r="AB462" s="3251"/>
      <c r="AC462" s="2597"/>
      <c r="AD462" s="3251"/>
      <c r="AE462" s="3325"/>
      <c r="AF462" s="3342"/>
      <c r="AG462" s="3343"/>
      <c r="AH462" s="3303"/>
      <c r="AI462" s="3244"/>
      <c r="AJ462" s="3302"/>
      <c r="AK462" s="3244"/>
      <c r="AL462" s="3303"/>
      <c r="AM462" s="3325"/>
      <c r="AN462" s="3015"/>
      <c r="AO462" s="3344"/>
      <c r="AP462" s="3325"/>
      <c r="AQ462" s="3303"/>
      <c r="AR462" s="3303"/>
    </row>
    <row r="463" spans="1:44" ht="12.75" customHeight="1">
      <c r="A463" s="3325"/>
      <c r="B463" s="3340"/>
      <c r="C463" s="3249"/>
      <c r="D463" s="3325"/>
      <c r="E463" s="3247"/>
      <c r="F463" s="3340"/>
      <c r="G463" s="3244"/>
      <c r="H463" s="3304"/>
      <c r="I463" s="3564"/>
      <c r="J463" s="3565"/>
      <c r="K463" s="3566"/>
      <c r="L463" s="3251"/>
      <c r="M463" s="3325"/>
      <c r="N463" s="3342"/>
      <c r="O463" s="3564"/>
      <c r="P463" s="3574"/>
      <c r="Q463" s="3566"/>
      <c r="R463" s="3251"/>
      <c r="S463" s="3566"/>
      <c r="T463" s="3557"/>
      <c r="U463" s="3566"/>
      <c r="V463" s="3567"/>
      <c r="W463" s="2597"/>
      <c r="X463" s="3251"/>
      <c r="Y463" s="2597"/>
      <c r="Z463" s="3251"/>
      <c r="AA463" s="2597"/>
      <c r="AB463" s="3251"/>
      <c r="AC463" s="2597"/>
      <c r="AD463" s="3251"/>
      <c r="AE463" s="3325"/>
      <c r="AF463" s="3342"/>
      <c r="AG463" s="3343"/>
      <c r="AH463" s="3303"/>
      <c r="AI463" s="3244"/>
      <c r="AJ463" s="3302"/>
      <c r="AK463" s="3244"/>
      <c r="AL463" s="3303"/>
      <c r="AM463" s="3325"/>
      <c r="AN463" s="3015"/>
      <c r="AO463" s="3344"/>
      <c r="AP463" s="3325"/>
      <c r="AQ463" s="3303"/>
      <c r="AR463" s="3303"/>
    </row>
    <row r="464" spans="1:44" ht="12.75" customHeight="1">
      <c r="A464" s="3325"/>
      <c r="B464" s="3340"/>
      <c r="C464" s="3249"/>
      <c r="D464" s="3325"/>
      <c r="E464" s="3247"/>
      <c r="F464" s="3340"/>
      <c r="G464" s="3244"/>
      <c r="H464" s="3304"/>
      <c r="I464" s="3564"/>
      <c r="J464" s="3565"/>
      <c r="K464" s="3566"/>
      <c r="L464" s="3251"/>
      <c r="M464" s="3325"/>
      <c r="N464" s="3342"/>
      <c r="O464" s="3564"/>
      <c r="P464" s="3574"/>
      <c r="Q464" s="3566"/>
      <c r="R464" s="3251"/>
      <c r="S464" s="3566"/>
      <c r="T464" s="3557"/>
      <c r="U464" s="3566"/>
      <c r="V464" s="3567"/>
      <c r="W464" s="2597"/>
      <c r="X464" s="3251"/>
      <c r="Y464" s="2597"/>
      <c r="Z464" s="3251"/>
      <c r="AA464" s="2597"/>
      <c r="AB464" s="3251"/>
      <c r="AC464" s="2597"/>
      <c r="AD464" s="3251"/>
      <c r="AE464" s="3325"/>
      <c r="AF464" s="3342"/>
      <c r="AG464" s="3343"/>
      <c r="AH464" s="3303"/>
      <c r="AI464" s="3244"/>
      <c r="AJ464" s="3302"/>
      <c r="AK464" s="3244"/>
      <c r="AL464" s="3303"/>
      <c r="AM464" s="3325"/>
      <c r="AN464" s="3015"/>
      <c r="AO464" s="3344"/>
      <c r="AP464" s="3325"/>
      <c r="AQ464" s="3303"/>
      <c r="AR464" s="3303"/>
    </row>
    <row r="465" spans="1:44" ht="12.75" customHeight="1">
      <c r="A465" s="3325"/>
      <c r="B465" s="3340"/>
      <c r="C465" s="3249"/>
      <c r="D465" s="3325"/>
      <c r="E465" s="3247"/>
      <c r="F465" s="3340"/>
      <c r="G465" s="3244"/>
      <c r="H465" s="3304"/>
      <c r="I465" s="3564"/>
      <c r="J465" s="3565"/>
      <c r="K465" s="3566"/>
      <c r="L465" s="3251"/>
      <c r="M465" s="3325"/>
      <c r="N465" s="3342"/>
      <c r="O465" s="3564"/>
      <c r="P465" s="3574"/>
      <c r="Q465" s="3566"/>
      <c r="R465" s="3251"/>
      <c r="S465" s="3566"/>
      <c r="T465" s="3557"/>
      <c r="U465" s="3566"/>
      <c r="V465" s="3567"/>
      <c r="W465" s="2597"/>
      <c r="X465" s="3251"/>
      <c r="Y465" s="2597"/>
      <c r="Z465" s="3251"/>
      <c r="AA465" s="2597"/>
      <c r="AB465" s="3251"/>
      <c r="AC465" s="2597"/>
      <c r="AD465" s="3251"/>
      <c r="AE465" s="3325"/>
      <c r="AF465" s="3342"/>
      <c r="AG465" s="3343"/>
      <c r="AH465" s="3303"/>
      <c r="AI465" s="3244"/>
      <c r="AJ465" s="3302"/>
      <c r="AK465" s="3244"/>
      <c r="AL465" s="3303"/>
      <c r="AM465" s="3325"/>
      <c r="AN465" s="3015"/>
      <c r="AO465" s="3344"/>
      <c r="AP465" s="3325"/>
      <c r="AQ465" s="3303"/>
      <c r="AR465" s="3303"/>
    </row>
    <row r="466" spans="1:44" ht="12.75" customHeight="1">
      <c r="A466" s="3325"/>
      <c r="B466" s="3340"/>
      <c r="C466" s="3249"/>
      <c r="D466" s="3325"/>
      <c r="E466" s="3247"/>
      <c r="F466" s="3340"/>
      <c r="G466" s="3244"/>
      <c r="H466" s="3304"/>
      <c r="I466" s="3564"/>
      <c r="J466" s="3565"/>
      <c r="K466" s="3566"/>
      <c r="L466" s="3251"/>
      <c r="M466" s="3325"/>
      <c r="N466" s="3342"/>
      <c r="O466" s="3564"/>
      <c r="P466" s="3574"/>
      <c r="Q466" s="3566"/>
      <c r="R466" s="3251"/>
      <c r="S466" s="3566"/>
      <c r="T466" s="3557"/>
      <c r="U466" s="3566"/>
      <c r="V466" s="3567"/>
      <c r="W466" s="2597"/>
      <c r="X466" s="3251"/>
      <c r="Y466" s="2597"/>
      <c r="Z466" s="3251"/>
      <c r="AA466" s="2597"/>
      <c r="AB466" s="3251"/>
      <c r="AC466" s="2597"/>
      <c r="AD466" s="3251"/>
      <c r="AE466" s="3325"/>
      <c r="AF466" s="3342"/>
      <c r="AG466" s="3343"/>
      <c r="AH466" s="3303"/>
      <c r="AI466" s="3244"/>
      <c r="AJ466" s="3302"/>
      <c r="AK466" s="3244"/>
      <c r="AL466" s="3303"/>
      <c r="AM466" s="3325"/>
      <c r="AN466" s="3015"/>
      <c r="AO466" s="3344"/>
      <c r="AP466" s="3325"/>
      <c r="AQ466" s="3303"/>
      <c r="AR466" s="3303"/>
    </row>
    <row r="467" spans="1:44" ht="12.75" customHeight="1">
      <c r="A467" s="3325"/>
      <c r="B467" s="3340"/>
      <c r="C467" s="3249"/>
      <c r="D467" s="3325"/>
      <c r="E467" s="3247"/>
      <c r="F467" s="3340"/>
      <c r="G467" s="3244"/>
      <c r="H467" s="3304"/>
      <c r="I467" s="3564"/>
      <c r="J467" s="3565"/>
      <c r="K467" s="3566"/>
      <c r="L467" s="3251"/>
      <c r="M467" s="3325"/>
      <c r="N467" s="3342"/>
      <c r="O467" s="3564"/>
      <c r="P467" s="3574"/>
      <c r="Q467" s="3566"/>
      <c r="R467" s="3251"/>
      <c r="S467" s="3566"/>
      <c r="T467" s="3557"/>
      <c r="U467" s="3566"/>
      <c r="V467" s="3567"/>
      <c r="W467" s="2597"/>
      <c r="X467" s="3251"/>
      <c r="Y467" s="2597"/>
      <c r="Z467" s="3251"/>
      <c r="AA467" s="2597"/>
      <c r="AB467" s="3251"/>
      <c r="AC467" s="2597"/>
      <c r="AD467" s="3251"/>
      <c r="AE467" s="3325"/>
      <c r="AF467" s="3342"/>
      <c r="AG467" s="3343"/>
      <c r="AH467" s="3303"/>
      <c r="AI467" s="3244"/>
      <c r="AJ467" s="3302"/>
      <c r="AK467" s="3244"/>
      <c r="AL467" s="3303"/>
      <c r="AM467" s="3325"/>
      <c r="AN467" s="3015"/>
      <c r="AO467" s="3344"/>
      <c r="AP467" s="3325"/>
      <c r="AQ467" s="3303"/>
      <c r="AR467" s="3303"/>
    </row>
    <row r="468" spans="1:44" ht="12.75" customHeight="1">
      <c r="A468" s="3325"/>
      <c r="B468" s="3340"/>
      <c r="C468" s="3249"/>
      <c r="D468" s="3325"/>
      <c r="E468" s="3247"/>
      <c r="F468" s="3340"/>
      <c r="G468" s="3244"/>
      <c r="H468" s="3304"/>
      <c r="I468" s="3564"/>
      <c r="J468" s="3565"/>
      <c r="K468" s="3566"/>
      <c r="L468" s="3251"/>
      <c r="M468" s="3325"/>
      <c r="N468" s="3342"/>
      <c r="O468" s="3564"/>
      <c r="P468" s="3574"/>
      <c r="Q468" s="3566"/>
      <c r="R468" s="3251"/>
      <c r="S468" s="3566"/>
      <c r="T468" s="3557"/>
      <c r="U468" s="3566"/>
      <c r="V468" s="3567"/>
      <c r="W468" s="2597"/>
      <c r="X468" s="3251"/>
      <c r="Y468" s="2597"/>
      <c r="Z468" s="3251"/>
      <c r="AA468" s="2597"/>
      <c r="AB468" s="3251"/>
      <c r="AC468" s="2597"/>
      <c r="AD468" s="3251"/>
      <c r="AE468" s="3325"/>
      <c r="AF468" s="3342"/>
      <c r="AG468" s="3343"/>
      <c r="AH468" s="3303"/>
      <c r="AI468" s="3244"/>
      <c r="AJ468" s="3302"/>
      <c r="AK468" s="3244"/>
      <c r="AL468" s="3303"/>
      <c r="AM468" s="3325"/>
      <c r="AN468" s="3015"/>
      <c r="AO468" s="3344"/>
      <c r="AP468" s="3325"/>
      <c r="AQ468" s="3303"/>
      <c r="AR468" s="3303"/>
    </row>
    <row r="469" spans="1:44" ht="12.75" customHeight="1">
      <c r="A469" s="3325"/>
      <c r="B469" s="3340"/>
      <c r="C469" s="3249"/>
      <c r="D469" s="3325"/>
      <c r="E469" s="3247"/>
      <c r="F469" s="3340"/>
      <c r="G469" s="3244"/>
      <c r="H469" s="3304"/>
      <c r="I469" s="3564"/>
      <c r="J469" s="3565"/>
      <c r="K469" s="3566"/>
      <c r="L469" s="3251"/>
      <c r="M469" s="3325"/>
      <c r="N469" s="3342"/>
      <c r="O469" s="3564"/>
      <c r="P469" s="3574"/>
      <c r="Q469" s="3566"/>
      <c r="R469" s="3251"/>
      <c r="S469" s="3566"/>
      <c r="T469" s="3557"/>
      <c r="U469" s="3566"/>
      <c r="V469" s="3567"/>
      <c r="W469" s="2597"/>
      <c r="X469" s="3251"/>
      <c r="Y469" s="2597"/>
      <c r="Z469" s="3251"/>
      <c r="AA469" s="2597"/>
      <c r="AB469" s="3251"/>
      <c r="AC469" s="2597"/>
      <c r="AD469" s="3251"/>
      <c r="AE469" s="3325"/>
      <c r="AF469" s="3342"/>
      <c r="AG469" s="3343"/>
      <c r="AH469" s="3303"/>
      <c r="AI469" s="3244"/>
      <c r="AJ469" s="3302"/>
      <c r="AK469" s="3244"/>
      <c r="AL469" s="3303"/>
      <c r="AM469" s="3325"/>
      <c r="AN469" s="3015"/>
      <c r="AO469" s="3344"/>
      <c r="AP469" s="3325"/>
      <c r="AQ469" s="3303"/>
      <c r="AR469" s="3303"/>
    </row>
    <row r="470" spans="1:44" ht="12.75" customHeight="1">
      <c r="A470" s="3325"/>
      <c r="B470" s="3557"/>
      <c r="C470" s="3249"/>
      <c r="D470" s="3325"/>
      <c r="E470" s="3247"/>
      <c r="F470" s="3557"/>
      <c r="G470" s="3244"/>
      <c r="H470" s="3304"/>
      <c r="I470" s="3564"/>
      <c r="J470" s="3565"/>
      <c r="K470" s="3566"/>
      <c r="L470" s="3251"/>
      <c r="M470" s="3325"/>
      <c r="N470" s="3342"/>
      <c r="O470" s="3564"/>
      <c r="P470" s="3574"/>
      <c r="Q470" s="3566"/>
      <c r="R470" s="3251"/>
      <c r="S470" s="3566"/>
      <c r="T470" s="3557"/>
      <c r="U470" s="3566"/>
      <c r="V470" s="3567"/>
      <c r="W470" s="2597"/>
      <c r="X470" s="3251"/>
      <c r="Y470" s="2597"/>
      <c r="Z470" s="3251"/>
      <c r="AA470" s="2597"/>
      <c r="AB470" s="3251"/>
      <c r="AC470" s="2597"/>
      <c r="AD470" s="3251"/>
      <c r="AE470" s="3325"/>
      <c r="AF470" s="3342"/>
      <c r="AG470" s="3343"/>
      <c r="AH470" s="3303"/>
      <c r="AI470" s="3244"/>
      <c r="AJ470" s="3302"/>
      <c r="AK470" s="3244"/>
      <c r="AL470" s="3303"/>
      <c r="AM470" s="3325"/>
      <c r="AN470" s="3015"/>
      <c r="AO470" s="3344"/>
      <c r="AP470" s="3325"/>
      <c r="AQ470" s="3303"/>
      <c r="AR470" s="3303"/>
    </row>
    <row r="471" spans="1:44" ht="12.75" customHeight="1">
      <c r="A471" s="3244"/>
      <c r="B471" s="3558"/>
      <c r="C471" s="3249"/>
      <c r="D471" s="3244"/>
      <c r="E471" s="3247"/>
      <c r="F471" s="3558"/>
      <c r="G471" s="3559"/>
      <c r="H471" s="3560"/>
      <c r="I471" s="2770"/>
      <c r="J471" s="33"/>
      <c r="K471" s="3244"/>
      <c r="L471" s="3251"/>
      <c r="M471" s="3325"/>
      <c r="N471" s="3342"/>
      <c r="O471" s="3564"/>
      <c r="P471" s="3574"/>
      <c r="Q471" s="3566"/>
      <c r="R471" s="3251"/>
      <c r="S471" s="3566"/>
      <c r="T471" s="3557"/>
      <c r="U471" s="3566"/>
      <c r="V471" s="3567"/>
      <c r="W471" s="2597"/>
      <c r="X471" s="3059"/>
      <c r="Z471"/>
      <c r="AB471"/>
      <c r="AD471"/>
      <c r="AE471" s="3244"/>
      <c r="AF471" s="3252"/>
      <c r="AG471" s="3244"/>
      <c r="AH471" s="3252"/>
      <c r="AI471" s="21"/>
      <c r="AJ471" s="21"/>
      <c r="AK471" s="21"/>
      <c r="AL471" s="21"/>
    </row>
    <row r="472" spans="1:44" ht="12.75" customHeight="1">
      <c r="A472" s="3244"/>
      <c r="B472" s="3245"/>
      <c r="C472" s="3249"/>
      <c r="D472" s="3244"/>
      <c r="E472" s="3247"/>
      <c r="F472" s="3245"/>
      <c r="G472" s="2770"/>
      <c r="H472" s="33"/>
      <c r="I472" s="2770"/>
      <c r="J472" s="33"/>
      <c r="K472" s="3244"/>
      <c r="L472" s="3251"/>
      <c r="M472" s="3325"/>
      <c r="N472" s="3342"/>
      <c r="O472" s="3564"/>
      <c r="P472" s="3574"/>
      <c r="Q472" s="3566"/>
      <c r="R472" s="3251"/>
      <c r="S472" s="3566"/>
      <c r="T472" s="3557"/>
      <c r="U472" s="3566"/>
      <c r="V472" s="3567"/>
      <c r="W472" s="2597"/>
      <c r="AE472" s="3244"/>
      <c r="AF472" s="3252"/>
      <c r="AG472" s="3244"/>
      <c r="AH472" s="3252"/>
      <c r="AK472" s="21"/>
      <c r="AL472" s="21"/>
    </row>
    <row r="473" spans="1:44" ht="12.75" customHeight="1">
      <c r="A473" s="3244"/>
      <c r="B473" s="3246"/>
      <c r="C473" s="32"/>
      <c r="D473" s="3244"/>
      <c r="E473" s="3247"/>
      <c r="F473" s="3246"/>
      <c r="G473" s="32"/>
      <c r="H473" s="32"/>
      <c r="I473" s="32"/>
      <c r="J473" s="32"/>
      <c r="K473" s="3244"/>
      <c r="L473" s="3251"/>
      <c r="M473" s="3325"/>
      <c r="N473" s="3342"/>
      <c r="O473" s="3564"/>
      <c r="P473" s="3574"/>
      <c r="Q473" s="3566"/>
      <c r="R473" s="3251"/>
      <c r="S473" s="3566"/>
      <c r="T473" s="3557"/>
      <c r="U473" s="3566"/>
      <c r="V473" s="3567"/>
      <c r="W473" s="2597"/>
      <c r="AK473" s="21"/>
      <c r="AL473" s="21"/>
    </row>
    <row r="474" spans="1:44" ht="12.75" customHeight="1">
      <c r="A474" s="34"/>
      <c r="B474" s="35"/>
      <c r="C474" s="32"/>
      <c r="D474" s="34"/>
      <c r="E474" s="34"/>
      <c r="F474" s="35"/>
      <c r="G474" s="32"/>
      <c r="H474" s="32"/>
      <c r="I474" s="32"/>
      <c r="J474" s="32"/>
      <c r="K474" s="36"/>
      <c r="L474" s="3251"/>
      <c r="M474" s="3325"/>
      <c r="N474" s="3342"/>
      <c r="O474" s="3564"/>
      <c r="P474" s="3574"/>
      <c r="Q474" s="3566"/>
      <c r="R474" s="3251"/>
      <c r="S474" s="3566"/>
      <c r="T474" s="3557"/>
      <c r="U474" s="3566"/>
      <c r="V474" s="3567"/>
      <c r="W474" s="2597"/>
    </row>
    <row r="475" spans="1:44" ht="12.75" customHeight="1">
      <c r="A475" s="32"/>
      <c r="B475" s="32"/>
      <c r="C475" s="32"/>
      <c r="D475" s="32"/>
      <c r="E475" s="32"/>
      <c r="F475" s="32"/>
      <c r="G475" s="32"/>
      <c r="H475" s="32"/>
      <c r="I475" s="32"/>
      <c r="J475" s="32"/>
      <c r="K475" s="32"/>
      <c r="L475" s="3251"/>
      <c r="M475" s="3325"/>
      <c r="N475" s="3342"/>
      <c r="O475" s="3564"/>
      <c r="P475" s="3574"/>
      <c r="Q475" s="3566"/>
      <c r="R475" s="3251"/>
      <c r="S475" s="3566"/>
      <c r="T475" s="3557"/>
      <c r="U475" s="3566"/>
      <c r="V475" s="3567"/>
      <c r="W475" s="2597"/>
    </row>
    <row r="476" spans="1:44" ht="12.75" customHeight="1">
      <c r="A476" s="32"/>
      <c r="B476" s="32"/>
      <c r="C476" s="32"/>
      <c r="D476" s="32"/>
      <c r="E476" s="32"/>
      <c r="F476" s="32"/>
      <c r="G476" s="32"/>
      <c r="H476" s="32"/>
      <c r="I476" s="32"/>
      <c r="J476" s="32"/>
      <c r="K476" s="32"/>
      <c r="L476" s="3251"/>
      <c r="M476" s="3325"/>
      <c r="N476" s="3342"/>
      <c r="O476" s="3564"/>
      <c r="P476" s="3574"/>
      <c r="Q476" s="3566"/>
      <c r="R476" s="3251"/>
      <c r="S476" s="3566"/>
      <c r="T476" s="3557"/>
      <c r="U476" s="3566"/>
      <c r="V476" s="3567"/>
      <c r="W476" s="2597"/>
    </row>
    <row r="477" spans="1:44" ht="12.75" customHeight="1">
      <c r="A477" s="32"/>
      <c r="B477" s="32"/>
      <c r="C477" s="32"/>
      <c r="D477" s="32"/>
      <c r="E477" s="32"/>
      <c r="F477" s="32"/>
      <c r="G477" s="32"/>
      <c r="H477" s="32"/>
      <c r="I477" s="32"/>
      <c r="J477" s="32"/>
      <c r="K477" s="32"/>
      <c r="L477" s="3251"/>
      <c r="M477" s="3325"/>
      <c r="N477" s="3342"/>
      <c r="O477" s="3564"/>
      <c r="P477" s="3574"/>
      <c r="Q477" s="3566"/>
      <c r="R477" s="3251"/>
      <c r="S477" s="3566"/>
      <c r="T477" s="3557"/>
      <c r="U477" s="3566"/>
      <c r="V477" s="3567"/>
      <c r="W477" s="2597"/>
    </row>
    <row r="478" spans="1:44" ht="12.75" customHeight="1">
      <c r="A478" s="32"/>
      <c r="B478" s="32"/>
      <c r="C478" s="32"/>
      <c r="D478" s="32"/>
      <c r="E478" s="32"/>
      <c r="F478" s="32"/>
      <c r="G478" s="32"/>
      <c r="H478" s="32"/>
      <c r="I478" s="32"/>
      <c r="J478" s="32"/>
      <c r="K478" s="32"/>
      <c r="L478" s="3251"/>
      <c r="M478" s="3325"/>
      <c r="N478" s="3342"/>
      <c r="O478" s="3564"/>
      <c r="P478" s="3574"/>
      <c r="Q478" s="3566"/>
      <c r="R478" s="3251"/>
      <c r="S478" s="3566"/>
      <c r="T478" s="3557"/>
      <c r="U478" s="3566"/>
      <c r="V478" s="3567"/>
      <c r="W478" s="2597"/>
    </row>
    <row r="479" spans="1:44" ht="12.75" customHeight="1">
      <c r="A479" s="32"/>
      <c r="B479" s="32"/>
      <c r="C479" s="32"/>
      <c r="D479" s="32"/>
      <c r="E479" s="32"/>
      <c r="F479" s="32"/>
      <c r="G479" s="32"/>
      <c r="H479" s="32"/>
      <c r="I479" s="32"/>
      <c r="J479" s="32"/>
      <c r="K479" s="32"/>
      <c r="L479" s="3251"/>
      <c r="M479" s="3325"/>
      <c r="N479" s="3342"/>
      <c r="O479" s="3564"/>
      <c r="P479" s="3574"/>
      <c r="Q479" s="3566"/>
      <c r="R479" s="3251"/>
      <c r="S479" s="3566"/>
      <c r="T479" s="3557"/>
      <c r="U479" s="3566"/>
      <c r="V479" s="3567"/>
      <c r="W479" s="2597"/>
    </row>
    <row r="480" spans="1:44" ht="12.75" customHeight="1">
      <c r="A480" s="32"/>
      <c r="B480" s="32"/>
      <c r="C480" s="32"/>
      <c r="D480" s="32"/>
      <c r="E480" s="32"/>
      <c r="F480" s="32"/>
      <c r="G480" s="32"/>
      <c r="H480" s="32"/>
      <c r="I480" s="32"/>
      <c r="J480" s="32"/>
      <c r="K480" s="32"/>
      <c r="L480" s="3251"/>
      <c r="M480" s="3325"/>
      <c r="N480" s="3342"/>
      <c r="O480" s="3564"/>
      <c r="P480" s="3574"/>
      <c r="Q480" s="3566"/>
      <c r="R480" s="3251"/>
      <c r="S480" s="3566"/>
      <c r="T480" s="3557"/>
      <c r="U480" s="3566"/>
      <c r="V480" s="3567"/>
      <c r="W480" s="2597"/>
    </row>
    <row r="481" spans="1:23" ht="12.75" customHeight="1">
      <c r="A481" s="32"/>
      <c r="B481" s="32"/>
      <c r="C481" s="32"/>
      <c r="D481" s="32"/>
      <c r="E481" s="32"/>
      <c r="F481" s="32"/>
      <c r="G481" s="32"/>
      <c r="H481" s="32"/>
      <c r="I481" s="32"/>
      <c r="J481" s="32"/>
      <c r="K481" s="32"/>
      <c r="L481" s="3251"/>
      <c r="M481" s="3325"/>
      <c r="N481" s="3342"/>
      <c r="O481" s="3564"/>
      <c r="P481" s="3574"/>
      <c r="Q481" s="3566"/>
      <c r="R481" s="3251"/>
      <c r="S481" s="3566"/>
      <c r="T481" s="3557"/>
      <c r="U481" s="3566"/>
      <c r="V481" s="3567"/>
      <c r="W481" s="2597"/>
    </row>
    <row r="482" spans="1:23" ht="12.75" customHeight="1">
      <c r="A482" s="32"/>
      <c r="B482" s="32"/>
      <c r="C482" s="32"/>
      <c r="D482" s="32"/>
      <c r="E482" s="32"/>
      <c r="F482" s="32"/>
      <c r="G482" s="32"/>
      <c r="H482" s="32"/>
      <c r="I482" s="32"/>
      <c r="J482" s="32"/>
      <c r="K482" s="32"/>
      <c r="L482" s="3251"/>
      <c r="M482" s="3325"/>
      <c r="N482" s="3342"/>
      <c r="O482" s="3564"/>
      <c r="P482" s="3574"/>
      <c r="Q482" s="3566"/>
      <c r="R482" s="3251"/>
      <c r="S482" s="3244"/>
      <c r="T482" s="3253"/>
      <c r="U482" s="3244"/>
      <c r="V482" s="3206"/>
      <c r="W482" s="2623"/>
    </row>
    <row r="483" spans="1:23" ht="12.75" customHeight="1">
      <c r="A483" s="32"/>
      <c r="B483" s="32"/>
      <c r="C483" s="32"/>
      <c r="D483" s="32"/>
      <c r="E483" s="32"/>
      <c r="F483" s="32"/>
      <c r="G483" s="32"/>
      <c r="H483" s="32"/>
      <c r="I483" s="32"/>
      <c r="J483" s="32"/>
      <c r="K483" s="32"/>
      <c r="L483" s="3251"/>
      <c r="M483" s="3325"/>
      <c r="N483" s="3342"/>
      <c r="O483" s="3564"/>
      <c r="P483" s="3574"/>
      <c r="Q483" s="3566"/>
      <c r="R483" s="3251"/>
      <c r="S483" s="3244"/>
      <c r="T483" s="3253"/>
      <c r="U483" s="3244"/>
      <c r="V483" s="3206"/>
      <c r="W483" s="2623"/>
    </row>
    <row r="484" spans="1:23" ht="12.75" customHeight="1">
      <c r="A484" s="32"/>
      <c r="B484" s="32"/>
      <c r="C484" s="32"/>
      <c r="D484" s="32"/>
      <c r="E484" s="32"/>
      <c r="F484" s="32"/>
      <c r="G484" s="32"/>
      <c r="H484" s="32"/>
      <c r="I484" s="32"/>
      <c r="J484" s="32"/>
      <c r="K484" s="32"/>
      <c r="L484" s="3251"/>
      <c r="M484" s="3325"/>
      <c r="N484" s="3342"/>
      <c r="O484" s="3564"/>
      <c r="P484" s="3574"/>
      <c r="Q484" s="3566"/>
      <c r="R484" s="37"/>
      <c r="S484" s="3244"/>
      <c r="T484" s="3253"/>
      <c r="U484" s="36"/>
      <c r="V484" s="37"/>
      <c r="W484" s="2623"/>
    </row>
    <row r="485" spans="1:23" ht="12.75" customHeight="1">
      <c r="A485" s="32"/>
      <c r="B485" s="32"/>
      <c r="C485" s="32"/>
      <c r="D485" s="32"/>
      <c r="E485" s="32"/>
      <c r="F485" s="32"/>
      <c r="G485" s="32"/>
      <c r="H485" s="32"/>
      <c r="I485" s="32"/>
      <c r="J485" s="32"/>
      <c r="K485" s="32"/>
      <c r="L485" s="3251"/>
      <c r="M485" s="3325"/>
      <c r="N485" s="3342"/>
      <c r="O485" s="3564"/>
      <c r="P485" s="3574"/>
      <c r="Q485" s="3566"/>
      <c r="R485" s="32"/>
      <c r="S485" s="32"/>
      <c r="T485" s="32"/>
      <c r="U485" s="32"/>
      <c r="V485" s="32"/>
      <c r="W485" s="37"/>
    </row>
    <row r="486" spans="1:23" ht="12.75" customHeight="1">
      <c r="A486" s="32"/>
      <c r="B486" s="32"/>
      <c r="C486" s="32"/>
      <c r="D486" s="32"/>
      <c r="E486" s="32"/>
      <c r="F486" s="32"/>
      <c r="G486" s="32"/>
      <c r="H486" s="32"/>
      <c r="I486" s="32"/>
      <c r="J486" s="32"/>
      <c r="K486" s="32"/>
      <c r="L486" s="3251"/>
      <c r="M486" s="3325"/>
      <c r="N486" s="3342"/>
      <c r="O486" s="3564"/>
      <c r="P486" s="3574"/>
      <c r="Q486" s="3566"/>
      <c r="R486" s="32"/>
      <c r="S486" s="32"/>
      <c r="T486" s="32"/>
      <c r="U486" s="32"/>
      <c r="V486" s="32"/>
      <c r="W486" s="32"/>
    </row>
    <row r="487" spans="1:23" ht="12.75" customHeight="1">
      <c r="A487" s="32"/>
      <c r="B487" s="32"/>
      <c r="C487" s="32"/>
      <c r="D487" s="32"/>
      <c r="E487" s="32"/>
      <c r="F487" s="32"/>
      <c r="G487" s="32"/>
      <c r="H487" s="32"/>
      <c r="I487" s="32"/>
      <c r="J487" s="32"/>
      <c r="K487" s="32"/>
      <c r="L487" s="3251"/>
      <c r="M487" s="3325"/>
      <c r="N487" s="3342"/>
      <c r="O487" s="3564"/>
      <c r="P487" s="3574"/>
      <c r="Q487" s="3566"/>
      <c r="R487" s="32"/>
      <c r="S487" s="32"/>
      <c r="T487" s="32"/>
      <c r="U487" s="32"/>
      <c r="V487" s="32"/>
      <c r="W487" s="32"/>
    </row>
    <row r="488" spans="1:23" ht="12.75" customHeight="1">
      <c r="A488" s="32"/>
      <c r="B488" s="32"/>
      <c r="C488" s="32"/>
      <c r="D488" s="32"/>
      <c r="E488" s="32"/>
      <c r="F488" s="32"/>
      <c r="G488" s="32"/>
      <c r="H488" s="32"/>
      <c r="I488" s="32"/>
      <c r="J488" s="32"/>
      <c r="K488" s="32"/>
      <c r="L488" s="3251"/>
      <c r="M488" s="3325"/>
      <c r="N488" s="3342"/>
      <c r="O488" s="3564"/>
      <c r="P488" s="3574"/>
      <c r="Q488" s="3566"/>
      <c r="R488" s="32"/>
      <c r="S488" s="32"/>
      <c r="T488" s="32"/>
      <c r="U488" s="32"/>
      <c r="V488" s="32"/>
      <c r="W488" s="32"/>
    </row>
    <row r="489" spans="1:23" ht="12.75" customHeight="1">
      <c r="A489" s="32"/>
      <c r="B489" s="32"/>
      <c r="C489" s="32"/>
      <c r="D489" s="32"/>
      <c r="E489" s="32"/>
      <c r="F489" s="32"/>
      <c r="G489" s="32"/>
      <c r="H489" s="32"/>
      <c r="I489" s="32"/>
      <c r="J489" s="32"/>
      <c r="K489" s="32"/>
      <c r="L489" s="3251"/>
      <c r="M489" s="3325"/>
      <c r="N489" s="3342"/>
      <c r="O489" s="3564"/>
      <c r="P489" s="3574"/>
      <c r="Q489" s="3566"/>
      <c r="R489" s="32"/>
      <c r="S489" s="32"/>
      <c r="T489" s="32"/>
      <c r="U489" s="32"/>
      <c r="V489" s="32"/>
      <c r="W489" s="32"/>
    </row>
    <row r="490" spans="1:23" ht="12.75" customHeight="1">
      <c r="A490" s="32"/>
      <c r="B490" s="32"/>
      <c r="C490" s="32"/>
      <c r="D490" s="32"/>
      <c r="E490" s="32"/>
      <c r="F490" s="32"/>
      <c r="G490" s="32"/>
      <c r="H490" s="32"/>
      <c r="I490" s="32"/>
      <c r="J490" s="32"/>
      <c r="K490" s="32"/>
      <c r="L490" s="3251"/>
      <c r="M490" s="3325"/>
      <c r="N490" s="3342"/>
      <c r="O490" s="3564"/>
      <c r="P490" s="3574"/>
      <c r="Q490" s="3566"/>
      <c r="R490" s="32"/>
      <c r="S490" s="32"/>
      <c r="T490" s="32"/>
      <c r="U490" s="32"/>
      <c r="V490" s="32"/>
      <c r="W490" s="32"/>
    </row>
    <row r="491" spans="1:23" ht="12.75" customHeight="1">
      <c r="A491" s="32"/>
      <c r="B491" s="32"/>
      <c r="C491" s="32"/>
      <c r="D491" s="32"/>
      <c r="E491" s="32"/>
      <c r="F491" s="32"/>
      <c r="G491" s="32"/>
      <c r="H491" s="32"/>
      <c r="I491" s="32"/>
      <c r="J491" s="32"/>
      <c r="K491" s="32"/>
      <c r="L491" s="3251"/>
      <c r="M491" s="3325"/>
      <c r="N491" s="3342"/>
      <c r="O491" s="3564"/>
      <c r="P491" s="3574"/>
      <c r="Q491" s="3566"/>
      <c r="R491" s="32"/>
      <c r="S491" s="32"/>
      <c r="T491" s="32"/>
      <c r="U491" s="32"/>
      <c r="V491" s="32"/>
      <c r="W491" s="32"/>
    </row>
    <row r="492" spans="1:23" ht="12.75" customHeight="1">
      <c r="A492" s="32"/>
      <c r="B492" s="32"/>
      <c r="C492" s="32"/>
      <c r="D492" s="32"/>
      <c r="E492" s="32"/>
      <c r="F492" s="32"/>
      <c r="G492" s="32"/>
      <c r="H492" s="32"/>
      <c r="I492" s="32"/>
      <c r="J492" s="32"/>
      <c r="K492" s="32"/>
      <c r="L492" s="3250"/>
      <c r="M492" s="3249"/>
      <c r="N492" s="3813"/>
      <c r="O492" s="32"/>
      <c r="P492" s="32"/>
      <c r="Q492" s="3244"/>
      <c r="R492" s="32"/>
      <c r="S492" s="32"/>
      <c r="T492" s="32"/>
      <c r="U492" s="32"/>
      <c r="V492" s="32"/>
      <c r="W492" s="32"/>
    </row>
    <row r="493" spans="1:23" ht="12.75" customHeight="1">
      <c r="A493" s="32"/>
      <c r="B493" s="32"/>
      <c r="C493" s="32"/>
      <c r="D493" s="32"/>
      <c r="E493" s="32"/>
      <c r="F493" s="32"/>
      <c r="G493" s="32"/>
      <c r="H493" s="32"/>
      <c r="I493" s="32"/>
      <c r="J493" s="32"/>
      <c r="K493" s="32"/>
      <c r="L493" s="3250"/>
      <c r="M493" s="3249"/>
      <c r="N493" s="3249"/>
      <c r="O493" s="32"/>
      <c r="P493" s="32"/>
      <c r="Q493" s="3244"/>
      <c r="R493" s="32"/>
      <c r="S493" s="32"/>
      <c r="T493" s="32"/>
      <c r="U493" s="32"/>
      <c r="V493" s="32"/>
      <c r="W493" s="32"/>
    </row>
    <row r="494" spans="1:23" ht="12.75" customHeight="1">
      <c r="A494" s="32"/>
      <c r="B494" s="32"/>
      <c r="C494" s="32"/>
      <c r="D494" s="32"/>
      <c r="E494" s="32"/>
      <c r="F494" s="32"/>
      <c r="G494" s="32"/>
      <c r="H494" s="32"/>
      <c r="I494" s="32"/>
      <c r="J494" s="32"/>
      <c r="K494" s="32"/>
      <c r="L494" s="3250"/>
      <c r="M494" s="3249"/>
      <c r="N494" s="3249"/>
      <c r="O494" s="32"/>
      <c r="P494" s="32"/>
      <c r="Q494" s="36"/>
      <c r="R494" s="32"/>
      <c r="S494" s="32"/>
      <c r="T494" s="32"/>
      <c r="U494" s="32"/>
      <c r="V494" s="32"/>
      <c r="W494" s="32"/>
    </row>
    <row r="495" spans="1:23" ht="12.75" customHeight="1">
      <c r="A495" s="32"/>
      <c r="B495" s="32"/>
      <c r="C495" s="32"/>
      <c r="D495" s="32"/>
      <c r="E495" s="32"/>
      <c r="F495" s="32"/>
      <c r="G495" s="32"/>
      <c r="H495" s="32"/>
      <c r="I495" s="32"/>
      <c r="J495" s="32"/>
      <c r="K495" s="32"/>
      <c r="L495" s="37"/>
      <c r="M495" s="3249"/>
      <c r="N495" s="3249"/>
      <c r="O495" s="32"/>
      <c r="P495" s="32"/>
      <c r="Q495" s="32"/>
      <c r="R495" s="32"/>
      <c r="S495" s="32"/>
      <c r="T495" s="32"/>
      <c r="U495" s="32"/>
      <c r="V495" s="32"/>
      <c r="W495" s="32"/>
    </row>
    <row r="496" spans="1:23" ht="12.75" customHeight="1">
      <c r="A496" s="32"/>
      <c r="B496" s="32"/>
      <c r="C496" s="32"/>
      <c r="D496" s="32"/>
      <c r="E496" s="32"/>
      <c r="F496" s="32"/>
      <c r="G496" s="32"/>
      <c r="H496" s="32"/>
      <c r="I496" s="32"/>
      <c r="J496" s="32"/>
      <c r="K496" s="32"/>
      <c r="L496" s="32"/>
      <c r="M496" s="3249"/>
      <c r="N496" s="3249"/>
      <c r="O496" s="32"/>
      <c r="P496" s="32"/>
      <c r="Q496" s="32"/>
      <c r="R496" s="32"/>
      <c r="S496" s="32"/>
      <c r="T496" s="32"/>
      <c r="U496" s="32"/>
      <c r="V496" s="32"/>
      <c r="W496" s="32"/>
    </row>
    <row r="497" spans="1:23" ht="12.75" customHeight="1">
      <c r="A497" s="32"/>
      <c r="B497" s="32"/>
      <c r="C497" s="32"/>
      <c r="D497" s="32"/>
      <c r="E497" s="32"/>
      <c r="F497" s="32"/>
      <c r="G497" s="32"/>
      <c r="H497" s="32"/>
      <c r="I497" s="32"/>
      <c r="J497" s="32"/>
      <c r="K497" s="32"/>
      <c r="L497" s="32"/>
      <c r="M497" s="3249"/>
      <c r="N497" s="3249"/>
      <c r="O497" s="32"/>
      <c r="P497" s="32"/>
      <c r="Q497" s="32"/>
      <c r="R497" s="32"/>
      <c r="S497" s="32"/>
      <c r="T497" s="32"/>
      <c r="U497" s="32"/>
      <c r="V497" s="32"/>
      <c r="W497" s="32"/>
    </row>
    <row r="498" spans="1:23" ht="12.75" customHeight="1">
      <c r="A498" s="32"/>
      <c r="B498" s="32"/>
      <c r="C498" s="32"/>
      <c r="D498" s="32"/>
      <c r="E498" s="32"/>
      <c r="F498" s="32"/>
      <c r="G498" s="32"/>
      <c r="H498" s="32"/>
      <c r="I498" s="32"/>
      <c r="J498" s="32"/>
      <c r="K498" s="32"/>
      <c r="L498" s="32"/>
      <c r="M498" s="3249"/>
      <c r="N498" s="3249"/>
      <c r="O498" s="32"/>
      <c r="P498" s="32"/>
      <c r="Q498" s="32"/>
      <c r="R498" s="32"/>
      <c r="S498" s="32"/>
      <c r="T498" s="32"/>
      <c r="U498" s="32"/>
      <c r="V498" s="32"/>
      <c r="W498" s="32"/>
    </row>
    <row r="499" spans="1:23" ht="12.75" customHeight="1">
      <c r="A499" s="32"/>
      <c r="B499" s="32"/>
      <c r="C499" s="32"/>
      <c r="D499" s="32"/>
      <c r="E499" s="32"/>
      <c r="F499" s="32"/>
      <c r="G499" s="32"/>
      <c r="H499" s="32"/>
      <c r="I499" s="32"/>
      <c r="J499" s="32"/>
      <c r="K499" s="32"/>
      <c r="L499" s="32"/>
      <c r="M499" s="3249"/>
      <c r="N499" s="3249"/>
      <c r="O499" s="32"/>
      <c r="P499" s="32"/>
      <c r="Q499" s="32"/>
      <c r="R499" s="32"/>
      <c r="S499" s="32"/>
      <c r="T499" s="32"/>
      <c r="U499" s="32"/>
      <c r="V499" s="32"/>
      <c r="W499" s="32"/>
    </row>
    <row r="500" spans="1:23" ht="12.75" customHeight="1">
      <c r="A500" s="32"/>
      <c r="B500" s="32"/>
      <c r="C500" s="32"/>
      <c r="D500" s="32"/>
      <c r="E500" s="32"/>
      <c r="F500" s="32"/>
      <c r="G500" s="32"/>
      <c r="H500" s="32"/>
      <c r="I500" s="32"/>
      <c r="J500" s="32"/>
      <c r="K500" s="32"/>
      <c r="L500" s="32"/>
      <c r="M500" s="3249"/>
      <c r="N500" s="3249"/>
      <c r="O500" s="32"/>
      <c r="P500" s="32"/>
      <c r="Q500" s="32"/>
      <c r="R500" s="32"/>
      <c r="S500" s="32"/>
      <c r="T500" s="32"/>
      <c r="U500" s="32"/>
      <c r="V500" s="32"/>
      <c r="W500" s="32"/>
    </row>
    <row r="501" spans="1:23" ht="12.75" customHeight="1">
      <c r="A501" s="32"/>
      <c r="B501" s="32"/>
      <c r="C501" s="32"/>
      <c r="D501" s="32"/>
      <c r="E501" s="32"/>
      <c r="F501" s="32"/>
      <c r="G501" s="32"/>
      <c r="H501" s="32"/>
      <c r="I501" s="32"/>
      <c r="J501" s="32"/>
      <c r="K501" s="32"/>
      <c r="L501" s="32"/>
      <c r="M501" s="3249"/>
      <c r="N501" s="3249"/>
      <c r="O501" s="32"/>
      <c r="P501" s="32"/>
      <c r="Q501" s="32"/>
      <c r="R501" s="32"/>
      <c r="S501" s="32"/>
      <c r="T501" s="32"/>
      <c r="U501" s="32"/>
      <c r="V501" s="32"/>
      <c r="W501" s="32"/>
    </row>
    <row r="502" spans="1:23" ht="12.75" customHeight="1">
      <c r="A502" s="32"/>
      <c r="B502" s="32"/>
      <c r="C502" s="32"/>
      <c r="D502" s="32"/>
      <c r="E502" s="32"/>
      <c r="F502" s="32"/>
      <c r="G502" s="32"/>
      <c r="H502" s="32"/>
      <c r="I502" s="32"/>
      <c r="J502" s="32"/>
      <c r="K502" s="32"/>
      <c r="L502" s="32"/>
      <c r="M502" s="3249"/>
      <c r="N502" s="3249"/>
      <c r="O502" s="32"/>
      <c r="P502" s="32"/>
      <c r="Q502" s="32"/>
      <c r="R502" s="32"/>
      <c r="S502" s="32"/>
      <c r="T502" s="32"/>
      <c r="U502" s="32"/>
      <c r="V502" s="32"/>
      <c r="W502" s="32"/>
    </row>
    <row r="503" spans="1:23" ht="12.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row>
    <row r="504" spans="1:23" ht="12.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row>
    <row r="505" spans="1:23" ht="12.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row>
    <row r="506" spans="1:23" ht="12.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row>
    <row r="507" spans="1:23" ht="12.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row>
    <row r="508" spans="1:23" ht="12.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row>
    <row r="509" spans="1:23" ht="12.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row>
    <row r="510" spans="1:23" ht="12.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row>
    <row r="511" spans="1:23" ht="12.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row>
    <row r="512" spans="1:23" ht="12.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row>
    <row r="513" spans="1:23" ht="12.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row>
    <row r="514" spans="1:23" ht="12.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row>
    <row r="515" spans="1:23" ht="12.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row>
    <row r="516" spans="1:23" ht="12.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row>
    <row r="517" spans="1:23" ht="12.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row>
    <row r="518" spans="1:23" ht="12.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row>
    <row r="519" spans="1:23" ht="12.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row>
    <row r="520" spans="1:23" ht="12.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row>
    <row r="521" spans="1:23" ht="12.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row>
    <row r="522" spans="1:23" ht="12.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row>
    <row r="523" spans="1:23" ht="12.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row>
    <row r="524" spans="1:23" ht="12.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row>
    <row r="525" spans="1:23" ht="12.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row>
    <row r="526" spans="1:23" ht="12.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row>
    <row r="527" spans="1:23" ht="12.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row>
    <row r="528" spans="1:23" ht="12.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row>
    <row r="529" spans="1:23" ht="12.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row>
    <row r="530" spans="1:23" ht="12.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row>
    <row r="531" spans="1:23" ht="12.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row>
    <row r="532" spans="1:23" ht="12.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row>
    <row r="533" spans="1:23" ht="12.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row>
    <row r="534" spans="1:23" ht="12.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row>
    <row r="535" spans="1:23" ht="12.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row>
    <row r="536" spans="1:23" ht="12.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row>
    <row r="537" spans="1:23" ht="12.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row>
    <row r="538" spans="1:23" ht="12.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row>
    <row r="539" spans="1:23" ht="12.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row>
    <row r="540" spans="1:23" ht="12.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row>
    <row r="541" spans="1:23" ht="12.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row>
    <row r="542" spans="1:23" ht="12.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row>
    <row r="543" spans="1:23" ht="12.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row>
    <row r="544" spans="1:23" ht="12.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row>
    <row r="545" spans="1:23" ht="12.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row>
    <row r="546" spans="1:23" ht="12.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row>
    <row r="547" spans="1:23" ht="12.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row>
    <row r="548" spans="1:23" ht="12.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row>
    <row r="549" spans="1:23" ht="12.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row>
    <row r="550" spans="1:23" ht="12.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row>
    <row r="551" spans="1:23" ht="12.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row>
    <row r="552" spans="1:23" ht="12.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row>
    <row r="553" spans="1:23" ht="12.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row>
    <row r="554" spans="1:23" ht="12.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row>
    <row r="555" spans="1:23" ht="12.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row>
    <row r="556" spans="1:23" ht="12.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row>
    <row r="557" spans="1:23" ht="12.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row>
    <row r="558" spans="1:23" ht="12.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row>
    <row r="559" spans="1:23" ht="12.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row>
    <row r="560" spans="1:23" ht="12.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row>
    <row r="561" spans="1:23" ht="12.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row>
    <row r="562" spans="1:23" ht="12.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row>
    <row r="563" spans="1:23" ht="12.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row>
    <row r="564" spans="1:23" ht="12.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row>
    <row r="565" spans="1:23" ht="12.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row>
    <row r="566" spans="1:23" ht="12.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row>
    <row r="567" spans="1:23" ht="12.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row>
    <row r="568" spans="1:23" ht="12.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row>
    <row r="569" spans="1:23" ht="12.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row>
    <row r="570" spans="1:23" ht="12.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row>
    <row r="571" spans="1:23" ht="12.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row>
    <row r="572" spans="1:23" ht="12.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row>
    <row r="573" spans="1:23" ht="12.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row>
    <row r="574" spans="1:23" ht="12.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row>
    <row r="575" spans="1:23" ht="12.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row>
    <row r="576" spans="1:23" ht="12.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row>
    <row r="577" spans="1:23" ht="12.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row>
    <row r="578" spans="1:23" ht="12.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row>
    <row r="579" spans="1:23" ht="12.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row>
    <row r="580" spans="1:23" ht="12.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row>
    <row r="581" spans="1:23" ht="12.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row>
    <row r="582" spans="1:23" ht="12.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row>
    <row r="583" spans="1:23" ht="12.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row>
    <row r="584" spans="1:23" ht="12.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row>
    <row r="585" spans="1:23" ht="12.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row>
    <row r="586" spans="1:23" ht="12.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row>
    <row r="587" spans="1:23" ht="12.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row>
    <row r="588" spans="1:23" ht="12.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row>
    <row r="589" spans="1:23" ht="12.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row>
    <row r="590" spans="1:23" ht="12.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row>
    <row r="591" spans="1:23" ht="12.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row>
    <row r="592" spans="1:23" ht="12.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row>
    <row r="593" spans="1:23" ht="12.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row>
    <row r="594" spans="1:23" ht="12.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row>
    <row r="595" spans="1:23" ht="12.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row>
    <row r="596" spans="1:23" ht="12.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row>
    <row r="597" spans="1:23" ht="12.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row>
    <row r="598" spans="1:23" ht="12.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row>
    <row r="599" spans="1:23" ht="12.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row>
    <row r="600" spans="1:23" ht="12.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row>
    <row r="601" spans="1:23" ht="12.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row>
    <row r="602" spans="1:23" ht="12.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row>
    <row r="603" spans="1:23" ht="12.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row>
    <row r="604" spans="1:23" ht="12.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row>
    <row r="605" spans="1:23" ht="12.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row>
    <row r="606" spans="1:23" ht="12.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row>
    <row r="607" spans="1:23" ht="12.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row>
    <row r="608" spans="1:23" ht="12.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row>
    <row r="609" spans="1:23" ht="12.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row>
    <row r="610" spans="1:23" ht="12.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row>
    <row r="611" spans="1:23" ht="12.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row>
    <row r="612" spans="1:23" ht="12.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row>
    <row r="613" spans="1:23" ht="12.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row>
    <row r="614" spans="1:23" ht="12.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row>
    <row r="615" spans="1:23" ht="12.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row>
    <row r="616" spans="1:23" ht="12.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row>
    <row r="617" spans="1:23" ht="12.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row>
    <row r="618" spans="1:23" ht="12.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row>
    <row r="619" spans="1:23" ht="12.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row>
    <row r="620" spans="1:23" ht="12.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row>
    <row r="621" spans="1:23" ht="12.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row>
    <row r="622" spans="1:23" ht="12.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row>
    <row r="623" spans="1:23" ht="12.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row>
    <row r="624" spans="1:23" ht="12.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row>
    <row r="625" spans="1:23" ht="12.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row>
    <row r="626" spans="1:23" ht="12.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row>
    <row r="627" spans="1:23" ht="12.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row>
    <row r="628" spans="1:23" ht="12.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row>
    <row r="629" spans="1:23" ht="12.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row>
    <row r="630" spans="1:23" ht="12.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row>
    <row r="631" spans="1:23" ht="12.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row>
    <row r="632" spans="1:23" ht="12.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row>
    <row r="633" spans="1:23" ht="12.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row>
    <row r="634" spans="1:23" ht="12.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row>
    <row r="635" spans="1:23" ht="12.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row>
    <row r="636" spans="1:23" ht="12.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row>
    <row r="637" spans="1:23" ht="12.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row>
    <row r="638" spans="1:23" ht="12.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row>
    <row r="639" spans="1:23" ht="12.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row>
    <row r="640" spans="1:23" ht="12.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row>
    <row r="641" spans="1:23" ht="12.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row>
    <row r="642" spans="1:23" ht="12.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row>
    <row r="643" spans="1:23" ht="12.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row>
    <row r="644" spans="1:23" ht="12.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row>
    <row r="645" spans="1:23" ht="12.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row>
    <row r="646" spans="1:23" ht="12.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row>
    <row r="647" spans="1:23" ht="12.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row>
    <row r="648" spans="1:23" ht="12.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row>
    <row r="649" spans="1:23" ht="12.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row>
    <row r="650" spans="1:23" ht="12.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row>
    <row r="651" spans="1:23" ht="12.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row>
    <row r="652" spans="1:23" ht="12.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row>
    <row r="653" spans="1:23" ht="12.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row>
    <row r="654" spans="1:23" ht="12.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row>
    <row r="655" spans="1:23" ht="12.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row>
    <row r="656" spans="1:23" ht="12.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row>
    <row r="657" spans="1:23" ht="12.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row>
    <row r="658" spans="1:23" ht="12.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row>
    <row r="659" spans="1:23" ht="12.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row>
    <row r="660" spans="1:23" ht="12.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row>
    <row r="661" spans="1:23" ht="12.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row>
    <row r="662" spans="1:23" ht="12.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row>
    <row r="663" spans="1:23" ht="12.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row>
    <row r="664" spans="1:23" ht="12.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row>
    <row r="665" spans="1:23" ht="12.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row>
    <row r="666" spans="1:23" ht="12.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row>
    <row r="667" spans="1:23" ht="12.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row>
    <row r="668" spans="1:23" ht="12.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row>
    <row r="669" spans="1:23" ht="12.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row>
    <row r="670" spans="1:23" ht="12.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row>
    <row r="671" spans="1:23" ht="12.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row>
    <row r="672" spans="1:23" ht="12.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row>
    <row r="673" spans="1:23" ht="12.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row>
    <row r="674" spans="1:23" ht="12.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row>
    <row r="675" spans="1:23" ht="12.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row>
    <row r="676" spans="1:23" ht="12.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row>
    <row r="677" spans="1:23" ht="12.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row>
    <row r="678" spans="1:23" ht="12.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row>
    <row r="679" spans="1:23" ht="12.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row>
    <row r="680" spans="1:23" ht="12.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row>
    <row r="681" spans="1:23" ht="12.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row>
    <row r="682" spans="1:23" ht="12.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row>
    <row r="683" spans="1:23" ht="12.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row>
    <row r="684" spans="1:23" ht="12.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row>
    <row r="685" spans="1:23" ht="12.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row>
    <row r="686" spans="1:23" ht="12.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row>
    <row r="687" spans="1:23" ht="12.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row>
    <row r="688" spans="1:23" ht="12.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row>
    <row r="689" spans="1:23" ht="12.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row>
    <row r="690" spans="1:23" ht="12.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row>
    <row r="691" spans="1:23" ht="12.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row>
    <row r="692" spans="1:23" ht="12.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row>
    <row r="693" spans="1:23" ht="12.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row>
    <row r="694" spans="1:23" ht="12.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row>
    <row r="695" spans="1:23" ht="12.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row>
    <row r="696" spans="1:23" ht="12.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row>
    <row r="697" spans="1:23" ht="12.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row>
    <row r="698" spans="1:23" ht="12.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row>
    <row r="699" spans="1:23" ht="12.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row>
    <row r="700" spans="1:23" ht="12.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row>
    <row r="701" spans="1:23" ht="12.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row>
    <row r="702" spans="1:23" ht="12.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row>
    <row r="703" spans="1:23" ht="12.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row>
    <row r="704" spans="1:23" ht="12.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row>
    <row r="705" spans="1:23" ht="12.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row>
    <row r="706" spans="1:23" ht="12.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row>
    <row r="707" spans="1:23" ht="12.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row>
    <row r="708" spans="1:23" ht="12.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row>
    <row r="709" spans="1:23" ht="12.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row>
    <row r="710" spans="1:23" ht="12.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row>
    <row r="711" spans="1:23" ht="12.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row>
    <row r="712" spans="1:23" ht="12.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row>
    <row r="713" spans="1:23" ht="12.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row>
    <row r="714" spans="1:23" ht="12.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row>
    <row r="715" spans="1:23" ht="12.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row>
    <row r="716" spans="1:23" ht="12.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row>
    <row r="717" spans="1:23" ht="12.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row>
    <row r="718" spans="1:23" ht="12.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row>
    <row r="719" spans="1:23" ht="12.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row>
    <row r="720" spans="1:23" ht="12.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row>
    <row r="721" spans="1:23" ht="12.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row>
    <row r="722" spans="1:23" ht="12.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row>
    <row r="723" spans="1:23" ht="12.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row>
    <row r="724" spans="1:23" ht="12.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row>
    <row r="725" spans="1:23" ht="12.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row>
    <row r="726" spans="1:23" ht="12.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row>
    <row r="727" spans="1:23" ht="12.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row>
    <row r="728" spans="1:23" ht="12.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row>
    <row r="729" spans="1:23" ht="12.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row>
    <row r="730" spans="1:23" ht="12.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row>
    <row r="731" spans="1:23" ht="12.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row>
    <row r="732" spans="1:23" ht="12.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row>
    <row r="733" spans="1:23" ht="12.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row>
    <row r="734" spans="1:23" ht="12.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row>
    <row r="735" spans="1:23" ht="12.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row>
    <row r="736" spans="1:23" ht="12.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row>
    <row r="737" spans="1:23" ht="12.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row>
    <row r="738" spans="1:23" ht="12.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row>
    <row r="739" spans="1:23" ht="12.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row>
    <row r="740" spans="1:23" ht="12.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row>
    <row r="741" spans="1:23" ht="12.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row>
    <row r="742" spans="1:23" ht="12.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row>
    <row r="743" spans="1:23" ht="12.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row>
    <row r="744" spans="1:23" ht="12.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row>
    <row r="745" spans="1:23" ht="12.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row>
    <row r="746" spans="1:23" ht="12.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row>
    <row r="747" spans="1:23" ht="12.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row>
    <row r="748" spans="1:23" ht="12.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row>
    <row r="749" spans="1:23" ht="12.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row>
    <row r="750" spans="1:23" ht="12.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row>
    <row r="751" spans="1:23" ht="12.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row>
    <row r="752" spans="1:23" ht="12.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row>
    <row r="753" spans="1:23" ht="12.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row>
    <row r="754" spans="1:23" ht="12.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row>
    <row r="755" spans="1:23" ht="12.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row>
    <row r="756" spans="1:23" ht="12.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row>
    <row r="757" spans="1:23" ht="12.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row>
    <row r="758" spans="1:23" ht="12.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row>
    <row r="759" spans="1:23" ht="12.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row>
    <row r="760" spans="1:23" ht="12.7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row>
    <row r="761" spans="1:23" ht="12.7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row>
    <row r="762" spans="1:23" ht="12.7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row>
    <row r="763" spans="1:23" ht="12.7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row>
    <row r="764" spans="1:23" ht="12.7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row>
    <row r="765" spans="1:23" ht="12.7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row>
    <row r="766" spans="1:23" ht="12.7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row>
    <row r="767" spans="1:23" ht="12.7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row>
    <row r="768" spans="1:23" ht="12.7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row>
    <row r="769" spans="1:23" ht="12.7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row>
    <row r="770" spans="1:23" ht="12.7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row>
    <row r="771" spans="1:23" ht="12.7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row>
    <row r="772" spans="1:23" ht="12.7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row>
    <row r="773" spans="1:23" ht="12.7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row>
    <row r="774" spans="1:23" ht="12.7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row>
    <row r="775" spans="1:23" ht="12.7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row>
    <row r="776" spans="1:23" ht="12.7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row>
    <row r="777" spans="1:23" ht="12.7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row>
    <row r="778" spans="1:23" ht="12.7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row>
    <row r="779" spans="1:23" ht="12.7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row>
    <row r="780" spans="1:23" ht="12.7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row>
    <row r="781" spans="1:23" ht="12.7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row>
    <row r="782" spans="1:23" ht="12.7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row>
    <row r="783" spans="1:23" ht="12.7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row>
    <row r="784" spans="1:23" ht="12.7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row>
    <row r="785" spans="1:23" ht="12.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row>
    <row r="786" spans="1:23" ht="12.7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row>
    <row r="787" spans="1:23" ht="12.7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row>
    <row r="788" spans="1:23" ht="12.7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row>
    <row r="789" spans="1:23" ht="12.7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row>
    <row r="790" spans="1:23" ht="12.7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row>
    <row r="791" spans="1:23" ht="12.7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row>
    <row r="792" spans="1:23" ht="12.7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row>
    <row r="793" spans="1:23" ht="12.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row>
    <row r="794" spans="1:23" ht="12.7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row>
    <row r="795" spans="1:23" ht="12.7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row>
    <row r="796" spans="1:23" ht="12.7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row>
    <row r="797" spans="1:23" ht="12.7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row>
    <row r="798" spans="1:23" ht="12.7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row>
    <row r="799" spans="1:23" ht="12.7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row>
    <row r="800" spans="1:23" ht="12.7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row>
    <row r="801" spans="1:23" ht="12.7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row>
    <row r="802" spans="1:23" ht="12.7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row>
    <row r="803" spans="1:23" ht="12.7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row>
    <row r="804" spans="1:23" ht="12.7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row>
    <row r="805" spans="1:23" ht="12.7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row>
    <row r="806" spans="1:23" ht="12.7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row>
    <row r="807" spans="1:23" ht="12.7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row>
    <row r="808" spans="1:23" ht="12.7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row>
    <row r="809" spans="1:23" ht="12.7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row>
    <row r="810" spans="1:23" ht="12.7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row>
    <row r="811" spans="1:23" ht="12.7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row>
    <row r="812" spans="1:23" ht="12.7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row>
    <row r="813" spans="1:23" ht="12.7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row>
    <row r="814" spans="1:23" ht="12.7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row>
    <row r="815" spans="1:23" ht="12.7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row>
    <row r="816" spans="1:23" ht="12.7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row>
    <row r="817" spans="1:23" ht="12.7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row>
    <row r="818" spans="1:23" ht="12.7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row>
    <row r="819" spans="1:23" ht="12.7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row>
    <row r="820" spans="1:23" ht="12.7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row>
    <row r="821" spans="1:23" ht="12.7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row>
    <row r="822" spans="1:23" ht="12.7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row>
    <row r="823" spans="1:23" ht="12.7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row>
    <row r="824" spans="1:23" ht="12.7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row>
    <row r="825" spans="1:23" ht="12.7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row>
    <row r="826" spans="1:23" ht="12.7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row>
    <row r="827" spans="1:23" ht="12.7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row>
    <row r="828" spans="1:23" ht="12.7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row>
    <row r="829" spans="1:23" ht="12.7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row>
    <row r="830" spans="1:23" ht="12.7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row>
    <row r="831" spans="1:23" ht="12.7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row>
    <row r="832" spans="1:23" ht="12.7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row>
    <row r="833" spans="1:23" ht="12.7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row>
    <row r="834" spans="1:23" ht="12.7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row>
    <row r="835" spans="1:23" ht="12.7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row>
    <row r="836" spans="1:23" ht="12.7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row>
    <row r="837" spans="1:23" ht="12.7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row>
    <row r="838" spans="1:23" ht="12.7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row>
    <row r="839" spans="1:23" ht="12.7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row>
    <row r="840" spans="1:23" ht="12.7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row>
    <row r="841" spans="1:23" ht="12.7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row>
    <row r="842" spans="1:23" ht="12.7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row>
    <row r="843" spans="1:23" ht="12.7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row>
    <row r="844" spans="1:23" ht="12.7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row>
    <row r="845" spans="1:23" ht="12.7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row>
    <row r="846" spans="1:23" ht="12.7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row>
    <row r="847" spans="1:23" ht="12.7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row>
    <row r="848" spans="1:23" ht="12.7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row>
    <row r="849" spans="1:23" ht="12.7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row>
    <row r="850" spans="1:23" ht="12.7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row>
    <row r="851" spans="1:23" ht="12.7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row>
    <row r="852" spans="1:23" ht="12.7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row>
    <row r="853" spans="1:23" ht="12.7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row>
    <row r="854" spans="1:23" ht="12.7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row>
    <row r="855" spans="1:23" ht="12.7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row>
    <row r="856" spans="1:23" ht="12.7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row>
    <row r="857" spans="1:23" ht="12.7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row>
    <row r="858" spans="1:23" ht="12.7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row>
    <row r="859" spans="1:23" ht="12.7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row>
    <row r="860" spans="1:23" ht="12.7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row>
    <row r="861" spans="1:23" ht="12.7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row>
    <row r="862" spans="1:23" ht="12.7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row>
    <row r="863" spans="1:23" ht="12.7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row>
    <row r="864" spans="1:23" ht="12.7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row>
    <row r="865" spans="1:23" ht="12.7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row>
    <row r="866" spans="1:23" ht="12.7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row>
    <row r="867" spans="1:23" ht="12.7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row>
    <row r="868" spans="1:23" ht="12.7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row>
    <row r="869" spans="1:23" ht="12.7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row>
    <row r="870" spans="1:23" ht="12.7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row>
    <row r="871" spans="1:23" ht="12.7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row>
    <row r="872" spans="1:23" ht="12.7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row>
    <row r="873" spans="1:23" ht="12.7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row>
    <row r="874" spans="1:23" ht="12.7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row>
    <row r="875" spans="1:23" ht="12.7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row>
    <row r="876" spans="1:23" ht="12.7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row>
    <row r="877" spans="1:23" ht="12.7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row>
    <row r="878" spans="1:23" ht="12.7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row>
    <row r="879" spans="1:23" ht="12.7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row>
    <row r="880" spans="1:23" ht="12.7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row>
    <row r="881" spans="1:23" ht="12.7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row>
    <row r="882" spans="1:23" ht="12.7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row>
    <row r="883" spans="1:23" ht="12.7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row>
    <row r="884" spans="1:23" ht="12.7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row>
    <row r="885" spans="1:23" ht="12.7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row>
    <row r="886" spans="1:23" ht="12.7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row>
    <row r="887" spans="1:23" ht="12.7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row>
    <row r="888" spans="1:23" ht="12.7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row>
    <row r="889" spans="1:23" ht="12.7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row>
    <row r="890" spans="1:23" ht="12.7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row>
    <row r="891" spans="1:23" ht="12.7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row>
    <row r="892" spans="1:23" ht="12.7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row>
    <row r="893" spans="1:23" ht="12.7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row>
    <row r="894" spans="1:23" ht="12.7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row>
    <row r="895" spans="1:23" ht="12.7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row>
    <row r="896" spans="1:23" ht="12.7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row>
    <row r="897" spans="1:23" ht="12.7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row>
    <row r="898" spans="1:23" ht="12.7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row>
    <row r="899" spans="1:23" ht="12.7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row>
    <row r="900" spans="1:23" ht="12.7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row>
    <row r="901" spans="1:23" ht="12.7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row>
    <row r="902" spans="1:23" ht="12.7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row>
    <row r="903" spans="1:23" ht="12.7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row>
    <row r="904" spans="1:23" ht="12.7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row>
    <row r="905" spans="1:23" ht="12.7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row>
    <row r="906" spans="1:23" ht="12.7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row>
    <row r="907" spans="1:23" ht="12.7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row>
    <row r="908" spans="1:23" ht="12.7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row>
    <row r="909" spans="1:23" ht="12.7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row>
    <row r="910" spans="1:23" ht="12.7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row>
    <row r="911" spans="1:23" ht="12.7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row>
    <row r="912" spans="1:23" ht="12.7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row>
    <row r="913" spans="1:23" ht="12.7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row>
    <row r="914" spans="1:23" ht="12.7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row>
    <row r="915" spans="1:23" ht="12.7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row>
    <row r="916" spans="1:23" ht="12.7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row>
    <row r="917" spans="1:23" ht="12.7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row>
    <row r="918" spans="1:23" ht="12.7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row>
    <row r="919" spans="1:23" ht="12.7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row>
    <row r="920" spans="1:23" ht="12.7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row>
    <row r="921" spans="1:23" ht="12.7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row>
    <row r="922" spans="1:23" ht="12.7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row>
    <row r="923" spans="1:23" ht="12.7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row>
    <row r="924" spans="1:23" ht="12.7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row>
    <row r="925" spans="1:23" ht="12.7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row>
    <row r="926" spans="1:23" ht="12.7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row>
    <row r="927" spans="1:23" ht="12.7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row>
    <row r="928" spans="1:23" ht="12.7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row>
    <row r="929" spans="1:23" ht="12.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row>
    <row r="930" spans="1:23" ht="12.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row>
    <row r="931" spans="1:23" ht="12.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row>
    <row r="932" spans="1:23" ht="12.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row>
    <row r="933" spans="1:23" ht="12.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row>
    <row r="934" spans="1:23" ht="12.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row>
    <row r="935" spans="1:23" ht="12.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row>
    <row r="936" spans="1:23" ht="12.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row>
    <row r="937" spans="1:23" ht="12.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row>
    <row r="938" spans="1:23" ht="12.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row>
    <row r="939" spans="1:23" ht="12.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row>
    <row r="940" spans="1:23" ht="12.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row>
    <row r="941" spans="1:23" ht="12.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row>
    <row r="942" spans="1:23" ht="12.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row>
    <row r="943" spans="1:23" ht="12.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row>
    <row r="944" spans="1:23" ht="12.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row>
    <row r="945" spans="1:23" ht="12.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row>
    <row r="946" spans="1:23" ht="12.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row>
    <row r="947" spans="1:23" ht="12.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row>
    <row r="948" spans="1:23" ht="12.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row>
    <row r="949" spans="1:23" ht="12.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row>
    <row r="950" spans="1:23" ht="12.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row>
    <row r="951" spans="1:23" ht="12.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row>
    <row r="952" spans="1:23" ht="12.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row>
    <row r="953" spans="1:23" ht="12.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row>
    <row r="954" spans="1:23" ht="12.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row>
    <row r="955" spans="1:23" ht="12.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row>
    <row r="956" spans="1:23" ht="12.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row>
    <row r="957" spans="1:23" ht="12.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row>
    <row r="958" spans="1:23" ht="12.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row>
    <row r="959" spans="1:23" ht="12.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row>
    <row r="960" spans="1:23" ht="12.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row>
    <row r="961" spans="1:23" ht="12.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row>
    <row r="962" spans="1:23" ht="12.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row>
    <row r="963" spans="1:23" ht="12.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row>
    <row r="964" spans="1:23" ht="12.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row>
    <row r="965" spans="1:23" ht="12.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row>
    <row r="966" spans="1:23" ht="12.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row>
    <row r="967" spans="1:23" ht="12.75" customHeight="1">
      <c r="A967" s="32"/>
      <c r="B967" s="32"/>
      <c r="C967" s="32"/>
      <c r="D967" s="32"/>
      <c r="E967" s="32"/>
      <c r="F967" s="32"/>
      <c r="K967" s="32"/>
      <c r="L967" s="32"/>
      <c r="M967" s="32"/>
      <c r="N967" s="32"/>
      <c r="O967" s="32"/>
      <c r="P967" s="32"/>
      <c r="Q967" s="32"/>
      <c r="R967" s="32"/>
      <c r="S967" s="32"/>
      <c r="T967" s="32"/>
      <c r="U967" s="32"/>
      <c r="V967" s="32"/>
      <c r="W967" s="32"/>
    </row>
    <row r="968" spans="1:23" ht="12.75" customHeight="1">
      <c r="A968" s="32"/>
      <c r="B968" s="32"/>
      <c r="C968" s="32"/>
      <c r="D968" s="32"/>
      <c r="E968" s="32"/>
      <c r="F968" s="32"/>
      <c r="K968" s="32"/>
      <c r="L968" s="32"/>
      <c r="M968" s="32"/>
      <c r="N968" s="32"/>
      <c r="O968" s="32"/>
      <c r="P968" s="32"/>
      <c r="Q968" s="32"/>
      <c r="R968" s="32"/>
      <c r="S968" s="32"/>
      <c r="T968" s="32"/>
      <c r="U968" s="32"/>
      <c r="V968" s="32"/>
      <c r="W968" s="32"/>
    </row>
    <row r="969" spans="1:23" ht="12.75" customHeight="1">
      <c r="L969" s="32"/>
      <c r="M969" s="32"/>
      <c r="N969" s="32"/>
      <c r="O969" s="32"/>
      <c r="P969" s="32"/>
      <c r="Q969" s="32"/>
      <c r="R969" s="32"/>
      <c r="S969" s="32"/>
      <c r="T969" s="32"/>
      <c r="U969" s="32"/>
      <c r="V969" s="32"/>
      <c r="W969" s="32"/>
    </row>
    <row r="970" spans="1:23" ht="12.75" customHeight="1">
      <c r="L970" s="32"/>
      <c r="M970" s="32"/>
      <c r="N970" s="32"/>
      <c r="O970" s="32"/>
      <c r="P970" s="32"/>
      <c r="Q970" s="32"/>
      <c r="R970" s="32"/>
      <c r="S970" s="32"/>
      <c r="T970" s="32"/>
      <c r="U970" s="32"/>
      <c r="V970" s="32"/>
      <c r="W970" s="32"/>
    </row>
    <row r="971" spans="1:23" ht="12.75" customHeight="1">
      <c r="L971" s="32"/>
      <c r="M971" s="32"/>
      <c r="N971" s="32"/>
      <c r="O971" s="32"/>
      <c r="P971" s="32"/>
      <c r="Q971" s="32"/>
      <c r="R971" s="32"/>
      <c r="S971" s="32"/>
      <c r="T971" s="32"/>
      <c r="U971" s="32"/>
      <c r="V971" s="32"/>
      <c r="W971" s="32"/>
    </row>
    <row r="972" spans="1:23" ht="12.75" customHeight="1">
      <c r="L972" s="32"/>
      <c r="M972" s="32"/>
      <c r="N972" s="32"/>
      <c r="O972" s="32"/>
      <c r="P972" s="32"/>
      <c r="Q972" s="32"/>
      <c r="R972" s="32"/>
      <c r="S972" s="32"/>
      <c r="T972" s="32"/>
      <c r="U972" s="32"/>
      <c r="V972" s="32"/>
      <c r="W972" s="32"/>
    </row>
    <row r="973" spans="1:23" ht="12.75" customHeight="1">
      <c r="L973" s="32"/>
      <c r="M973" s="32"/>
      <c r="N973" s="32"/>
      <c r="O973" s="32"/>
      <c r="P973" s="32"/>
      <c r="Q973" s="32"/>
      <c r="R973" s="32"/>
      <c r="S973" s="32"/>
      <c r="T973" s="32"/>
      <c r="U973" s="32"/>
      <c r="V973" s="32"/>
      <c r="W973" s="32"/>
    </row>
    <row r="974" spans="1:23" ht="12.75" customHeight="1">
      <c r="L974" s="32"/>
      <c r="M974" s="32"/>
      <c r="N974" s="32"/>
      <c r="O974" s="32"/>
      <c r="P974" s="32"/>
      <c r="Q974" s="32"/>
      <c r="R974" s="32"/>
      <c r="S974" s="32"/>
      <c r="T974" s="32"/>
      <c r="U974" s="32"/>
      <c r="V974" s="32"/>
      <c r="W974" s="32"/>
    </row>
    <row r="975" spans="1:23" ht="12.75" customHeight="1">
      <c r="L975" s="32"/>
      <c r="M975" s="32"/>
      <c r="N975" s="32"/>
      <c r="O975" s="32"/>
      <c r="P975" s="32"/>
      <c r="Q975" s="32"/>
      <c r="R975" s="32"/>
      <c r="S975" s="32"/>
      <c r="T975" s="32"/>
      <c r="U975" s="32"/>
      <c r="V975" s="32"/>
      <c r="W975" s="32"/>
    </row>
    <row r="976" spans="1:23" ht="12.75" customHeight="1">
      <c r="L976" s="32"/>
      <c r="M976" s="32"/>
      <c r="N976" s="32"/>
      <c r="O976" s="32"/>
      <c r="P976" s="32"/>
      <c r="Q976" s="32"/>
      <c r="R976" s="32"/>
      <c r="S976" s="32"/>
      <c r="T976" s="32"/>
      <c r="U976" s="32"/>
      <c r="V976" s="32"/>
      <c r="W976" s="32"/>
    </row>
    <row r="977" spans="12:23" ht="12.75" customHeight="1">
      <c r="L977" s="32"/>
      <c r="M977" s="32"/>
      <c r="N977" s="32"/>
      <c r="O977" s="32"/>
      <c r="P977" s="32"/>
      <c r="Q977" s="32"/>
      <c r="R977" s="32"/>
      <c r="S977" s="32"/>
      <c r="T977" s="32"/>
      <c r="U977" s="32"/>
      <c r="V977" s="32"/>
      <c r="W977" s="32"/>
    </row>
    <row r="978" spans="12:23" ht="12.75" customHeight="1">
      <c r="L978" s="32"/>
      <c r="M978" s="32"/>
      <c r="N978" s="32"/>
      <c r="O978" s="32"/>
      <c r="P978" s="32"/>
      <c r="Q978" s="32"/>
      <c r="R978" s="32"/>
      <c r="U978" s="32"/>
      <c r="V978" s="32"/>
      <c r="W978" s="32"/>
    </row>
    <row r="979" spans="12:23" ht="12.75" customHeight="1">
      <c r="L979" s="32"/>
      <c r="M979" s="32"/>
      <c r="N979" s="32"/>
      <c r="O979" s="32"/>
      <c r="P979" s="32"/>
      <c r="Q979" s="32"/>
      <c r="W979" s="32"/>
    </row>
    <row r="980" spans="12:23" ht="12.75" customHeight="1">
      <c r="L980" s="32"/>
      <c r="M980" s="32"/>
      <c r="N980" s="32"/>
      <c r="O980" s="32"/>
      <c r="P980" s="32"/>
      <c r="Q980" s="32"/>
    </row>
    <row r="981" spans="12:23" ht="12.75" customHeight="1">
      <c r="L981" s="32"/>
      <c r="M981" s="32"/>
      <c r="N981" s="32"/>
      <c r="O981" s="32"/>
      <c r="P981" s="32"/>
      <c r="Q981" s="32"/>
    </row>
    <row r="982" spans="12:23" ht="12.75" customHeight="1">
      <c r="L982" s="32"/>
      <c r="M982" s="32"/>
      <c r="N982" s="32"/>
      <c r="O982" s="32"/>
      <c r="P982" s="32"/>
      <c r="Q982" s="32"/>
    </row>
    <row r="983" spans="12:23" ht="12.75" customHeight="1">
      <c r="L983" s="32"/>
      <c r="M983" s="32"/>
      <c r="N983" s="32"/>
      <c r="O983" s="32"/>
      <c r="P983" s="32"/>
      <c r="Q983" s="32"/>
    </row>
    <row r="984" spans="12:23" ht="12.75" customHeight="1">
      <c r="L984" s="32"/>
      <c r="M984" s="32"/>
      <c r="N984" s="32"/>
      <c r="O984" s="32"/>
      <c r="P984" s="32"/>
      <c r="Q984" s="32"/>
    </row>
    <row r="985" spans="12:23" ht="12.75" customHeight="1">
      <c r="L985" s="32"/>
      <c r="M985" s="32"/>
      <c r="N985" s="32"/>
      <c r="O985" s="32"/>
      <c r="P985" s="32"/>
      <c r="Q985" s="32"/>
    </row>
    <row r="986" spans="12:23" ht="12.75" customHeight="1">
      <c r="L986" s="32"/>
      <c r="Q986" s="32"/>
    </row>
    <row r="987" spans="12:23" ht="12.75" customHeight="1">
      <c r="L987" s="32"/>
      <c r="Q987" s="32"/>
    </row>
    <row r="988" spans="12:23" ht="12.75" customHeight="1">
      <c r="L988" s="32"/>
      <c r="Q988" s="32"/>
    </row>
    <row r="989" spans="12:23" ht="12.75" customHeight="1">
      <c r="L989" s="32"/>
    </row>
  </sheetData>
  <sheetProtection algorithmName="SHA-512" hashValue="363zLKZAJW7sD3jWA+ypMtvqR+9O7V2sNkPhllimTxoilzYeyN1aHMYiXSoL0pTDV8h4M8JjB0gh0Esm25HFIA==" saltValue="M6wd3nggSuJgUVIUTM3p7w==" spinCount="100000" sheet="1" objects="1" scenarios="1"/>
  <mergeCells count="10">
    <mergeCell ref="AP180:AQ180"/>
    <mergeCell ref="AP178:AQ178"/>
    <mergeCell ref="A77:G77"/>
    <mergeCell ref="A64:G64"/>
    <mergeCell ref="A44:G44"/>
    <mergeCell ref="A173:G173"/>
    <mergeCell ref="A177:F177"/>
    <mergeCell ref="A90:G90"/>
    <mergeCell ref="AP179:AQ179"/>
    <mergeCell ref="A88:G88"/>
  </mergeCells>
  <phoneticPr fontId="10" type="noConversion"/>
  <dataValidations xWindow="321" yWindow="273" count="6">
    <dataValidation type="whole" operator="greaterThanOrEqual" showInputMessage="1" showErrorMessage="1" errorTitle="Invalid Data Entry" error="Please enter a positive whole number or press the delete key or enter a zero._x000a_" promptTitle="Expected Data Entry" prompt="This should be the 9/20 headcount eligible for reduced meals (whole number) not the total number of meals served for the year." sqref="A156">
      <formula1>0</formula1>
    </dataValidation>
    <dataValidation type="whole" operator="greaterThanOrEqual" showInputMessage="1" showErrorMessage="1" errorTitle="Invalid Data Entry" error="Please enter a positive whole number or press the delete key or enter a zero." sqref="F23:F40 A117 A131:A136">
      <formula1>0</formula1>
    </dataValidation>
    <dataValidation type="whole" allowBlank="1" showInputMessage="1" showErrorMessage="1" errorTitle="Invalid USD Number" error="Please enter your district number.  Valid range is between 101 and 512." promptTitle="Expected Data Entry" prompt="Valid range is between 101 and 512.  Enter the USD # and the district name will be filled in for you above.  The county name is filled in below." sqref="B4">
      <formula1>101</formula1>
      <formula2>512</formula2>
    </dataValidation>
    <dataValidation type="decimal" operator="greaterThanOrEqual" showInputMessage="1" showErrorMessage="1" errorTitle="Invalid Data Entry" error="Please enter the mill rate (Ex:  1.000) or press the delete key or enter a zero._x000a_" sqref="B37 D37">
      <formula1>0</formula1>
    </dataValidation>
    <dataValidation type="list" showInputMessage="1" showErrorMessage="1" prompt="Click on drop-down (down arrow to right of cell) to select Yes if your district meets the guidelines to the right." sqref="A96">
      <formula1>"Yes,No"</formula1>
    </dataValidation>
    <dataValidation type="whole" operator="greaterThanOrEqual" showInputMessage="1" showErrorMessage="1" errorTitle="Invalid Data Entry" error="Please enter a positive whole number or press the delete key or enter zero." sqref="A14:A17">
      <formula1>0</formula1>
    </dataValidation>
  </dataValidations>
  <hyperlinks>
    <hyperlink ref="H1" location="Contents!F1" display="Return to Contents page"/>
  </hyperlinks>
  <printOptions horizontalCentered="1"/>
  <pageMargins left="0.25" right="0.25" top="0.75" bottom="1" header="0.5" footer="0.5"/>
  <pageSetup scale="74" fitToHeight="2" orientation="portrait" blackAndWhite="1" r:id="rId1"/>
  <headerFooter alignWithMargins="0">
    <oddHeader>&amp;CUSD INFORMATION</oddHeader>
    <oddFooter>&amp;L&amp;D     &amp;T &amp;COpen&amp;RPage &amp;P</odd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4" tint="0.39997558519241921"/>
    <pageSetUpPr fitToPage="1"/>
  </sheetPr>
  <dimension ref="A1:K56"/>
  <sheetViews>
    <sheetView topLeftCell="B1" workbookViewId="0">
      <selection activeCell="J12" sqref="J12"/>
    </sheetView>
  </sheetViews>
  <sheetFormatPr defaultColWidth="10.7109375" defaultRowHeight="12.6" customHeight="1"/>
  <cols>
    <col min="1" max="1" width="23.85546875" style="284" customWidth="1"/>
    <col min="2" max="2" width="11" style="284" customWidth="1"/>
    <col min="3" max="3" width="10.5703125" style="284" customWidth="1"/>
    <col min="4" max="4" width="6.5703125" style="284" customWidth="1"/>
    <col min="5" max="5" width="14.42578125" style="284" customWidth="1"/>
    <col min="6" max="6" width="11.85546875" style="284" customWidth="1"/>
    <col min="7" max="7" width="13.42578125" style="284" customWidth="1"/>
    <col min="8" max="8" width="14.42578125" style="284" customWidth="1"/>
    <col min="9" max="9" width="13.85546875" style="284" customWidth="1"/>
    <col min="10" max="10" width="14.42578125" style="284" customWidth="1"/>
    <col min="11" max="11" width="21.140625" style="284" customWidth="1"/>
    <col min="12" max="16384" width="10.7109375" style="284"/>
  </cols>
  <sheetData>
    <row r="1" spans="1:11" ht="12.6" customHeight="1">
      <c r="A1" s="281" t="s">
        <v>1020</v>
      </c>
      <c r="B1" s="281"/>
      <c r="C1" s="281"/>
      <c r="D1" s="281"/>
      <c r="E1" s="281"/>
      <c r="F1" s="281"/>
      <c r="G1" s="281"/>
      <c r="H1" s="282" t="s">
        <v>1191</v>
      </c>
      <c r="I1" s="283">
        <f>OPEN!$B$4</f>
        <v>270</v>
      </c>
      <c r="J1" s="281"/>
      <c r="K1" s="3013" t="s">
        <v>866</v>
      </c>
    </row>
    <row r="2" spans="1:11" ht="12.6" customHeight="1">
      <c r="A2" s="281" t="s">
        <v>1192</v>
      </c>
      <c r="B2" s="281"/>
      <c r="C2" s="281"/>
      <c r="D2" s="281"/>
      <c r="E2" s="281"/>
      <c r="F2" s="281"/>
      <c r="G2" s="281"/>
      <c r="H2" s="281"/>
      <c r="I2" s="281"/>
      <c r="J2" s="281"/>
    </row>
    <row r="3" spans="1:11" ht="12.6" customHeight="1">
      <c r="A3" s="281" t="str">
        <f>OPEN!N2</f>
        <v>2016-2017</v>
      </c>
      <c r="B3" s="281"/>
      <c r="C3" s="281"/>
      <c r="D3" s="285" t="s">
        <v>1193</v>
      </c>
      <c r="E3" s="281"/>
      <c r="F3" s="281"/>
      <c r="G3" s="281"/>
      <c r="H3" s="281"/>
      <c r="I3" s="281"/>
      <c r="J3" s="281"/>
    </row>
    <row r="4" spans="1:11" ht="12.6" customHeight="1">
      <c r="A4" s="286" t="s">
        <v>1194</v>
      </c>
      <c r="B4" s="286"/>
      <c r="C4" s="286"/>
      <c r="D4" s="286"/>
      <c r="E4" s="286"/>
      <c r="F4" s="286"/>
      <c r="G4" s="286"/>
      <c r="H4" s="286"/>
      <c r="I4" s="286"/>
      <c r="J4" s="287"/>
    </row>
    <row r="5" spans="1:11" ht="12.6" customHeight="1">
      <c r="A5" s="281"/>
      <c r="B5" s="281"/>
      <c r="C5" s="281"/>
      <c r="D5" s="281"/>
      <c r="E5" s="281"/>
      <c r="F5" s="281"/>
      <c r="G5" s="281"/>
      <c r="H5" s="281"/>
      <c r="I5" s="281"/>
      <c r="J5" s="281"/>
    </row>
    <row r="6" spans="1:11" ht="12.6" customHeight="1">
      <c r="A6" s="281"/>
      <c r="B6" s="288"/>
      <c r="C6" s="289" t="s">
        <v>1195</v>
      </c>
      <c r="D6" s="288"/>
      <c r="E6" s="289" t="s">
        <v>1186</v>
      </c>
      <c r="F6" s="289"/>
      <c r="G6" s="289" t="s">
        <v>1186</v>
      </c>
      <c r="H6" s="289"/>
      <c r="I6" s="289"/>
      <c r="J6" s="289"/>
    </row>
    <row r="7" spans="1:11" ht="12.6" customHeight="1">
      <c r="A7" s="281"/>
      <c r="B7" s="290" t="s">
        <v>1174</v>
      </c>
      <c r="C7" s="291" t="s">
        <v>1177</v>
      </c>
      <c r="D7" s="291" t="s">
        <v>1196</v>
      </c>
      <c r="E7" s="291" t="s">
        <v>1197</v>
      </c>
      <c r="F7" s="290" t="s">
        <v>1198</v>
      </c>
      <c r="G7" s="291" t="s">
        <v>1018</v>
      </c>
      <c r="H7" s="291" t="s">
        <v>1199</v>
      </c>
      <c r="I7" s="291"/>
      <c r="J7" s="291"/>
    </row>
    <row r="8" spans="1:11" ht="12.6" customHeight="1">
      <c r="A8" s="281"/>
      <c r="B8" s="291" t="s">
        <v>1177</v>
      </c>
      <c r="C8" s="291" t="s">
        <v>1200</v>
      </c>
      <c r="D8" s="291" t="s">
        <v>1178</v>
      </c>
      <c r="E8" s="291" t="s">
        <v>1201</v>
      </c>
      <c r="F8" s="291" t="s">
        <v>1202</v>
      </c>
      <c r="G8" s="291" t="s">
        <v>1203</v>
      </c>
      <c r="H8" s="291" t="s">
        <v>1204</v>
      </c>
      <c r="I8" s="291" t="s">
        <v>1205</v>
      </c>
      <c r="J8" s="291" t="s">
        <v>1205</v>
      </c>
    </row>
    <row r="9" spans="1:11" ht="12.6" customHeight="1">
      <c r="A9" s="292"/>
      <c r="B9" s="291" t="s">
        <v>1200</v>
      </c>
      <c r="C9" s="291" t="s">
        <v>1206</v>
      </c>
      <c r="D9" s="291" t="s">
        <v>1124</v>
      </c>
      <c r="E9" s="293" t="s">
        <v>1207</v>
      </c>
      <c r="F9" s="291" t="s">
        <v>1208</v>
      </c>
      <c r="G9" s="291" t="s">
        <v>1209</v>
      </c>
      <c r="H9" s="293" t="str">
        <f>'C05'!E8</f>
        <v>7/1/2016</v>
      </c>
      <c r="I9" s="293" t="str">
        <f>A3</f>
        <v>2016-2017</v>
      </c>
      <c r="J9" s="293" t="str">
        <f>"July - Dec "&amp;OPEN!S5</f>
        <v>July - Dec 2017</v>
      </c>
    </row>
    <row r="10" spans="1:11" ht="12.6" customHeight="1">
      <c r="A10" s="294" t="s">
        <v>1210</v>
      </c>
      <c r="B10" s="295">
        <v>1</v>
      </c>
      <c r="C10" s="295">
        <v>2</v>
      </c>
      <c r="D10" s="295">
        <v>3</v>
      </c>
      <c r="E10" s="295">
        <v>4</v>
      </c>
      <c r="F10" s="295">
        <v>5</v>
      </c>
      <c r="G10" s="295">
        <v>6</v>
      </c>
      <c r="H10" s="295">
        <v>7</v>
      </c>
      <c r="I10" s="295">
        <v>8</v>
      </c>
      <c r="J10" s="295">
        <v>9</v>
      </c>
    </row>
    <row r="11" spans="1:11" ht="15" customHeight="1">
      <c r="A11" s="296" t="s">
        <v>2658</v>
      </c>
      <c r="B11" s="297">
        <v>42108</v>
      </c>
      <c r="C11" s="296">
        <v>60</v>
      </c>
      <c r="D11" s="298">
        <v>3.93</v>
      </c>
      <c r="E11" s="299">
        <v>46089</v>
      </c>
      <c r="F11" s="299"/>
      <c r="G11" s="299">
        <v>49709</v>
      </c>
      <c r="H11" s="299">
        <v>27626</v>
      </c>
      <c r="I11" s="299">
        <v>9942</v>
      </c>
      <c r="J11" s="299">
        <v>0</v>
      </c>
    </row>
    <row r="12" spans="1:11" ht="15" customHeight="1">
      <c r="A12" s="296"/>
      <c r="B12" s="297"/>
      <c r="C12" s="296"/>
      <c r="D12" s="298"/>
      <c r="E12" s="299"/>
      <c r="F12" s="299"/>
      <c r="G12" s="299"/>
      <c r="H12" s="299"/>
      <c r="I12" s="299"/>
      <c r="J12" s="299"/>
    </row>
    <row r="13" spans="1:11" ht="15" customHeight="1">
      <c r="A13" s="300"/>
      <c r="B13" s="301"/>
      <c r="C13" s="300"/>
      <c r="D13" s="302"/>
      <c r="E13" s="303"/>
      <c r="F13" s="303"/>
      <c r="G13" s="303"/>
      <c r="H13" s="303"/>
      <c r="I13" s="303"/>
      <c r="J13" s="303"/>
    </row>
    <row r="14" spans="1:11" ht="15" customHeight="1">
      <c r="A14" s="300"/>
      <c r="B14" s="301"/>
      <c r="C14" s="300"/>
      <c r="D14" s="302"/>
      <c r="E14" s="303"/>
      <c r="F14" s="303"/>
      <c r="G14" s="303"/>
      <c r="H14" s="303"/>
      <c r="I14" s="303"/>
      <c r="J14" s="303"/>
    </row>
    <row r="15" spans="1:11" ht="15" customHeight="1">
      <c r="A15" s="300"/>
      <c r="B15" s="301"/>
      <c r="C15" s="300"/>
      <c r="D15" s="302"/>
      <c r="E15" s="303"/>
      <c r="F15" s="303"/>
      <c r="G15" s="303"/>
      <c r="H15" s="303"/>
      <c r="I15" s="303"/>
      <c r="J15" s="303"/>
    </row>
    <row r="16" spans="1:11" ht="15" customHeight="1">
      <c r="A16" s="300"/>
      <c r="B16" s="301"/>
      <c r="C16" s="300"/>
      <c r="D16" s="302"/>
      <c r="E16" s="303"/>
      <c r="F16" s="303"/>
      <c r="G16" s="303"/>
      <c r="H16" s="303"/>
      <c r="I16" s="303"/>
      <c r="J16" s="303"/>
    </row>
    <row r="17" spans="1:10" ht="15" customHeight="1">
      <c r="A17" s="300"/>
      <c r="B17" s="301"/>
      <c r="C17" s="300"/>
      <c r="D17" s="302"/>
      <c r="E17" s="303"/>
      <c r="F17" s="303"/>
      <c r="G17" s="303"/>
      <c r="H17" s="303"/>
      <c r="I17" s="303"/>
      <c r="J17" s="303"/>
    </row>
    <row r="18" spans="1:10" ht="15" customHeight="1">
      <c r="A18" s="300"/>
      <c r="B18" s="301"/>
      <c r="C18" s="300"/>
      <c r="D18" s="302"/>
      <c r="E18" s="303"/>
      <c r="F18" s="303"/>
      <c r="G18" s="303"/>
      <c r="H18" s="303"/>
      <c r="I18" s="303"/>
      <c r="J18" s="303"/>
    </row>
    <row r="19" spans="1:10" ht="15" customHeight="1">
      <c r="A19" s="300"/>
      <c r="B19" s="301"/>
      <c r="C19" s="300"/>
      <c r="D19" s="302"/>
      <c r="E19" s="303"/>
      <c r="F19" s="303"/>
      <c r="G19" s="303"/>
      <c r="H19" s="303"/>
      <c r="I19" s="303"/>
      <c r="J19" s="303"/>
    </row>
    <row r="20" spans="1:10" ht="15" customHeight="1">
      <c r="A20" s="300"/>
      <c r="B20" s="301"/>
      <c r="C20" s="300"/>
      <c r="D20" s="302"/>
      <c r="E20" s="303"/>
      <c r="F20" s="303"/>
      <c r="G20" s="303"/>
      <c r="H20" s="303"/>
      <c r="I20" s="303"/>
      <c r="J20" s="303"/>
    </row>
    <row r="21" spans="1:10" ht="15" customHeight="1">
      <c r="A21" s="300"/>
      <c r="B21" s="301"/>
      <c r="C21" s="300"/>
      <c r="D21" s="302"/>
      <c r="E21" s="303"/>
      <c r="F21" s="303"/>
      <c r="G21" s="303"/>
      <c r="H21" s="303"/>
      <c r="I21" s="303"/>
      <c r="J21" s="303"/>
    </row>
    <row r="22" spans="1:10" ht="15" customHeight="1">
      <c r="A22" s="300"/>
      <c r="B22" s="301"/>
      <c r="C22" s="300"/>
      <c r="D22" s="302"/>
      <c r="E22" s="303"/>
      <c r="F22" s="303"/>
      <c r="G22" s="303"/>
      <c r="H22" s="303"/>
      <c r="I22" s="303"/>
      <c r="J22" s="303"/>
    </row>
    <row r="23" spans="1:10" ht="15" customHeight="1">
      <c r="A23" s="300"/>
      <c r="B23" s="301"/>
      <c r="C23" s="300"/>
      <c r="D23" s="302"/>
      <c r="E23" s="303"/>
      <c r="F23" s="303"/>
      <c r="G23" s="303"/>
      <c r="H23" s="303"/>
      <c r="I23" s="303"/>
      <c r="J23" s="303"/>
    </row>
    <row r="24" spans="1:10" ht="15" customHeight="1">
      <c r="A24" s="300"/>
      <c r="B24" s="301"/>
      <c r="C24" s="300"/>
      <c r="D24" s="302"/>
      <c r="E24" s="303"/>
      <c r="F24" s="303"/>
      <c r="G24" s="303"/>
      <c r="H24" s="303"/>
      <c r="I24" s="303"/>
      <c r="J24" s="303"/>
    </row>
    <row r="25" spans="1:10" ht="15" customHeight="1">
      <c r="A25" s="300"/>
      <c r="B25" s="301"/>
      <c r="C25" s="300"/>
      <c r="D25" s="302"/>
      <c r="E25" s="303"/>
      <c r="F25" s="303"/>
      <c r="G25" s="303"/>
      <c r="H25" s="303"/>
      <c r="I25" s="303"/>
      <c r="J25" s="303"/>
    </row>
    <row r="26" spans="1:10" ht="15" customHeight="1">
      <c r="A26" s="300"/>
      <c r="B26" s="301"/>
      <c r="C26" s="300"/>
      <c r="D26" s="302"/>
      <c r="E26" s="303"/>
      <c r="F26" s="303"/>
      <c r="G26" s="303"/>
      <c r="H26" s="303"/>
      <c r="I26" s="303"/>
      <c r="J26" s="303"/>
    </row>
    <row r="27" spans="1:10" ht="15" customHeight="1">
      <c r="A27" s="300"/>
      <c r="B27" s="301"/>
      <c r="C27" s="300"/>
      <c r="D27" s="302"/>
      <c r="E27" s="303"/>
      <c r="F27" s="303"/>
      <c r="G27" s="303"/>
      <c r="H27" s="303"/>
      <c r="I27" s="303"/>
      <c r="J27" s="303"/>
    </row>
    <row r="28" spans="1:10" ht="15" customHeight="1">
      <c r="A28" s="300"/>
      <c r="B28" s="301"/>
      <c r="C28" s="300"/>
      <c r="D28" s="302"/>
      <c r="E28" s="303"/>
      <c r="F28" s="303"/>
      <c r="G28" s="303"/>
      <c r="H28" s="303"/>
      <c r="I28" s="303"/>
      <c r="J28" s="303"/>
    </row>
    <row r="29" spans="1:10" ht="15" customHeight="1">
      <c r="A29" s="300"/>
      <c r="B29" s="301"/>
      <c r="C29" s="300"/>
      <c r="D29" s="302"/>
      <c r="E29" s="303"/>
      <c r="F29" s="303"/>
      <c r="G29" s="303"/>
      <c r="H29" s="303"/>
      <c r="I29" s="303"/>
      <c r="J29" s="303"/>
    </row>
    <row r="30" spans="1:10" ht="15" customHeight="1">
      <c r="A30" s="296"/>
      <c r="B30" s="297"/>
      <c r="C30" s="296"/>
      <c r="D30" s="298"/>
      <c r="E30" s="299"/>
      <c r="F30" s="299"/>
      <c r="G30" s="299"/>
      <c r="H30" s="299"/>
      <c r="I30" s="299"/>
      <c r="J30" s="299"/>
    </row>
    <row r="31" spans="1:10" ht="15" customHeight="1">
      <c r="A31" s="304" t="s">
        <v>1121</v>
      </c>
      <c r="B31" s="305"/>
      <c r="C31" s="306"/>
      <c r="D31" s="307"/>
      <c r="E31" s="308">
        <f t="shared" ref="E31:J31" si="0">SUM(E11:E30)</f>
        <v>46089</v>
      </c>
      <c r="F31" s="308">
        <f t="shared" si="0"/>
        <v>0</v>
      </c>
      <c r="G31" s="308">
        <f t="shared" si="0"/>
        <v>49709</v>
      </c>
      <c r="H31" s="308">
        <f t="shared" si="0"/>
        <v>27626</v>
      </c>
      <c r="I31" s="308">
        <f t="shared" si="0"/>
        <v>9942</v>
      </c>
      <c r="J31" s="308">
        <f t="shared" si="0"/>
        <v>0</v>
      </c>
    </row>
    <row r="32" spans="1:10" ht="12.6" customHeight="1">
      <c r="A32" s="281"/>
      <c r="B32" s="309"/>
      <c r="C32" s="281"/>
      <c r="D32" s="281"/>
      <c r="E32" s="281"/>
      <c r="F32" s="281"/>
      <c r="G32" s="281"/>
      <c r="H32" s="281"/>
      <c r="I32" s="281"/>
      <c r="J32" s="281"/>
    </row>
    <row r="33" spans="1:10" ht="12.6" customHeight="1">
      <c r="A33" s="281" t="s">
        <v>1211</v>
      </c>
      <c r="B33" s="309"/>
      <c r="C33" s="281"/>
      <c r="D33" s="281"/>
      <c r="E33" s="281"/>
      <c r="F33" s="281"/>
      <c r="G33" s="281"/>
      <c r="H33" s="281"/>
      <c r="I33" s="281"/>
      <c r="J33" s="281"/>
    </row>
    <row r="34" spans="1:10" ht="12.6" customHeight="1">
      <c r="A34" s="281"/>
      <c r="B34" s="310"/>
      <c r="C34" s="287"/>
      <c r="D34" s="287"/>
      <c r="E34" s="287"/>
      <c r="F34" s="287"/>
      <c r="G34" s="287"/>
      <c r="H34" s="287"/>
      <c r="I34" s="287"/>
      <c r="J34" s="281"/>
    </row>
    <row r="35" spans="1:10" ht="12.6" customHeight="1">
      <c r="A35" s="281"/>
      <c r="B35" s="309"/>
      <c r="C35" s="281"/>
      <c r="D35" s="281"/>
      <c r="E35" s="281"/>
      <c r="F35" s="281"/>
      <c r="G35" s="281"/>
      <c r="H35" s="281"/>
      <c r="I35" s="281"/>
      <c r="J35" s="281"/>
    </row>
    <row r="36" spans="1:10" ht="12.6" customHeight="1">
      <c r="A36" s="281"/>
      <c r="B36" s="309"/>
      <c r="C36" s="281"/>
      <c r="D36" s="281"/>
      <c r="E36" s="281"/>
      <c r="F36" s="281"/>
      <c r="G36" s="281"/>
      <c r="H36" s="281"/>
      <c r="I36" s="281"/>
      <c r="J36" s="281"/>
    </row>
    <row r="37" spans="1:10" ht="12.6" customHeight="1">
      <c r="A37" s="281"/>
      <c r="B37" s="309"/>
      <c r="C37" s="281"/>
      <c r="D37" s="281"/>
      <c r="E37" s="281"/>
      <c r="F37" s="281"/>
      <c r="G37" s="281"/>
      <c r="H37" s="281"/>
      <c r="I37" s="281"/>
      <c r="J37" s="281"/>
    </row>
    <row r="38" spans="1:10" ht="12.6" customHeight="1">
      <c r="A38" s="287"/>
      <c r="B38" s="310"/>
      <c r="C38" s="287"/>
      <c r="D38" s="287"/>
      <c r="E38" s="287"/>
      <c r="F38" s="287"/>
      <c r="G38" s="287"/>
      <c r="H38" s="287"/>
      <c r="I38" s="287"/>
      <c r="J38" s="287"/>
    </row>
    <row r="39" spans="1:10" ht="12.6" customHeight="1">
      <c r="A39" s="311"/>
      <c r="B39" s="312"/>
      <c r="C39" s="311"/>
      <c r="D39" s="311"/>
      <c r="E39" s="311"/>
      <c r="F39" s="311"/>
      <c r="G39" s="311"/>
      <c r="H39" s="311"/>
      <c r="I39" s="311"/>
      <c r="J39" s="311"/>
    </row>
    <row r="40" spans="1:10" ht="12.6" customHeight="1">
      <c r="A40" s="311"/>
      <c r="B40" s="312"/>
      <c r="C40" s="311"/>
      <c r="D40" s="311"/>
      <c r="E40" s="311"/>
      <c r="F40" s="311"/>
      <c r="G40" s="311"/>
      <c r="H40" s="311"/>
      <c r="I40" s="311"/>
      <c r="J40" s="311"/>
    </row>
    <row r="41" spans="1:10" ht="12.6" customHeight="1">
      <c r="A41" s="311"/>
      <c r="B41" s="312"/>
      <c r="C41" s="311"/>
      <c r="D41" s="311"/>
      <c r="E41" s="311"/>
      <c r="F41" s="311"/>
      <c r="G41" s="311"/>
      <c r="H41" s="311"/>
      <c r="I41" s="311"/>
      <c r="J41" s="311"/>
    </row>
    <row r="42" spans="1:10" ht="12.6" customHeight="1">
      <c r="A42" s="311"/>
      <c r="B42" s="312"/>
      <c r="C42" s="311"/>
      <c r="D42" s="311"/>
      <c r="E42" s="311"/>
      <c r="F42" s="311"/>
      <c r="G42" s="311"/>
      <c r="H42" s="311"/>
      <c r="I42" s="311"/>
      <c r="J42" s="311"/>
    </row>
    <row r="43" spans="1:10" ht="12.6" customHeight="1">
      <c r="A43" s="311"/>
      <c r="B43" s="312"/>
      <c r="C43" s="311"/>
      <c r="D43" s="311"/>
      <c r="E43" s="311"/>
      <c r="F43" s="311"/>
      <c r="G43" s="311"/>
      <c r="H43" s="311"/>
      <c r="I43" s="311"/>
      <c r="J43" s="311"/>
    </row>
    <row r="44" spans="1:10" ht="12.6" customHeight="1">
      <c r="A44" s="311"/>
      <c r="B44" s="313"/>
      <c r="C44" s="311"/>
      <c r="D44" s="311"/>
      <c r="E44" s="311"/>
      <c r="F44" s="311"/>
      <c r="G44" s="311"/>
      <c r="H44" s="311"/>
      <c r="I44" s="311"/>
      <c r="J44" s="311"/>
    </row>
    <row r="45" spans="1:10" ht="12.6" customHeight="1">
      <c r="A45" s="311"/>
      <c r="B45" s="313"/>
      <c r="C45" s="311"/>
      <c r="D45" s="311"/>
      <c r="E45" s="311"/>
      <c r="F45" s="311"/>
      <c r="G45" s="311"/>
      <c r="H45" s="311"/>
      <c r="I45" s="311"/>
      <c r="J45" s="311"/>
    </row>
    <row r="46" spans="1:10" ht="12.6" customHeight="1">
      <c r="A46" s="311"/>
      <c r="B46" s="313"/>
      <c r="C46" s="311"/>
      <c r="D46" s="311"/>
      <c r="E46" s="311"/>
      <c r="F46" s="311"/>
      <c r="G46" s="311"/>
      <c r="H46" s="311"/>
      <c r="I46" s="311"/>
      <c r="J46" s="311"/>
    </row>
    <row r="47" spans="1:10" ht="12.6" customHeight="1">
      <c r="A47" s="311"/>
      <c r="B47" s="313"/>
      <c r="C47" s="311"/>
      <c r="D47" s="311"/>
      <c r="E47" s="311"/>
      <c r="F47" s="311"/>
      <c r="G47" s="311"/>
      <c r="H47" s="311"/>
      <c r="I47" s="311"/>
      <c r="J47" s="311"/>
    </row>
    <row r="48" spans="1:10" ht="12.6" customHeight="1">
      <c r="A48" s="311"/>
      <c r="B48" s="313"/>
      <c r="C48" s="311"/>
      <c r="D48" s="311"/>
      <c r="E48" s="311"/>
      <c r="F48" s="311"/>
      <c r="G48" s="311"/>
      <c r="H48" s="311"/>
      <c r="I48" s="311"/>
      <c r="J48" s="311"/>
    </row>
    <row r="49" spans="1:10" ht="12.6" customHeight="1">
      <c r="A49" s="311"/>
      <c r="B49" s="313"/>
      <c r="C49" s="311"/>
      <c r="D49" s="311"/>
      <c r="E49" s="311"/>
      <c r="F49" s="311"/>
      <c r="G49" s="311"/>
      <c r="H49" s="311"/>
      <c r="I49" s="311"/>
      <c r="J49" s="311"/>
    </row>
    <row r="50" spans="1:10" ht="12.6" customHeight="1">
      <c r="A50" s="311"/>
      <c r="B50" s="313"/>
      <c r="C50" s="311"/>
      <c r="D50" s="311"/>
      <c r="E50" s="311"/>
      <c r="F50" s="311"/>
      <c r="G50" s="311"/>
      <c r="H50" s="311"/>
      <c r="I50" s="311"/>
      <c r="J50" s="311"/>
    </row>
    <row r="51" spans="1:10" ht="12.6" customHeight="1">
      <c r="A51" s="311"/>
      <c r="B51" s="313"/>
      <c r="C51" s="311"/>
      <c r="D51" s="311"/>
      <c r="E51" s="311"/>
      <c r="F51" s="311"/>
      <c r="G51" s="311"/>
      <c r="H51" s="311"/>
      <c r="I51" s="311"/>
      <c r="J51" s="311"/>
    </row>
    <row r="52" spans="1:10" ht="12.6" customHeight="1">
      <c r="A52" s="311"/>
      <c r="B52" s="313"/>
      <c r="C52" s="311"/>
      <c r="D52" s="311"/>
      <c r="E52" s="311"/>
      <c r="F52" s="311"/>
      <c r="G52" s="311"/>
      <c r="H52" s="311"/>
      <c r="I52" s="311"/>
      <c r="J52" s="311"/>
    </row>
    <row r="53" spans="1:10" ht="12.6" customHeight="1">
      <c r="A53" s="311"/>
      <c r="B53" s="313"/>
      <c r="C53" s="311"/>
      <c r="D53" s="311"/>
      <c r="E53" s="311"/>
      <c r="F53" s="311"/>
      <c r="G53" s="311"/>
      <c r="H53" s="311"/>
      <c r="I53" s="311"/>
      <c r="J53" s="311"/>
    </row>
    <row r="54" spans="1:10" ht="12.6" customHeight="1">
      <c r="A54" s="311"/>
      <c r="B54" s="313"/>
      <c r="C54" s="311"/>
      <c r="D54" s="311"/>
      <c r="E54" s="311"/>
      <c r="F54" s="311"/>
      <c r="G54" s="311"/>
      <c r="H54" s="311"/>
      <c r="I54" s="311"/>
      <c r="J54" s="311"/>
    </row>
    <row r="55" spans="1:10" ht="12.6" customHeight="1">
      <c r="A55" s="311"/>
      <c r="B55" s="313"/>
      <c r="C55" s="311"/>
      <c r="D55" s="311"/>
      <c r="E55" s="311"/>
      <c r="F55" s="311"/>
      <c r="G55" s="311"/>
      <c r="H55" s="311"/>
      <c r="I55" s="311"/>
      <c r="J55" s="311"/>
    </row>
    <row r="56" spans="1:10" ht="12.6" customHeight="1">
      <c r="A56" s="311"/>
      <c r="B56" s="313"/>
      <c r="C56" s="311"/>
      <c r="D56" s="311"/>
      <c r="E56" s="311"/>
      <c r="F56" s="311"/>
      <c r="G56" s="311"/>
      <c r="H56" s="311"/>
      <c r="I56" s="311"/>
      <c r="J56" s="311"/>
    </row>
  </sheetData>
  <sheetProtection algorithmName="SHA-512" hashValue="yLp6DwRGkt5UzXu+S1QGasBt3Uiq/dZr9cfjAfMCt/aIgOVxaVSd6rb5CoDJdB6n1efrdJHebbBkdxy7SRvPVg==" saltValue="ZQ9bQFHWGP12XPlLEjB1cQ==" spinCount="100000" sheet="1" objects="1" scenarios="1"/>
  <phoneticPr fontId="10" type="noConversion"/>
  <hyperlinks>
    <hyperlink ref="K1" location="Contents!F1" display="Return to Contents page"/>
  </hyperlinks>
  <printOptions horizontalCentered="1"/>
  <pageMargins left="0.25" right="0.25" top="0.5" bottom="0.5" header="0.5" footer="0.5"/>
  <pageSetup orientation="landscape" blackAndWhite="1" r:id="rId1"/>
  <headerFooter alignWithMargins="0">
    <oddFooter>&amp;L&amp;D     &amp;T &amp;CCode No. 05a</oddFooter>
  </headerFooter>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4" tint="0.39997558519241921"/>
  </sheetPr>
  <dimension ref="A1:U654"/>
  <sheetViews>
    <sheetView topLeftCell="A331" zoomScaleNormal="100" workbookViewId="0">
      <selection activeCell="E354" sqref="E354"/>
    </sheetView>
  </sheetViews>
  <sheetFormatPr defaultColWidth="10.7109375" defaultRowHeight="12.6" customHeight="1"/>
  <cols>
    <col min="1" max="1" width="45.7109375" style="322" customWidth="1"/>
    <col min="2" max="2" width="4.85546875" style="402" customWidth="1"/>
    <col min="3" max="3" width="12.7109375" style="319" customWidth="1"/>
    <col min="4" max="5" width="12.5703125" style="319" customWidth="1"/>
    <col min="6" max="6" width="1.7109375" style="319" customWidth="1"/>
    <col min="7" max="7" width="2.42578125" style="319" customWidth="1"/>
    <col min="8" max="8" width="21" style="319" customWidth="1"/>
    <col min="9" max="9" width="26.7109375" style="319" customWidth="1"/>
    <col min="10" max="10" width="21.28515625" style="319" customWidth="1"/>
    <col min="11" max="16384" width="10.7109375" style="319"/>
  </cols>
  <sheetData>
    <row r="1" spans="1:18" ht="12.6" customHeight="1">
      <c r="A1" s="314"/>
      <c r="B1" s="315" t="s">
        <v>1019</v>
      </c>
      <c r="C1" s="316">
        <f>OPEN!$B$4</f>
        <v>270</v>
      </c>
      <c r="D1" s="314"/>
      <c r="E1" s="317" t="s">
        <v>1020</v>
      </c>
      <c r="F1" s="318"/>
      <c r="G1" s="318"/>
      <c r="H1" s="318"/>
      <c r="I1" s="318"/>
      <c r="J1" s="318"/>
    </row>
    <row r="2" spans="1:18" ht="12.6" customHeight="1">
      <c r="A2" s="314"/>
      <c r="B2" s="315"/>
      <c r="C2" s="314"/>
      <c r="D2" s="314"/>
      <c r="E2" s="317" t="s">
        <v>1212</v>
      </c>
      <c r="F2" s="318"/>
      <c r="G2" s="318"/>
      <c r="H2" s="3013" t="s">
        <v>866</v>
      </c>
      <c r="I2" s="318"/>
      <c r="J2" s="318"/>
    </row>
    <row r="3" spans="1:18" ht="12.6" customHeight="1">
      <c r="A3" s="314"/>
      <c r="B3" s="315"/>
      <c r="C3" s="314"/>
      <c r="D3" s="314"/>
      <c r="E3" s="317" t="str">
        <f>OPEN!N2</f>
        <v>2016-2017</v>
      </c>
      <c r="F3" s="318"/>
      <c r="G3" s="318"/>
      <c r="H3" s="318"/>
      <c r="I3" s="318"/>
      <c r="J3" s="318"/>
    </row>
    <row r="4" spans="1:18" ht="3" customHeight="1">
      <c r="A4" s="314"/>
      <c r="B4" s="315"/>
      <c r="C4" s="314"/>
      <c r="D4" s="314"/>
      <c r="E4" s="314"/>
      <c r="F4" s="318"/>
      <c r="G4" s="318"/>
      <c r="H4" s="318"/>
      <c r="I4" s="318"/>
      <c r="J4" s="318"/>
    </row>
    <row r="5" spans="1:18" ht="12.6" customHeight="1">
      <c r="A5" s="2693"/>
      <c r="B5" s="315"/>
      <c r="C5" s="320" t="s">
        <v>1213</v>
      </c>
      <c r="D5" s="320" t="s">
        <v>1213</v>
      </c>
      <c r="E5" s="320" t="s">
        <v>1213</v>
      </c>
      <c r="F5" s="318"/>
      <c r="G5" s="318"/>
      <c r="H5" s="318"/>
      <c r="I5" s="318"/>
      <c r="J5" s="318"/>
      <c r="N5" s="321"/>
      <c r="O5" s="322"/>
      <c r="P5" s="322"/>
      <c r="Q5" s="322"/>
      <c r="R5" s="322"/>
    </row>
    <row r="6" spans="1:18" ht="12.6" customHeight="1">
      <c r="A6" s="314"/>
      <c r="B6" s="323" t="s">
        <v>1045</v>
      </c>
      <c r="C6" s="324" t="str">
        <f>OPEN!N4</f>
        <v>2014-2015</v>
      </c>
      <c r="D6" s="324" t="str">
        <f>OPEN!O4</f>
        <v>2015-2016</v>
      </c>
      <c r="E6" s="324" t="str">
        <f>OPEN!P4</f>
        <v>2016-2017</v>
      </c>
      <c r="F6" s="318"/>
      <c r="G6" s="318"/>
      <c r="H6" s="318"/>
      <c r="I6" s="318"/>
      <c r="J6" s="318"/>
      <c r="K6" s="322"/>
      <c r="L6" s="322"/>
      <c r="M6" s="322"/>
      <c r="N6" s="322"/>
      <c r="O6" s="325"/>
      <c r="P6" s="325"/>
      <c r="Q6" s="325"/>
      <c r="R6" s="322"/>
    </row>
    <row r="7" spans="1:18" ht="12.6" customHeight="1">
      <c r="A7" s="326" t="s">
        <v>1214</v>
      </c>
      <c r="B7" s="327">
        <v>6</v>
      </c>
      <c r="C7" s="328" t="s">
        <v>1139</v>
      </c>
      <c r="D7" s="328" t="s">
        <v>1139</v>
      </c>
      <c r="E7" s="328" t="s">
        <v>1215</v>
      </c>
      <c r="F7" s="318"/>
      <c r="G7" s="318"/>
      <c r="H7" s="318"/>
      <c r="I7" s="318"/>
      <c r="J7" s="318"/>
      <c r="N7" s="322"/>
      <c r="O7" s="325"/>
      <c r="P7" s="325"/>
      <c r="Q7" s="325"/>
      <c r="R7" s="322"/>
    </row>
    <row r="8" spans="1:18" ht="12.6" customHeight="1">
      <c r="A8" s="329"/>
      <c r="B8" s="330" t="s">
        <v>1051</v>
      </c>
      <c r="C8" s="331">
        <v>1</v>
      </c>
      <c r="D8" s="331">
        <v>2</v>
      </c>
      <c r="E8" s="331">
        <v>3</v>
      </c>
      <c r="F8" s="318"/>
      <c r="G8" s="318"/>
      <c r="H8" s="318"/>
      <c r="I8" s="318"/>
      <c r="J8" s="318"/>
      <c r="N8" s="322"/>
      <c r="O8" s="325"/>
      <c r="P8" s="325"/>
      <c r="Q8" s="325"/>
      <c r="R8" s="322"/>
    </row>
    <row r="9" spans="1:18" s="337" customFormat="1" ht="12.75" customHeight="1">
      <c r="A9" s="332" t="s">
        <v>1218</v>
      </c>
      <c r="B9" s="333">
        <v>1</v>
      </c>
      <c r="C9" s="2568">
        <v>14403</v>
      </c>
      <c r="D9" s="335">
        <f>C51</f>
        <v>6057</v>
      </c>
      <c r="E9" s="2844">
        <f>D51</f>
        <v>0</v>
      </c>
      <c r="F9" s="336"/>
      <c r="G9" s="336"/>
      <c r="H9" s="3602"/>
      <c r="I9" s="4039"/>
      <c r="J9" s="4040"/>
      <c r="K9" s="4041"/>
      <c r="L9" s="4041"/>
      <c r="M9" s="4041"/>
      <c r="N9" s="4042"/>
      <c r="O9" s="4043"/>
      <c r="P9" s="339"/>
      <c r="Q9" s="339"/>
      <c r="R9" s="338"/>
    </row>
    <row r="10" spans="1:18" s="337" customFormat="1" ht="12" customHeight="1">
      <c r="A10" s="343" t="s">
        <v>1219</v>
      </c>
      <c r="B10" s="344">
        <v>3</v>
      </c>
      <c r="C10" s="358"/>
      <c r="D10" s="2846"/>
      <c r="E10" s="352"/>
      <c r="F10" s="336"/>
      <c r="G10" s="336"/>
      <c r="H10" s="336"/>
      <c r="I10" s="4044"/>
      <c r="J10" s="4040"/>
      <c r="K10" s="4041"/>
      <c r="L10" s="4041"/>
      <c r="M10" s="4041"/>
      <c r="N10" s="4045"/>
      <c r="O10" s="4042"/>
      <c r="P10" s="338"/>
      <c r="Q10" s="338"/>
    </row>
    <row r="11" spans="1:18" s="337" customFormat="1" ht="11.25" customHeight="1">
      <c r="A11" s="340" t="s">
        <v>1221</v>
      </c>
      <c r="B11" s="341"/>
      <c r="C11" s="4057"/>
      <c r="D11" s="352"/>
      <c r="E11" s="3111"/>
      <c r="F11" s="336"/>
      <c r="G11" s="336"/>
      <c r="H11" s="360"/>
      <c r="I11" s="3787" t="s">
        <v>1505</v>
      </c>
      <c r="J11" s="3787" t="s">
        <v>1520</v>
      </c>
      <c r="K11" s="3787" t="s">
        <v>1506</v>
      </c>
      <c r="L11" s="3784"/>
      <c r="M11" s="3783"/>
      <c r="N11" s="3784"/>
      <c r="O11" s="3786"/>
      <c r="P11" s="351"/>
      <c r="Q11" s="351"/>
    </row>
    <row r="12" spans="1:18" s="337" customFormat="1" ht="11.25" customHeight="1">
      <c r="A12" s="343" t="s">
        <v>1222</v>
      </c>
      <c r="B12" s="344"/>
      <c r="C12" s="4057"/>
      <c r="D12" s="353"/>
      <c r="E12" s="3111"/>
      <c r="F12" s="336"/>
      <c r="G12" s="336"/>
      <c r="H12" s="3603"/>
      <c r="I12" s="3788">
        <f>'C011'!E179</f>
        <v>0</v>
      </c>
      <c r="J12" s="3785" t="s">
        <v>2613</v>
      </c>
      <c r="K12" s="3785" t="s">
        <v>1507</v>
      </c>
      <c r="L12" s="3784"/>
      <c r="M12" s="3783"/>
      <c r="N12" s="3784"/>
      <c r="O12" s="3786"/>
      <c r="P12" s="351"/>
      <c r="Q12" s="351"/>
    </row>
    <row r="13" spans="1:18" s="337" customFormat="1" ht="11.25" customHeight="1">
      <c r="A13" s="343" t="s">
        <v>1223</v>
      </c>
      <c r="B13" s="344"/>
      <c r="C13" s="4057"/>
      <c r="D13" s="353"/>
      <c r="E13" s="3111"/>
      <c r="F13" s="336"/>
      <c r="G13" s="336"/>
      <c r="H13" s="360"/>
      <c r="I13" s="3788">
        <f>'C013'!E178</f>
        <v>0</v>
      </c>
      <c r="J13" s="3785" t="s">
        <v>2613</v>
      </c>
      <c r="K13" s="3785" t="s">
        <v>1508</v>
      </c>
      <c r="L13" s="3784"/>
      <c r="M13" s="3783"/>
      <c r="N13" s="3784"/>
      <c r="O13" s="3786"/>
      <c r="P13" s="351"/>
      <c r="Q13" s="351"/>
    </row>
    <row r="14" spans="1:18" s="337" customFormat="1" ht="12" customHeight="1">
      <c r="A14" s="346" t="str">
        <f>OPEN!N8</f>
        <v xml:space="preserve">    2013  $</v>
      </c>
      <c r="B14" s="347">
        <v>5</v>
      </c>
      <c r="C14" s="4984" t="s">
        <v>787</v>
      </c>
      <c r="D14" s="353"/>
      <c r="E14" s="3111"/>
      <c r="F14" s="336"/>
      <c r="G14" s="336"/>
      <c r="H14" s="360"/>
      <c r="I14" s="3788">
        <f>'C014'!E179</f>
        <v>0</v>
      </c>
      <c r="J14" s="3785" t="s">
        <v>2613</v>
      </c>
      <c r="K14" s="3785" t="s">
        <v>1509</v>
      </c>
      <c r="L14" s="3784"/>
      <c r="M14" s="3783"/>
      <c r="N14" s="3784"/>
      <c r="O14" s="3786"/>
      <c r="P14" s="351"/>
      <c r="Q14" s="351"/>
    </row>
    <row r="15" spans="1:18" s="337" customFormat="1" ht="12" customHeight="1">
      <c r="A15" s="332" t="str">
        <f>OPEN!N9</f>
        <v xml:space="preserve">    2014  $</v>
      </c>
      <c r="B15" s="333">
        <v>10</v>
      </c>
      <c r="C15" s="4984" t="s">
        <v>787</v>
      </c>
      <c r="D15" s="4183" t="s">
        <v>787</v>
      </c>
      <c r="E15" s="3111"/>
      <c r="F15" s="336"/>
      <c r="G15" s="336"/>
      <c r="H15" s="3926"/>
      <c r="I15" s="3788">
        <f>'C015'!E174</f>
        <v>0</v>
      </c>
      <c r="J15" s="3785" t="s">
        <v>2613</v>
      </c>
      <c r="K15" s="3785" t="s">
        <v>1510</v>
      </c>
      <c r="L15" s="3784"/>
      <c r="M15" s="3783"/>
      <c r="N15" s="3784"/>
      <c r="O15" s="3784"/>
      <c r="P15" s="338"/>
      <c r="Q15" s="338"/>
    </row>
    <row r="16" spans="1:18" s="337" customFormat="1" ht="12" customHeight="1">
      <c r="A16" s="332" t="str">
        <f>OPEN!N10</f>
        <v xml:space="preserve">    2015  $</v>
      </c>
      <c r="B16" s="333">
        <v>15</v>
      </c>
      <c r="C16" s="2849"/>
      <c r="D16" s="4183" t="s">
        <v>787</v>
      </c>
      <c r="E16" s="4094"/>
      <c r="F16" s="336"/>
      <c r="G16" s="336"/>
      <c r="H16" s="3930"/>
      <c r="I16" s="3788">
        <f>IF('C018'!G183&lt;&gt;"ERROR",'C018'!E182,"Check transfer")</f>
        <v>0</v>
      </c>
      <c r="J16" s="3785" t="s">
        <v>2613</v>
      </c>
      <c r="K16" s="3785" t="s">
        <v>1511</v>
      </c>
      <c r="L16" s="3784"/>
      <c r="M16" s="3783"/>
      <c r="N16" s="3784"/>
      <c r="O16" s="3786"/>
      <c r="P16" s="351"/>
      <c r="Q16" s="351"/>
    </row>
    <row r="17" spans="1:15" s="337" customFormat="1" ht="12" customHeight="1">
      <c r="A17" s="332" t="str">
        <f>OPEN!N11</f>
        <v xml:space="preserve">    2016  $</v>
      </c>
      <c r="B17" s="333">
        <v>20</v>
      </c>
      <c r="C17" s="4057"/>
      <c r="D17" s="353"/>
      <c r="E17" s="4094"/>
      <c r="F17" s="336"/>
      <c r="G17" s="336"/>
      <c r="H17" s="3926"/>
      <c r="I17" s="3788">
        <f>'C026'!E79</f>
        <v>0</v>
      </c>
      <c r="J17" s="3785" t="s">
        <v>2613</v>
      </c>
      <c r="K17" s="3785" t="s">
        <v>1512</v>
      </c>
      <c r="L17" s="3784"/>
      <c r="M17" s="3783"/>
      <c r="N17" s="3783"/>
      <c r="O17" s="3783"/>
    </row>
    <row r="18" spans="1:15" s="337" customFormat="1" ht="12" customHeight="1">
      <c r="A18" s="332" t="s">
        <v>1224</v>
      </c>
      <c r="B18" s="333">
        <v>25</v>
      </c>
      <c r="C18" s="4984" t="s">
        <v>787</v>
      </c>
      <c r="D18" s="4183" t="s">
        <v>787</v>
      </c>
      <c r="E18" s="4094"/>
      <c r="F18" s="336"/>
      <c r="G18" s="336"/>
      <c r="H18" s="3926"/>
      <c r="I18" s="3788">
        <f>'C026'!E79</f>
        <v>0</v>
      </c>
      <c r="J18" s="3785" t="s">
        <v>2613</v>
      </c>
      <c r="K18" s="3785" t="s">
        <v>1512</v>
      </c>
      <c r="L18" s="3784"/>
      <c r="M18" s="3783"/>
      <c r="N18" s="3783"/>
      <c r="O18" s="3783"/>
    </row>
    <row r="19" spans="1:15" s="337" customFormat="1" ht="12" customHeight="1">
      <c r="A19" s="340" t="s">
        <v>1225</v>
      </c>
      <c r="B19" s="341"/>
      <c r="C19" s="2849"/>
      <c r="D19" s="353"/>
      <c r="E19" s="3111"/>
      <c r="F19" s="336"/>
      <c r="G19" s="336"/>
      <c r="H19" s="360"/>
      <c r="I19" s="3788">
        <f>'C029'!E183</f>
        <v>0</v>
      </c>
      <c r="J19" s="3785" t="s">
        <v>2613</v>
      </c>
      <c r="K19" s="3785" t="s">
        <v>1514</v>
      </c>
      <c r="L19" s="3784"/>
      <c r="M19" s="3783"/>
      <c r="N19" s="3783"/>
      <c r="O19" s="3783"/>
    </row>
    <row r="20" spans="1:15" s="337" customFormat="1" ht="12" customHeight="1">
      <c r="A20" s="346" t="s">
        <v>1226</v>
      </c>
      <c r="B20" s="347">
        <v>30</v>
      </c>
      <c r="C20" s="2573"/>
      <c r="D20" s="358"/>
      <c r="E20" s="4095"/>
      <c r="F20" s="336"/>
      <c r="G20" s="336"/>
      <c r="H20" s="360"/>
      <c r="I20" s="3788"/>
      <c r="J20" s="3785"/>
      <c r="K20" s="3794" t="s">
        <v>1873</v>
      </c>
      <c r="L20" s="3784"/>
      <c r="M20" s="3783"/>
      <c r="N20" s="3783"/>
      <c r="O20" s="3783"/>
    </row>
    <row r="21" spans="1:15" s="337" customFormat="1" ht="12" customHeight="1">
      <c r="A21" s="332" t="s">
        <v>1096</v>
      </c>
      <c r="B21" s="333">
        <v>40</v>
      </c>
      <c r="C21" s="2568"/>
      <c r="D21" s="348"/>
      <c r="E21" s="358"/>
      <c r="F21" s="336"/>
      <c r="G21" s="336"/>
      <c r="H21" s="360"/>
      <c r="I21" s="3788">
        <f>'C034'!E186</f>
        <v>0</v>
      </c>
      <c r="J21" s="3785" t="s">
        <v>2613</v>
      </c>
      <c r="K21" s="3794" t="s">
        <v>1516</v>
      </c>
      <c r="L21" s="3784"/>
      <c r="M21" s="3783"/>
      <c r="N21" s="3783"/>
      <c r="O21" s="3783"/>
    </row>
    <row r="22" spans="1:15" s="337" customFormat="1" ht="12" customHeight="1">
      <c r="A22" s="332" t="s">
        <v>1097</v>
      </c>
      <c r="B22" s="333">
        <v>45</v>
      </c>
      <c r="C22" s="2569"/>
      <c r="D22" s="355"/>
      <c r="E22" s="2569"/>
      <c r="F22" s="336"/>
      <c r="G22" s="336"/>
      <c r="H22" s="360"/>
      <c r="I22" s="3788">
        <f>'C047'!E45</f>
        <v>0</v>
      </c>
      <c r="J22" s="3794" t="s">
        <v>2613</v>
      </c>
      <c r="K22" s="3794" t="s">
        <v>1654</v>
      </c>
      <c r="L22" s="3784"/>
      <c r="M22" s="3783"/>
      <c r="N22" s="3783"/>
      <c r="O22" s="3783"/>
    </row>
    <row r="23" spans="1:15" s="337" customFormat="1" ht="12" customHeight="1">
      <c r="A23" s="340" t="s">
        <v>112</v>
      </c>
      <c r="B23" s="333">
        <v>47</v>
      </c>
      <c r="C23" s="2569"/>
      <c r="D23" s="3007"/>
      <c r="E23" s="2844"/>
      <c r="F23" s="336"/>
      <c r="G23" s="336"/>
      <c r="H23" s="360"/>
      <c r="I23" s="3788">
        <f>'C053'!E260</f>
        <v>0</v>
      </c>
      <c r="J23" s="3785" t="s">
        <v>2613</v>
      </c>
      <c r="K23" s="3785" t="s">
        <v>1517</v>
      </c>
      <c r="L23" s="3784"/>
      <c r="M23" s="3783"/>
      <c r="N23" s="3783"/>
      <c r="O23" s="3783"/>
    </row>
    <row r="24" spans="1:15" s="337" customFormat="1" ht="12" customHeight="1">
      <c r="A24" s="5046" t="s">
        <v>399</v>
      </c>
      <c r="B24" s="5047">
        <v>48</v>
      </c>
      <c r="C24" s="4089"/>
      <c r="D24" s="4986"/>
      <c r="E24" s="4247">
        <v>4000</v>
      </c>
      <c r="F24" s="336"/>
      <c r="G24" s="336"/>
      <c r="H24" s="4106"/>
      <c r="I24" s="3789">
        <f>'C055'!E40</f>
        <v>0</v>
      </c>
      <c r="J24" s="3785" t="s">
        <v>2613</v>
      </c>
      <c r="K24" s="3785" t="s">
        <v>1518</v>
      </c>
      <c r="L24" s="3784"/>
      <c r="M24" s="3783"/>
      <c r="N24" s="3783"/>
      <c r="O24" s="3783"/>
    </row>
    <row r="25" spans="1:15" s="337" customFormat="1" ht="12" customHeight="1">
      <c r="A25" s="332" t="s">
        <v>1227</v>
      </c>
      <c r="B25" s="333">
        <v>50</v>
      </c>
      <c r="C25" s="2573"/>
      <c r="D25" s="2573"/>
      <c r="E25" s="352"/>
      <c r="F25" s="336"/>
      <c r="G25" s="336"/>
      <c r="H25" s="4090"/>
      <c r="I25" s="3790">
        <f>IF(J25&gt;0,"Errors",SUM(I12:I24))</f>
        <v>0</v>
      </c>
      <c r="J25" s="3791">
        <f>COUNTIF(J13:J24,"Check fund")</f>
        <v>0</v>
      </c>
      <c r="K25" s="3785" t="s">
        <v>1533</v>
      </c>
      <c r="L25" s="3784"/>
      <c r="M25" s="3783"/>
      <c r="N25" s="3783"/>
      <c r="O25" s="3783"/>
    </row>
    <row r="26" spans="1:15" s="337" customFormat="1" ht="12" customHeight="1">
      <c r="A26" s="340" t="s">
        <v>1228</v>
      </c>
      <c r="B26" s="341"/>
      <c r="C26" s="353"/>
      <c r="D26" s="345"/>
      <c r="E26" s="353"/>
      <c r="F26" s="336"/>
      <c r="G26" s="336"/>
      <c r="H26" s="2582"/>
      <c r="I26" s="3792"/>
      <c r="J26" s="3791"/>
      <c r="K26" s="3785"/>
      <c r="L26" s="3784"/>
      <c r="M26" s="3783"/>
      <c r="N26" s="3783"/>
      <c r="O26" s="3783"/>
    </row>
    <row r="27" spans="1:15" s="337" customFormat="1" ht="12" customHeight="1">
      <c r="A27" s="346" t="s">
        <v>1229</v>
      </c>
      <c r="B27" s="347">
        <v>55</v>
      </c>
      <c r="C27" s="358"/>
      <c r="D27" s="348"/>
      <c r="E27" s="353"/>
      <c r="F27" s="336"/>
      <c r="G27" s="336"/>
      <c r="H27" s="360"/>
      <c r="I27" s="3793">
        <f>I25</f>
        <v>0</v>
      </c>
      <c r="J27" s="3794" t="s">
        <v>1862</v>
      </c>
      <c r="K27" s="3785"/>
      <c r="L27" s="3784"/>
      <c r="M27" s="3783"/>
      <c r="N27" s="3783"/>
      <c r="O27" s="3783"/>
    </row>
    <row r="28" spans="1:15" s="337" customFormat="1" ht="12" customHeight="1">
      <c r="A28" s="354" t="s">
        <v>1230</v>
      </c>
      <c r="B28" s="333">
        <v>60</v>
      </c>
      <c r="C28" s="2568">
        <v>3220</v>
      </c>
      <c r="D28" s="334">
        <v>4423</v>
      </c>
      <c r="E28" s="353"/>
      <c r="F28" s="336"/>
      <c r="G28" s="336"/>
      <c r="H28" s="3601" t="s">
        <v>1519</v>
      </c>
      <c r="I28" s="3795">
        <f>'C08'!E306</f>
        <v>0</v>
      </c>
      <c r="J28" s="3785" t="s">
        <v>1538</v>
      </c>
      <c r="K28" s="3796"/>
      <c r="L28" s="3783"/>
      <c r="M28" s="3783"/>
      <c r="N28" s="3783"/>
      <c r="O28" s="3783"/>
    </row>
    <row r="29" spans="1:15" s="337" customFormat="1" ht="12" customHeight="1" thickBot="1">
      <c r="A29" s="332" t="s">
        <v>2594</v>
      </c>
      <c r="B29" s="2694">
        <v>65</v>
      </c>
      <c r="C29" s="2569"/>
      <c r="D29" s="3007"/>
      <c r="E29" s="353"/>
      <c r="F29" s="336"/>
      <c r="G29" s="336"/>
      <c r="H29" s="360"/>
      <c r="I29" s="4096">
        <f>SUM(I27:I28)</f>
        <v>0</v>
      </c>
      <c r="J29" s="3796" t="s">
        <v>1539</v>
      </c>
      <c r="K29" s="3796"/>
      <c r="L29" s="3783"/>
      <c r="M29" s="3783"/>
      <c r="N29" s="3797"/>
      <c r="O29" s="3783"/>
    </row>
    <row r="30" spans="1:15" s="337" customFormat="1" ht="12" customHeight="1" thickTop="1">
      <c r="A30" s="5096" t="s">
        <v>2492</v>
      </c>
      <c r="B30" s="5097">
        <v>67</v>
      </c>
      <c r="C30" s="2844"/>
      <c r="D30" s="355"/>
      <c r="E30" s="5040"/>
      <c r="F30" s="336"/>
      <c r="G30" s="336"/>
      <c r="H30" s="360"/>
      <c r="I30" s="3797"/>
      <c r="J30" s="3796"/>
      <c r="K30" s="3796"/>
      <c r="L30" s="3783"/>
      <c r="M30" s="3783"/>
      <c r="N30" s="3797"/>
      <c r="O30" s="3783"/>
    </row>
    <row r="31" spans="1:15" s="337" customFormat="1" ht="12" customHeight="1">
      <c r="A31" s="343" t="s">
        <v>1231</v>
      </c>
      <c r="B31" s="3006"/>
      <c r="C31" s="353"/>
      <c r="D31" s="2851"/>
      <c r="E31" s="3111"/>
      <c r="F31" s="336"/>
      <c r="G31" s="336"/>
      <c r="H31" s="3601"/>
      <c r="I31" s="336"/>
      <c r="J31" s="336"/>
      <c r="K31" s="3298"/>
    </row>
    <row r="32" spans="1:15" s="337" customFormat="1" ht="12" customHeight="1">
      <c r="A32" s="5043" t="s">
        <v>1896</v>
      </c>
      <c r="B32" s="5044">
        <v>66</v>
      </c>
      <c r="C32" s="5040"/>
      <c r="D32" s="4094"/>
      <c r="E32" s="4094"/>
      <c r="F32" s="336"/>
      <c r="G32" s="336"/>
      <c r="H32" s="4185"/>
      <c r="I32" s="336"/>
      <c r="J32" s="336"/>
      <c r="K32" s="3298"/>
    </row>
    <row r="33" spans="1:15" s="337" customFormat="1" ht="12" customHeight="1">
      <c r="A33" s="346" t="s">
        <v>1935</v>
      </c>
      <c r="B33" s="347">
        <v>85</v>
      </c>
      <c r="C33" s="2573"/>
      <c r="D33" s="4235" t="s">
        <v>787</v>
      </c>
      <c r="E33" s="4985" t="s">
        <v>787</v>
      </c>
      <c r="F33" s="336"/>
      <c r="G33" s="336"/>
      <c r="H33" s="345"/>
      <c r="I33" s="336"/>
      <c r="J33" s="336"/>
      <c r="K33" s="3298"/>
    </row>
    <row r="34" spans="1:15" s="337" customFormat="1" ht="12" customHeight="1">
      <c r="A34" s="340" t="s">
        <v>1233</v>
      </c>
      <c r="B34" s="341"/>
      <c r="C34" s="353"/>
      <c r="D34" s="345"/>
      <c r="E34" s="353"/>
      <c r="F34" s="336"/>
      <c r="G34" s="336"/>
      <c r="H34" s="3604"/>
      <c r="I34" s="336"/>
      <c r="J34" s="4040"/>
      <c r="K34" s="3298"/>
    </row>
    <row r="35" spans="1:15" s="337" customFormat="1" ht="12" customHeight="1">
      <c r="A35" s="346" t="s">
        <v>1234</v>
      </c>
      <c r="B35" s="347">
        <v>95</v>
      </c>
      <c r="C35" s="3297">
        <f>VLOOKUP(C1,DATA!A3:AV288,48,FALSE)</f>
        <v>2331801</v>
      </c>
      <c r="D35" s="3297">
        <f>VLOOKUP(C1,DATA!A3:BE288,57,FALSE)</f>
        <v>2316417</v>
      </c>
      <c r="E35" s="356">
        <f>'F151'!$I$30</f>
        <v>2322474</v>
      </c>
      <c r="F35" s="336"/>
      <c r="G35" s="336"/>
      <c r="H35" s="4237"/>
      <c r="I35" s="336"/>
      <c r="J35" s="336"/>
    </row>
    <row r="36" spans="1:15" s="337" customFormat="1" ht="12" customHeight="1">
      <c r="A36" s="332" t="s">
        <v>1235</v>
      </c>
      <c r="B36" s="333">
        <v>115</v>
      </c>
      <c r="C36" s="2568">
        <v>29486</v>
      </c>
      <c r="D36" s="4055">
        <v>16326</v>
      </c>
      <c r="E36" s="2845">
        <v>16326</v>
      </c>
      <c r="F36" s="336"/>
      <c r="G36" s="336"/>
      <c r="H36" s="336"/>
      <c r="I36" s="4237"/>
      <c r="J36" s="336"/>
    </row>
    <row r="37" spans="1:15" s="337" customFormat="1" ht="12" customHeight="1">
      <c r="A37" s="5041" t="s">
        <v>1866</v>
      </c>
      <c r="B37" s="5045">
        <v>116</v>
      </c>
      <c r="C37" s="4282"/>
      <c r="D37" s="5157">
        <f>VLOOKUP(C1,DATA!A3:BB288,51,FALSE)</f>
        <v>0</v>
      </c>
      <c r="E37" s="5241" t="s">
        <v>787</v>
      </c>
      <c r="F37" s="336"/>
      <c r="G37" s="336"/>
      <c r="H37" s="4064"/>
      <c r="I37" s="359" t="s">
        <v>1241</v>
      </c>
      <c r="J37" s="336"/>
    </row>
    <row r="38" spans="1:15" s="337" customFormat="1" ht="12" customHeight="1">
      <c r="A38" s="340" t="s">
        <v>1236</v>
      </c>
      <c r="B38" s="341">
        <v>120</v>
      </c>
      <c r="C38" s="4054">
        <f>VLOOKUP(C1,DATA!A3:AT288,16,FALSE)</f>
        <v>425767</v>
      </c>
      <c r="D38" s="5048">
        <f>VLOOKUP(C1,DATA!A3:AT288,17,FALSE)</f>
        <v>439218</v>
      </c>
      <c r="E38" s="356">
        <f>'F118'!$G$60</f>
        <v>522152</v>
      </c>
      <c r="F38" s="336"/>
      <c r="G38" s="336"/>
      <c r="H38" s="3702" t="s">
        <v>1864</v>
      </c>
      <c r="I38" s="359"/>
      <c r="J38" s="336"/>
    </row>
    <row r="39" spans="1:15" s="337" customFormat="1" ht="12" customHeight="1">
      <c r="A39" s="5041" t="s">
        <v>1860</v>
      </c>
      <c r="B39" s="5042">
        <v>125</v>
      </c>
      <c r="C39" s="4056"/>
      <c r="D39" s="5200">
        <f>VLOOKUP($C$1,DATA!A3:BB288,53,FALSE)</f>
        <v>193062</v>
      </c>
      <c r="E39" s="4276">
        <f>'F195'!$H$32</f>
        <v>266624</v>
      </c>
      <c r="F39" s="336"/>
      <c r="G39" s="336"/>
      <c r="H39" s="3702" t="s">
        <v>1971</v>
      </c>
      <c r="I39" s="359"/>
      <c r="J39" s="336"/>
    </row>
    <row r="40" spans="1:15" s="337" customFormat="1" ht="12" customHeight="1">
      <c r="A40" s="5041" t="s">
        <v>1776</v>
      </c>
      <c r="B40" s="5042">
        <v>130</v>
      </c>
      <c r="C40" s="4054"/>
      <c r="D40" s="5158">
        <f>VLOOKUP($C$1,DATA!A3:BD288,54,FALSE)</f>
        <v>0</v>
      </c>
      <c r="E40" s="5241" t="s">
        <v>787</v>
      </c>
      <c r="F40" s="336"/>
      <c r="G40" s="336"/>
      <c r="H40" s="4064"/>
      <c r="I40" s="359"/>
      <c r="J40" s="336"/>
    </row>
    <row r="41" spans="1:15" s="337" customFormat="1" ht="12" customHeight="1">
      <c r="A41" s="4133" t="s">
        <v>2596</v>
      </c>
      <c r="B41" s="4134">
        <v>132</v>
      </c>
      <c r="C41" s="4054"/>
      <c r="D41" s="5204">
        <f>VLOOKUP(C1,DATA!A3:AT288,23,FALSE)</f>
        <v>0</v>
      </c>
      <c r="E41" s="356">
        <f>'F151'!I33</f>
        <v>0</v>
      </c>
      <c r="F41" s="336"/>
      <c r="G41" s="336"/>
      <c r="H41" s="3702" t="s">
        <v>2541</v>
      </c>
      <c r="I41" s="4097">
        <f>'F151'!$I$55</f>
        <v>3131576</v>
      </c>
      <c r="J41" s="3645" t="s">
        <v>2652</v>
      </c>
    </row>
    <row r="42" spans="1:15" s="337" customFormat="1" ht="12" customHeight="1">
      <c r="A42" s="340" t="s">
        <v>1237</v>
      </c>
      <c r="B42" s="3848"/>
      <c r="C42" s="4057"/>
      <c r="D42" s="4184"/>
      <c r="E42" s="2851"/>
      <c r="F42" s="336"/>
      <c r="G42" s="336"/>
      <c r="H42" s="5238" t="s">
        <v>1898</v>
      </c>
      <c r="I42" s="361">
        <f>E357</f>
        <v>3131576</v>
      </c>
      <c r="J42" s="360" t="s">
        <v>1244</v>
      </c>
    </row>
    <row r="43" spans="1:15" s="337" customFormat="1" ht="12" customHeight="1" thickBot="1">
      <c r="A43" s="343" t="s">
        <v>1239</v>
      </c>
      <c r="B43" s="344"/>
      <c r="C43" s="4057"/>
      <c r="D43" s="353"/>
      <c r="E43" s="3111"/>
      <c r="F43" s="336"/>
      <c r="G43" s="336"/>
      <c r="H43" s="3424"/>
      <c r="I43" s="4091">
        <f>SUM(I41-I42)</f>
        <v>0</v>
      </c>
      <c r="J43" s="357" t="s">
        <v>1247</v>
      </c>
    </row>
    <row r="44" spans="1:15" s="337" customFormat="1" ht="12" customHeight="1" thickTop="1">
      <c r="A44" s="343" t="s">
        <v>1240</v>
      </c>
      <c r="B44" s="344"/>
      <c r="C44" s="4057"/>
      <c r="D44" s="353"/>
      <c r="E44" s="3111"/>
      <c r="F44" s="336"/>
      <c r="G44" s="336"/>
      <c r="H44" s="3745"/>
      <c r="I44" s="4092"/>
      <c r="J44" s="357"/>
    </row>
    <row r="45" spans="1:15" s="337" customFormat="1" ht="11.25" customHeight="1">
      <c r="A45" s="346" t="s">
        <v>1867</v>
      </c>
      <c r="B45" s="347">
        <v>145</v>
      </c>
      <c r="C45" s="2573"/>
      <c r="D45" s="358"/>
      <c r="E45" s="4248">
        <f>ROUND(OPEN!A117*0.7,0)</f>
        <v>0</v>
      </c>
      <c r="F45" s="336"/>
      <c r="G45" s="336"/>
      <c r="H45" s="3424"/>
      <c r="I45" s="360"/>
      <c r="J45" s="336"/>
      <c r="K45" s="336"/>
      <c r="L45" s="336"/>
      <c r="O45" s="319"/>
    </row>
    <row r="46" spans="1:15" s="337" customFormat="1" ht="14.25" customHeight="1">
      <c r="A46" s="340" t="s">
        <v>1242</v>
      </c>
      <c r="B46" s="341"/>
      <c r="C46" s="353"/>
      <c r="D46" s="345"/>
      <c r="E46" s="353"/>
      <c r="F46" s="336"/>
      <c r="G46" s="336"/>
      <c r="H46" s="4186"/>
      <c r="I46" s="360"/>
      <c r="J46" s="336"/>
      <c r="K46" s="336"/>
      <c r="L46" s="336"/>
      <c r="O46" s="319"/>
    </row>
    <row r="47" spans="1:15" s="337" customFormat="1" ht="13.5" customHeight="1">
      <c r="A47" s="346" t="s">
        <v>1868</v>
      </c>
      <c r="B47" s="347">
        <v>165</v>
      </c>
      <c r="C47" s="356">
        <f>'C08'!C306+'C011'!C179+'C013'!C178+'C014'!C179+'C015'!C174+'C018'!C182+'C026'!C79+'C028'!C107+'C029'!C183+'C030'!C261+'C034'!C186+'C053'!C260+'C055'!C40+'C047'!C45</f>
        <v>0</v>
      </c>
      <c r="D47" s="349">
        <f>'C08'!D306+'C011'!D179+'C013'!D178+'C014'!D179+'C015'!D174+'C018'!D182+'C026'!D79+'C028'!D107+'C029'!D183+'C034'!D186+'C053'!D260+'C055'!D40+'C047'!D45</f>
        <v>0</v>
      </c>
      <c r="E47" s="3297">
        <f>I29</f>
        <v>0</v>
      </c>
      <c r="F47" s="336"/>
      <c r="G47" s="336"/>
      <c r="H47" s="4064"/>
      <c r="I47" s="4236"/>
      <c r="J47" s="336"/>
      <c r="K47" s="336"/>
      <c r="L47" s="336"/>
      <c r="O47" s="319"/>
    </row>
    <row r="48" spans="1:15" s="337" customFormat="1" ht="13.5" customHeight="1">
      <c r="A48" s="362" t="s">
        <v>1245</v>
      </c>
      <c r="B48" s="333">
        <v>170</v>
      </c>
      <c r="C48" s="2570">
        <f>SUM(C9:C47)</f>
        <v>2804677</v>
      </c>
      <c r="D48" s="349">
        <f>SUM(D9:D47)</f>
        <v>2975503</v>
      </c>
      <c r="E48" s="356">
        <f>SUM(E9:E47)</f>
        <v>3131576</v>
      </c>
      <c r="F48" s="336"/>
      <c r="G48" s="336"/>
      <c r="H48" s="4064"/>
      <c r="I48" s="314"/>
      <c r="J48" s="318"/>
      <c r="K48" s="318"/>
      <c r="L48" s="318"/>
      <c r="M48" s="319"/>
      <c r="N48" s="319"/>
      <c r="O48" s="319"/>
    </row>
    <row r="49" spans="1:21" s="337" customFormat="1" ht="12" customHeight="1">
      <c r="A49" s="332" t="s">
        <v>1248</v>
      </c>
      <c r="B49" s="333">
        <v>175</v>
      </c>
      <c r="C49" s="2570">
        <f>C357</f>
        <v>2798620</v>
      </c>
      <c r="D49" s="335">
        <f>D357</f>
        <v>2975503</v>
      </c>
      <c r="E49" s="2570">
        <f>IF(AND(I43&gt;=0,E348&gt;=E38),E357,"Check Expend.")</f>
        <v>3131576</v>
      </c>
      <c r="F49" s="336"/>
      <c r="G49" s="336"/>
      <c r="H49" s="3424"/>
      <c r="I49" s="367"/>
      <c r="J49" s="318"/>
      <c r="K49" s="318"/>
      <c r="L49" s="318"/>
      <c r="M49" s="319"/>
      <c r="N49" s="319"/>
      <c r="O49" s="319"/>
    </row>
    <row r="50" spans="1:21" s="337" customFormat="1" ht="12" customHeight="1">
      <c r="A50" s="332" t="s">
        <v>2598</v>
      </c>
      <c r="B50" s="333">
        <v>200</v>
      </c>
      <c r="C50" s="4098" t="s">
        <v>787</v>
      </c>
      <c r="D50" s="4098" t="s">
        <v>787</v>
      </c>
      <c r="E50" s="4098" t="s">
        <v>787</v>
      </c>
      <c r="F50" s="336"/>
      <c r="G50" s="336"/>
      <c r="H50" s="360"/>
      <c r="I50" s="367"/>
      <c r="J50" s="318"/>
      <c r="K50" s="318"/>
      <c r="L50" s="318"/>
      <c r="M50" s="319"/>
      <c r="N50" s="319"/>
      <c r="O50" s="319"/>
    </row>
    <row r="51" spans="1:21" s="337" customFormat="1" ht="12" customHeight="1">
      <c r="A51" s="332" t="s">
        <v>1889</v>
      </c>
      <c r="B51" s="333">
        <v>190</v>
      </c>
      <c r="C51" s="2570">
        <f>C48-C49</f>
        <v>6057</v>
      </c>
      <c r="D51" s="335">
        <f>D48-D49</f>
        <v>0</v>
      </c>
      <c r="E51" s="2570">
        <f>IF(ISERROR(E48-E49),"ERROR",E48-E49)</f>
        <v>0</v>
      </c>
      <c r="F51" s="336"/>
      <c r="G51" s="336"/>
      <c r="H51" s="3424"/>
      <c r="I51" s="367" t="s">
        <v>1264</v>
      </c>
      <c r="J51" s="318"/>
      <c r="K51" s="318"/>
      <c r="L51" s="318"/>
      <c r="M51" s="319"/>
      <c r="N51" s="319"/>
      <c r="O51" s="319"/>
    </row>
    <row r="52" spans="1:21" s="337" customFormat="1" ht="13.5" customHeight="1">
      <c r="A52" s="314"/>
      <c r="B52" s="314"/>
      <c r="C52" s="314"/>
      <c r="D52" s="314"/>
      <c r="E52" s="314"/>
      <c r="F52" s="360"/>
      <c r="G52" s="336"/>
      <c r="H52" s="3424"/>
      <c r="I52" s="368">
        <f>E348</f>
        <v>522152</v>
      </c>
      <c r="J52" s="314" t="s">
        <v>1002</v>
      </c>
      <c r="K52" s="318"/>
      <c r="L52" s="318"/>
      <c r="M52" s="319"/>
      <c r="N52" s="319"/>
      <c r="O52" s="319"/>
    </row>
    <row r="53" spans="1:21" s="337" customFormat="1" ht="13.5" customHeight="1">
      <c r="A53" s="314" t="s">
        <v>2593</v>
      </c>
      <c r="B53" s="366"/>
      <c r="C53" s="314"/>
      <c r="D53" s="314"/>
      <c r="E53" s="314"/>
      <c r="F53" s="364"/>
      <c r="G53" s="336"/>
      <c r="H53" s="5238" t="s">
        <v>1898</v>
      </c>
      <c r="I53" s="370">
        <f>E38</f>
        <v>522152</v>
      </c>
      <c r="J53" s="314" t="s">
        <v>2589</v>
      </c>
      <c r="K53" s="319"/>
      <c r="L53" s="319"/>
      <c r="M53" s="319"/>
      <c r="N53" s="319"/>
      <c r="O53" s="319"/>
      <c r="P53" s="319"/>
      <c r="Q53" s="319"/>
      <c r="R53" s="319"/>
      <c r="S53" s="319"/>
      <c r="T53" s="319"/>
      <c r="U53" s="319"/>
    </row>
    <row r="54" spans="1:21" s="337" customFormat="1" ht="14.25" customHeight="1" thickBot="1">
      <c r="A54" s="314" t="s">
        <v>2595</v>
      </c>
      <c r="B54" s="315"/>
      <c r="C54" s="314"/>
      <c r="D54" s="314"/>
      <c r="E54" s="314"/>
      <c r="F54" s="318"/>
      <c r="G54" s="318"/>
      <c r="H54" s="336"/>
      <c r="I54" s="4093">
        <f>I52-I53</f>
        <v>0</v>
      </c>
      <c r="J54" s="314" t="s">
        <v>1003</v>
      </c>
      <c r="K54" s="319"/>
      <c r="L54" s="319"/>
      <c r="M54" s="319"/>
      <c r="N54" s="319"/>
      <c r="O54" s="319"/>
      <c r="P54" s="319"/>
      <c r="Q54" s="319"/>
      <c r="R54" s="319"/>
      <c r="S54" s="319"/>
      <c r="T54" s="319"/>
      <c r="U54" s="319"/>
    </row>
    <row r="55" spans="1:21" ht="12.75" customHeight="1" thickTop="1">
      <c r="A55" s="314" t="s">
        <v>2450</v>
      </c>
      <c r="B55" s="315"/>
      <c r="C55" s="314"/>
      <c r="D55" s="314"/>
      <c r="E55" s="314"/>
      <c r="F55" s="318"/>
      <c r="G55" s="318"/>
      <c r="H55" s="318"/>
      <c r="I55" s="314"/>
      <c r="J55" s="314" t="s">
        <v>1265</v>
      </c>
    </row>
    <row r="56" spans="1:21" ht="12.6" customHeight="1">
      <c r="A56" s="314" t="s">
        <v>2451</v>
      </c>
      <c r="B56" s="314"/>
      <c r="C56" s="314"/>
      <c r="D56" s="314"/>
      <c r="E56" s="314"/>
      <c r="F56" s="318"/>
      <c r="G56" s="318"/>
      <c r="H56" s="3424"/>
      <c r="I56" s="365"/>
      <c r="J56" s="314"/>
    </row>
    <row r="57" spans="1:21" ht="12.6" customHeight="1">
      <c r="A57" s="314" t="s">
        <v>2597</v>
      </c>
      <c r="B57" s="369"/>
      <c r="C57" s="314"/>
      <c r="D57" s="314"/>
      <c r="E57" s="314"/>
      <c r="F57" s="318"/>
      <c r="G57" s="318"/>
      <c r="H57" s="3424"/>
      <c r="I57" s="365" t="s">
        <v>1788</v>
      </c>
      <c r="J57" s="314"/>
    </row>
    <row r="58" spans="1:21" ht="12" customHeight="1">
      <c r="A58" s="314" t="s">
        <v>2611</v>
      </c>
      <c r="B58" s="369"/>
      <c r="C58" s="314"/>
      <c r="D58" s="314"/>
      <c r="E58" s="314"/>
      <c r="F58" s="318"/>
      <c r="G58" s="318"/>
      <c r="H58" s="3424"/>
      <c r="I58" s="365"/>
      <c r="J58" s="314"/>
    </row>
    <row r="59" spans="1:21" ht="14.1" customHeight="1">
      <c r="A59" s="3419" t="s">
        <v>1493</v>
      </c>
      <c r="B59" s="369"/>
      <c r="C59" s="314"/>
      <c r="D59" s="314"/>
      <c r="E59" s="314"/>
      <c r="F59" s="318"/>
      <c r="G59" s="318"/>
      <c r="H59" s="314"/>
      <c r="I59" s="365"/>
      <c r="J59" s="314"/>
    </row>
    <row r="60" spans="1:21" ht="14.1" customHeight="1">
      <c r="A60" s="3419"/>
      <c r="B60" s="369"/>
      <c r="C60" s="314"/>
      <c r="D60" s="314"/>
      <c r="E60" s="314"/>
      <c r="F60" s="318"/>
      <c r="G60" s="318"/>
      <c r="H60" s="317"/>
      <c r="I60" s="314"/>
      <c r="J60" s="314"/>
    </row>
    <row r="61" spans="1:21" ht="14.1" customHeight="1">
      <c r="A61" s="3419"/>
      <c r="B61" s="369"/>
      <c r="C61" s="314"/>
      <c r="D61" s="314"/>
      <c r="E61" s="314"/>
      <c r="F61" s="318"/>
      <c r="G61" s="318"/>
      <c r="H61" s="314"/>
      <c r="I61" s="365"/>
      <c r="J61" s="318"/>
    </row>
    <row r="62" spans="1:21" ht="14.1" customHeight="1">
      <c r="A62" s="314"/>
      <c r="B62" s="369"/>
      <c r="C62" s="314"/>
      <c r="D62" s="314"/>
      <c r="E62" s="314"/>
      <c r="F62" s="318"/>
      <c r="G62" s="318"/>
      <c r="H62" s="317"/>
      <c r="I62" s="365"/>
      <c r="J62" s="318"/>
    </row>
    <row r="63" spans="1:21" ht="14.1" customHeight="1">
      <c r="A63" s="314"/>
      <c r="B63" s="369"/>
      <c r="C63" s="314"/>
      <c r="D63" s="314"/>
      <c r="E63" s="314"/>
      <c r="F63" s="318"/>
      <c r="G63" s="318"/>
      <c r="H63" s="314"/>
      <c r="I63" s="374"/>
      <c r="J63" s="318"/>
    </row>
    <row r="64" spans="1:21" ht="14.1" customHeight="1">
      <c r="A64" s="3419"/>
      <c r="B64" s="369"/>
      <c r="C64" s="314"/>
      <c r="D64" s="314"/>
      <c r="E64" s="314"/>
      <c r="F64" s="318"/>
      <c r="G64" s="318"/>
      <c r="H64" s="314"/>
      <c r="I64" s="318"/>
      <c r="J64" s="318"/>
    </row>
    <row r="65" spans="1:10" ht="14.1" customHeight="1">
      <c r="A65" s="371"/>
      <c r="B65" s="371"/>
      <c r="C65" s="372"/>
      <c r="D65" s="372"/>
      <c r="E65" s="372"/>
      <c r="F65" s="318"/>
      <c r="G65" s="318"/>
      <c r="H65" s="314"/>
      <c r="I65" s="318"/>
      <c r="J65" s="318"/>
    </row>
    <row r="66" spans="1:10" ht="14.1" customHeight="1">
      <c r="A66" s="314"/>
      <c r="B66" s="315" t="s">
        <v>1019</v>
      </c>
      <c r="C66" s="316">
        <f>C1</f>
        <v>270</v>
      </c>
      <c r="D66" s="314"/>
      <c r="E66" s="317" t="s">
        <v>1020</v>
      </c>
      <c r="F66" s="318"/>
      <c r="G66" s="318"/>
      <c r="H66" s="314"/>
      <c r="I66" s="318"/>
      <c r="J66" s="318"/>
    </row>
    <row r="67" spans="1:10" ht="14.1" customHeight="1">
      <c r="A67" s="314"/>
      <c r="B67" s="315"/>
      <c r="C67" s="314"/>
      <c r="D67" s="314"/>
      <c r="E67" s="317" t="s">
        <v>1212</v>
      </c>
      <c r="F67" s="373"/>
      <c r="G67" s="318"/>
      <c r="H67" s="314"/>
      <c r="I67" s="318"/>
      <c r="J67" s="318"/>
    </row>
    <row r="68" spans="1:10" ht="12.6" customHeight="1">
      <c r="A68" s="314"/>
      <c r="B68" s="315"/>
      <c r="C68" s="314"/>
      <c r="D68" s="314"/>
      <c r="E68" s="317" t="str">
        <f>E3</f>
        <v>2016-2017</v>
      </c>
      <c r="F68" s="318"/>
      <c r="G68" s="318"/>
      <c r="H68" s="318"/>
      <c r="I68" s="318"/>
      <c r="J68" s="318"/>
    </row>
    <row r="69" spans="1:10" ht="12.6" customHeight="1">
      <c r="A69" s="314"/>
      <c r="B69" s="315"/>
      <c r="C69" s="314"/>
      <c r="D69" s="314"/>
      <c r="E69" s="314"/>
      <c r="F69" s="318"/>
      <c r="G69" s="318"/>
      <c r="H69" s="318"/>
      <c r="I69" s="318"/>
      <c r="J69" s="318"/>
    </row>
    <row r="70" spans="1:10" ht="12.6" customHeight="1">
      <c r="A70" s="314"/>
      <c r="B70" s="315"/>
      <c r="C70" s="320" t="s">
        <v>1213</v>
      </c>
      <c r="D70" s="320" t="s">
        <v>1213</v>
      </c>
      <c r="E70" s="320" t="s">
        <v>1213</v>
      </c>
      <c r="F70" s="318"/>
      <c r="G70" s="318"/>
      <c r="H70" s="318"/>
      <c r="I70" s="318"/>
      <c r="J70" s="318"/>
    </row>
    <row r="71" spans="1:10" ht="12.6" customHeight="1">
      <c r="A71" s="314"/>
      <c r="B71" s="323" t="s">
        <v>1045</v>
      </c>
      <c r="C71" s="324" t="str">
        <f>C6</f>
        <v>2014-2015</v>
      </c>
      <c r="D71" s="324" t="str">
        <f>D6</f>
        <v>2015-2016</v>
      </c>
      <c r="E71" s="324" t="str">
        <f>E6</f>
        <v>2016-2017</v>
      </c>
      <c r="F71" s="318"/>
      <c r="G71" s="318"/>
      <c r="H71" s="318"/>
      <c r="I71" s="318"/>
      <c r="J71" s="318"/>
    </row>
    <row r="72" spans="1:10" ht="11.25" customHeight="1">
      <c r="A72" s="326" t="s">
        <v>1266</v>
      </c>
      <c r="B72" s="327">
        <v>6</v>
      </c>
      <c r="C72" s="328" t="s">
        <v>1139</v>
      </c>
      <c r="D72" s="328" t="s">
        <v>1139</v>
      </c>
      <c r="E72" s="328" t="s">
        <v>1215</v>
      </c>
      <c r="F72" s="318"/>
      <c r="G72" s="318"/>
      <c r="H72" s="318"/>
      <c r="I72" s="318"/>
      <c r="J72" s="318"/>
    </row>
    <row r="73" spans="1:10" ht="12.6" customHeight="1">
      <c r="A73" s="329"/>
      <c r="B73" s="330" t="s">
        <v>1051</v>
      </c>
      <c r="C73" s="331">
        <v>1</v>
      </c>
      <c r="D73" s="331">
        <v>2</v>
      </c>
      <c r="E73" s="331">
        <v>3</v>
      </c>
      <c r="F73" s="318"/>
      <c r="G73" s="318"/>
      <c r="H73" s="318"/>
      <c r="I73" s="318"/>
      <c r="J73" s="318"/>
    </row>
    <row r="74" spans="1:10" ht="12.6" customHeight="1">
      <c r="A74" s="375" t="s">
        <v>1267</v>
      </c>
      <c r="B74" s="376"/>
      <c r="C74" s="377"/>
      <c r="D74" s="387"/>
      <c r="E74" s="377"/>
      <c r="F74" s="318"/>
      <c r="G74" s="318"/>
      <c r="H74" s="318"/>
      <c r="I74" s="318"/>
      <c r="J74" s="318"/>
    </row>
    <row r="75" spans="1:10" ht="12.6" customHeight="1">
      <c r="A75" s="378" t="s">
        <v>1268</v>
      </c>
      <c r="B75" s="379"/>
      <c r="C75" s="380"/>
      <c r="D75" s="391"/>
      <c r="E75" s="380"/>
      <c r="F75" s="318"/>
      <c r="G75" s="318"/>
      <c r="H75" s="318"/>
      <c r="I75" s="318"/>
      <c r="J75" s="318"/>
    </row>
    <row r="76" spans="1:10" ht="12.6" customHeight="1">
      <c r="A76" s="381" t="s">
        <v>1269</v>
      </c>
      <c r="B76" s="382">
        <v>210</v>
      </c>
      <c r="C76" s="383">
        <v>1064002</v>
      </c>
      <c r="D76" s="388">
        <v>937649</v>
      </c>
      <c r="E76" s="383">
        <v>1008000</v>
      </c>
      <c r="F76" s="318"/>
      <c r="G76" s="318"/>
      <c r="H76" s="318"/>
      <c r="I76" s="318"/>
      <c r="J76" s="318"/>
    </row>
    <row r="77" spans="1:10" ht="12.6" customHeight="1">
      <c r="A77" s="384" t="s">
        <v>1270</v>
      </c>
      <c r="B77" s="385">
        <v>215</v>
      </c>
      <c r="C77" s="386">
        <v>41838</v>
      </c>
      <c r="D77" s="389">
        <v>36532</v>
      </c>
      <c r="E77" s="386">
        <v>40000</v>
      </c>
      <c r="F77" s="318"/>
      <c r="G77" s="318"/>
      <c r="H77" s="318"/>
      <c r="I77" s="318"/>
      <c r="J77" s="318"/>
    </row>
    <row r="78" spans="1:10" ht="12.6" customHeight="1">
      <c r="A78" s="375" t="s">
        <v>1271</v>
      </c>
      <c r="B78" s="376"/>
      <c r="C78" s="377"/>
      <c r="D78" s="387"/>
      <c r="E78" s="377"/>
      <c r="F78" s="318"/>
      <c r="G78" s="318"/>
      <c r="H78" s="318"/>
      <c r="I78" s="318"/>
      <c r="J78" s="318"/>
    </row>
    <row r="79" spans="1:10" ht="12.6" customHeight="1">
      <c r="A79" s="381" t="s">
        <v>1272</v>
      </c>
      <c r="B79" s="382">
        <v>220</v>
      </c>
      <c r="C79" s="383">
        <v>137319</v>
      </c>
      <c r="D79" s="388">
        <v>110403</v>
      </c>
      <c r="E79" s="383">
        <v>120000</v>
      </c>
      <c r="F79" s="318"/>
      <c r="G79" s="318"/>
      <c r="H79" s="318"/>
      <c r="I79" s="318"/>
      <c r="J79" s="318"/>
    </row>
    <row r="80" spans="1:10" ht="12.6" customHeight="1">
      <c r="A80" s="384" t="s">
        <v>1273</v>
      </c>
      <c r="B80" s="385">
        <v>225</v>
      </c>
      <c r="C80" s="386">
        <v>81027</v>
      </c>
      <c r="D80" s="389">
        <v>71532</v>
      </c>
      <c r="E80" s="386">
        <v>80000</v>
      </c>
      <c r="F80" s="318"/>
      <c r="G80" s="318"/>
      <c r="H80" s="318"/>
      <c r="I80" s="318"/>
      <c r="J80" s="318"/>
    </row>
    <row r="81" spans="1:10" ht="12.6" customHeight="1">
      <c r="A81" s="384" t="s">
        <v>1276</v>
      </c>
      <c r="B81" s="385">
        <v>230</v>
      </c>
      <c r="C81" s="386">
        <v>11845</v>
      </c>
      <c r="D81" s="389">
        <v>9396</v>
      </c>
      <c r="E81" s="386">
        <v>12000</v>
      </c>
      <c r="F81" s="318"/>
      <c r="G81" s="318"/>
      <c r="H81" s="318"/>
      <c r="I81" s="318"/>
      <c r="J81" s="318"/>
    </row>
    <row r="82" spans="1:10" ht="12.6" customHeight="1">
      <c r="A82" s="375" t="s">
        <v>1281</v>
      </c>
      <c r="B82" s="382">
        <v>235</v>
      </c>
      <c r="C82" s="2571"/>
      <c r="D82" s="390">
        <v>2662</v>
      </c>
      <c r="E82" s="2571">
        <v>4000</v>
      </c>
      <c r="F82" s="318"/>
      <c r="G82" s="318"/>
      <c r="H82" s="318"/>
      <c r="I82" s="318"/>
      <c r="J82" s="318"/>
    </row>
    <row r="83" spans="1:10" ht="12.6" customHeight="1">
      <c r="A83" s="2899" t="s">
        <v>711</v>
      </c>
      <c r="B83" s="2900">
        <v>237</v>
      </c>
      <c r="C83" s="2571"/>
      <c r="D83" s="390"/>
      <c r="E83" s="2571"/>
      <c r="F83" s="318"/>
      <c r="G83" s="318"/>
      <c r="H83" s="318"/>
      <c r="I83" s="318"/>
      <c r="J83" s="318"/>
    </row>
    <row r="84" spans="1:10" ht="12.6" customHeight="1">
      <c r="A84" s="375" t="s">
        <v>1282</v>
      </c>
      <c r="B84" s="376"/>
      <c r="C84" s="377"/>
      <c r="D84" s="387"/>
      <c r="E84" s="377"/>
      <c r="F84" s="318"/>
      <c r="G84" s="318"/>
      <c r="H84" s="318"/>
      <c r="I84" s="318"/>
      <c r="J84" s="318"/>
    </row>
    <row r="85" spans="1:10" ht="12.6" customHeight="1">
      <c r="A85" s="378" t="s">
        <v>1283</v>
      </c>
      <c r="B85" s="379"/>
      <c r="C85" s="380"/>
      <c r="D85" s="391"/>
      <c r="E85" s="380"/>
      <c r="F85" s="318"/>
      <c r="G85" s="318"/>
      <c r="H85" s="318"/>
      <c r="I85" s="318"/>
      <c r="J85" s="318"/>
    </row>
    <row r="86" spans="1:10" ht="12.6" customHeight="1">
      <c r="A86" s="381" t="s">
        <v>1284</v>
      </c>
      <c r="B86" s="382">
        <v>240</v>
      </c>
      <c r="C86" s="383"/>
      <c r="D86" s="388"/>
      <c r="E86" s="383"/>
      <c r="F86" s="318"/>
      <c r="G86" s="318"/>
      <c r="H86" s="318"/>
      <c r="I86" s="318"/>
      <c r="J86" s="318"/>
    </row>
    <row r="87" spans="1:10" ht="12.6" customHeight="1">
      <c r="A87" s="375" t="s">
        <v>1285</v>
      </c>
      <c r="B87" s="376">
        <v>245</v>
      </c>
      <c r="C87" s="2571"/>
      <c r="D87" s="390"/>
      <c r="E87" s="2571"/>
      <c r="F87" s="318"/>
      <c r="G87" s="318"/>
      <c r="H87" s="318"/>
      <c r="I87" s="318"/>
      <c r="J87" s="318"/>
    </row>
    <row r="88" spans="1:10" ht="12.6" customHeight="1">
      <c r="A88" s="384" t="s">
        <v>1286</v>
      </c>
      <c r="B88" s="385">
        <v>250</v>
      </c>
      <c r="C88" s="386"/>
      <c r="D88" s="389"/>
      <c r="E88" s="386"/>
      <c r="F88" s="318"/>
      <c r="G88" s="318"/>
      <c r="H88" s="318"/>
      <c r="I88" s="318"/>
      <c r="J88" s="318"/>
    </row>
    <row r="89" spans="1:10" ht="12.6" customHeight="1">
      <c r="A89" s="384" t="s">
        <v>1287</v>
      </c>
      <c r="B89" s="385">
        <v>255</v>
      </c>
      <c r="C89" s="386"/>
      <c r="D89" s="389"/>
      <c r="E89" s="386"/>
      <c r="F89" s="318"/>
      <c r="G89" s="318"/>
      <c r="H89" s="318"/>
      <c r="I89" s="318"/>
      <c r="J89" s="318"/>
    </row>
    <row r="90" spans="1:10" ht="12.6" customHeight="1">
      <c r="A90" s="378" t="s">
        <v>1288</v>
      </c>
      <c r="B90" s="379"/>
      <c r="C90" s="380"/>
      <c r="D90" s="391"/>
      <c r="E90" s="380"/>
      <c r="F90" s="318"/>
      <c r="G90" s="318"/>
      <c r="H90" s="318"/>
      <c r="I90" s="318"/>
      <c r="J90" s="318"/>
    </row>
    <row r="91" spans="1:10" ht="12.6" customHeight="1">
      <c r="A91" s="381" t="s">
        <v>1289</v>
      </c>
      <c r="B91" s="382">
        <v>260</v>
      </c>
      <c r="C91" s="383">
        <v>1746</v>
      </c>
      <c r="D91" s="388">
        <v>1560</v>
      </c>
      <c r="E91" s="383">
        <v>1609</v>
      </c>
      <c r="F91" s="318"/>
      <c r="G91" s="318"/>
      <c r="H91" s="318"/>
      <c r="I91" s="318"/>
      <c r="J91" s="318"/>
    </row>
    <row r="92" spans="1:10" ht="12.6" customHeight="1">
      <c r="A92" s="384" t="s">
        <v>1290</v>
      </c>
      <c r="B92" s="385">
        <v>265</v>
      </c>
      <c r="C92" s="386">
        <v>1897</v>
      </c>
      <c r="D92" s="389">
        <v>27</v>
      </c>
      <c r="E92" s="386">
        <v>1500</v>
      </c>
      <c r="F92" s="318"/>
      <c r="G92" s="318"/>
      <c r="H92" s="318"/>
      <c r="I92" s="318"/>
      <c r="J92" s="318"/>
    </row>
    <row r="93" spans="1:10" ht="12.6" customHeight="1">
      <c r="A93" s="2901" t="s">
        <v>1256</v>
      </c>
      <c r="B93" s="2902">
        <v>267</v>
      </c>
      <c r="C93" s="386">
        <v>966</v>
      </c>
      <c r="D93" s="389">
        <v>680</v>
      </c>
      <c r="E93" s="386">
        <v>1000</v>
      </c>
      <c r="F93" s="318"/>
      <c r="G93" s="318"/>
      <c r="H93" s="318"/>
      <c r="I93" s="318"/>
      <c r="J93" s="318"/>
    </row>
    <row r="94" spans="1:10" ht="12.6" customHeight="1">
      <c r="A94" s="384" t="s">
        <v>1291</v>
      </c>
      <c r="B94" s="385">
        <v>270</v>
      </c>
      <c r="C94" s="386"/>
      <c r="D94" s="389"/>
      <c r="E94" s="386"/>
      <c r="F94" s="318"/>
      <c r="G94" s="318"/>
      <c r="H94" s="318"/>
      <c r="I94" s="318"/>
      <c r="J94" s="318"/>
    </row>
    <row r="95" spans="1:10" ht="12.6" customHeight="1">
      <c r="A95" s="381" t="s">
        <v>1292</v>
      </c>
      <c r="B95" s="382">
        <v>275</v>
      </c>
      <c r="C95" s="383"/>
      <c r="D95" s="388"/>
      <c r="E95" s="383"/>
      <c r="F95" s="318"/>
      <c r="G95" s="318"/>
      <c r="H95" s="318"/>
      <c r="I95" s="318"/>
      <c r="J95" s="318"/>
    </row>
    <row r="96" spans="1:10" ht="12.6" customHeight="1">
      <c r="A96" s="384" t="s">
        <v>1293</v>
      </c>
      <c r="B96" s="385">
        <v>280</v>
      </c>
      <c r="C96" s="386">
        <v>711</v>
      </c>
      <c r="D96" s="389">
        <v>5015</v>
      </c>
      <c r="E96" s="386">
        <v>6000</v>
      </c>
      <c r="F96" s="318"/>
      <c r="G96" s="318"/>
      <c r="H96" s="318"/>
      <c r="I96" s="318"/>
      <c r="J96" s="318"/>
    </row>
    <row r="97" spans="1:10" ht="12.6" customHeight="1">
      <c r="A97" s="375" t="s">
        <v>1294</v>
      </c>
      <c r="B97" s="376"/>
      <c r="C97" s="377"/>
      <c r="D97" s="387"/>
      <c r="E97" s="377"/>
      <c r="F97" s="318"/>
      <c r="G97" s="318"/>
      <c r="H97" s="318"/>
      <c r="I97" s="318"/>
      <c r="J97" s="318"/>
    </row>
    <row r="98" spans="1:10" ht="12.6" customHeight="1">
      <c r="A98" s="378" t="s">
        <v>1295</v>
      </c>
      <c r="B98" s="379"/>
      <c r="C98" s="380"/>
      <c r="D98" s="391"/>
      <c r="E98" s="380"/>
      <c r="F98" s="318"/>
      <c r="G98" s="318"/>
      <c r="H98" s="318"/>
      <c r="I98" s="318"/>
      <c r="J98" s="318"/>
    </row>
    <row r="99" spans="1:10" ht="12.6" customHeight="1">
      <c r="A99" s="378" t="s">
        <v>1268</v>
      </c>
      <c r="B99" s="379"/>
      <c r="C99" s="380"/>
      <c r="D99" s="391"/>
      <c r="E99" s="380"/>
      <c r="F99" s="318"/>
      <c r="G99" s="318"/>
      <c r="H99" s="318"/>
      <c r="I99" s="318"/>
      <c r="J99" s="318"/>
    </row>
    <row r="100" spans="1:10" ht="12.6" customHeight="1">
      <c r="A100" s="381" t="s">
        <v>1269</v>
      </c>
      <c r="B100" s="382">
        <v>285</v>
      </c>
      <c r="C100" s="383">
        <v>40653</v>
      </c>
      <c r="D100" s="388">
        <v>42907</v>
      </c>
      <c r="E100" s="383">
        <v>45000</v>
      </c>
      <c r="F100" s="318"/>
      <c r="G100" s="318"/>
      <c r="H100" s="318"/>
      <c r="I100" s="318"/>
      <c r="J100" s="318"/>
    </row>
    <row r="101" spans="1:10" ht="12.6" customHeight="1">
      <c r="A101" s="384" t="s">
        <v>1270</v>
      </c>
      <c r="B101" s="385">
        <v>290</v>
      </c>
      <c r="C101" s="386">
        <v>23064</v>
      </c>
      <c r="D101" s="389">
        <v>7739</v>
      </c>
      <c r="E101" s="386">
        <v>19866</v>
      </c>
      <c r="F101" s="318"/>
      <c r="G101" s="318"/>
      <c r="H101" s="318"/>
      <c r="I101" s="318"/>
      <c r="J101" s="318"/>
    </row>
    <row r="102" spans="1:10" ht="12.6" customHeight="1">
      <c r="A102" s="375" t="s">
        <v>1271</v>
      </c>
      <c r="B102" s="376"/>
      <c r="C102" s="377"/>
      <c r="D102" s="387"/>
      <c r="E102" s="377"/>
      <c r="F102" s="318"/>
      <c r="G102" s="318"/>
      <c r="H102" s="318"/>
      <c r="I102" s="318"/>
      <c r="J102" s="318"/>
    </row>
    <row r="103" spans="1:10" ht="12.6" customHeight="1">
      <c r="A103" s="381" t="s">
        <v>1272</v>
      </c>
      <c r="B103" s="382">
        <v>295</v>
      </c>
      <c r="C103" s="383"/>
      <c r="D103" s="388"/>
      <c r="E103" s="383"/>
      <c r="F103" s="318"/>
      <c r="G103" s="318"/>
      <c r="H103" s="318"/>
      <c r="I103" s="318"/>
      <c r="J103" s="318"/>
    </row>
    <row r="104" spans="1:10" ht="12.6" customHeight="1">
      <c r="A104" s="381" t="s">
        <v>1273</v>
      </c>
      <c r="B104" s="382">
        <v>300</v>
      </c>
      <c r="C104" s="383">
        <v>4430</v>
      </c>
      <c r="D104" s="388">
        <v>3593</v>
      </c>
      <c r="E104" s="383">
        <v>6000</v>
      </c>
      <c r="F104" s="318"/>
      <c r="G104" s="318"/>
      <c r="H104" s="318"/>
      <c r="I104" s="318"/>
      <c r="J104" s="318"/>
    </row>
    <row r="105" spans="1:10" ht="12.6" customHeight="1">
      <c r="A105" s="384" t="s">
        <v>1276</v>
      </c>
      <c r="B105" s="385">
        <v>305</v>
      </c>
      <c r="C105" s="386">
        <v>278</v>
      </c>
      <c r="D105" s="389">
        <v>154</v>
      </c>
      <c r="E105" s="386">
        <v>500</v>
      </c>
      <c r="F105" s="318"/>
      <c r="G105" s="318"/>
      <c r="H105" s="318"/>
      <c r="I105" s="318"/>
      <c r="J105" s="318"/>
    </row>
    <row r="106" spans="1:10" ht="12.6" customHeight="1">
      <c r="A106" s="375" t="s">
        <v>1281</v>
      </c>
      <c r="B106" s="382">
        <v>310</v>
      </c>
      <c r="C106" s="2571"/>
      <c r="D106" s="390"/>
      <c r="E106" s="2571"/>
      <c r="F106" s="318"/>
      <c r="G106" s="318"/>
      <c r="H106" s="318"/>
      <c r="I106" s="318"/>
      <c r="J106" s="318"/>
    </row>
    <row r="107" spans="1:10" ht="12.6" customHeight="1">
      <c r="A107" s="2899" t="s">
        <v>711</v>
      </c>
      <c r="B107" s="2903">
        <v>313</v>
      </c>
      <c r="C107" s="2571"/>
      <c r="D107" s="390"/>
      <c r="E107" s="2571"/>
      <c r="F107" s="318"/>
      <c r="G107" s="318"/>
      <c r="H107" s="318"/>
      <c r="I107" s="318"/>
      <c r="J107" s="318"/>
    </row>
    <row r="108" spans="1:10" ht="12.6" customHeight="1">
      <c r="A108" s="384" t="s">
        <v>1282</v>
      </c>
      <c r="B108" s="385">
        <v>315</v>
      </c>
      <c r="C108" s="386">
        <v>156</v>
      </c>
      <c r="D108" s="389">
        <v>156</v>
      </c>
      <c r="E108" s="386">
        <v>200</v>
      </c>
      <c r="F108" s="318"/>
      <c r="G108" s="318"/>
      <c r="H108" s="318"/>
      <c r="I108" s="318"/>
      <c r="J108" s="318"/>
    </row>
    <row r="109" spans="1:10" ht="12.6" customHeight="1">
      <c r="A109" s="381" t="s">
        <v>1288</v>
      </c>
      <c r="B109" s="382">
        <v>320</v>
      </c>
      <c r="C109" s="383">
        <v>298</v>
      </c>
      <c r="D109" s="388">
        <v>154</v>
      </c>
      <c r="E109" s="383">
        <v>500</v>
      </c>
      <c r="F109" s="318"/>
      <c r="G109" s="318"/>
      <c r="H109" s="318"/>
      <c r="I109" s="318"/>
      <c r="J109" s="318"/>
    </row>
    <row r="110" spans="1:10" ht="12.6" customHeight="1">
      <c r="A110" s="375" t="s">
        <v>1292</v>
      </c>
      <c r="B110" s="376">
        <v>325</v>
      </c>
      <c r="C110" s="2571"/>
      <c r="D110" s="390"/>
      <c r="E110" s="2571"/>
      <c r="F110" s="318"/>
      <c r="G110" s="318"/>
      <c r="H110" s="318"/>
      <c r="I110" s="318"/>
      <c r="J110" s="318"/>
    </row>
    <row r="111" spans="1:10" ht="12.6" customHeight="1">
      <c r="A111" s="384" t="s">
        <v>1293</v>
      </c>
      <c r="B111" s="385">
        <v>330</v>
      </c>
      <c r="C111" s="386"/>
      <c r="D111" s="389"/>
      <c r="E111" s="386"/>
      <c r="F111" s="318"/>
      <c r="G111" s="318"/>
      <c r="H111" s="318"/>
      <c r="I111" s="318"/>
      <c r="J111" s="318"/>
    </row>
    <row r="112" spans="1:10" ht="12.6" customHeight="1">
      <c r="A112" s="375" t="s">
        <v>1296</v>
      </c>
      <c r="B112" s="376"/>
      <c r="C112" s="377"/>
      <c r="D112" s="387"/>
      <c r="E112" s="377"/>
      <c r="F112" s="318"/>
      <c r="G112" s="318"/>
      <c r="H112" s="318"/>
      <c r="I112" s="318"/>
      <c r="J112" s="318"/>
    </row>
    <row r="113" spans="1:10" ht="12.6" customHeight="1">
      <c r="A113" s="378" t="s">
        <v>1268</v>
      </c>
      <c r="B113" s="379"/>
      <c r="C113" s="380"/>
      <c r="D113" s="391"/>
      <c r="E113" s="380"/>
      <c r="F113" s="318"/>
      <c r="G113" s="318"/>
      <c r="H113" s="318"/>
      <c r="I113" s="318"/>
      <c r="J113" s="318"/>
    </row>
    <row r="114" spans="1:10" ht="12.6" customHeight="1">
      <c r="A114" s="381" t="s">
        <v>1269</v>
      </c>
      <c r="B114" s="382">
        <v>335</v>
      </c>
      <c r="C114" s="383">
        <v>53740</v>
      </c>
      <c r="D114" s="388">
        <v>72456</v>
      </c>
      <c r="E114" s="383">
        <v>75000</v>
      </c>
      <c r="F114" s="318"/>
      <c r="G114" s="318"/>
      <c r="H114" s="318"/>
      <c r="I114" s="318"/>
      <c r="J114" s="318"/>
    </row>
    <row r="115" spans="1:10" ht="12.6" customHeight="1">
      <c r="A115" s="384" t="s">
        <v>1270</v>
      </c>
      <c r="B115" s="385">
        <v>340</v>
      </c>
      <c r="C115" s="386">
        <v>6384</v>
      </c>
      <c r="D115" s="389">
        <v>3421</v>
      </c>
      <c r="E115" s="386">
        <v>6000</v>
      </c>
      <c r="F115" s="318"/>
      <c r="G115" s="318"/>
      <c r="H115" s="318"/>
      <c r="I115" s="318"/>
      <c r="J115" s="318"/>
    </row>
    <row r="116" spans="1:10" ht="12.6" customHeight="1">
      <c r="A116" s="375" t="s">
        <v>1271</v>
      </c>
      <c r="B116" s="376"/>
      <c r="C116" s="377"/>
      <c r="D116" s="387"/>
      <c r="E116" s="377"/>
      <c r="F116" s="318"/>
      <c r="G116" s="318"/>
      <c r="H116" s="318"/>
      <c r="I116" s="318"/>
      <c r="J116" s="318"/>
    </row>
    <row r="117" spans="1:10" ht="12.6" customHeight="1">
      <c r="A117" s="381" t="s">
        <v>1272</v>
      </c>
      <c r="B117" s="382">
        <v>345</v>
      </c>
      <c r="C117" s="383">
        <v>5784</v>
      </c>
      <c r="D117" s="388">
        <v>5784</v>
      </c>
      <c r="E117" s="383">
        <v>7000</v>
      </c>
      <c r="F117" s="318"/>
      <c r="G117" s="318"/>
      <c r="H117" s="318"/>
      <c r="I117" s="318"/>
      <c r="J117" s="318"/>
    </row>
    <row r="118" spans="1:10" ht="12.6" customHeight="1">
      <c r="A118" s="384" t="s">
        <v>1273</v>
      </c>
      <c r="B118" s="385">
        <v>350</v>
      </c>
      <c r="C118" s="386">
        <v>4359</v>
      </c>
      <c r="D118" s="389">
        <v>4792</v>
      </c>
      <c r="E118" s="386">
        <v>5000</v>
      </c>
      <c r="F118" s="318"/>
      <c r="G118" s="318"/>
      <c r="H118" s="318"/>
      <c r="I118" s="318"/>
      <c r="J118" s="318"/>
    </row>
    <row r="119" spans="1:10" ht="12.6" customHeight="1">
      <c r="A119" s="384" t="s">
        <v>1276</v>
      </c>
      <c r="B119" s="385">
        <v>355</v>
      </c>
      <c r="C119" s="386">
        <v>943</v>
      </c>
      <c r="D119" s="389">
        <v>183</v>
      </c>
      <c r="E119" s="386">
        <v>500</v>
      </c>
      <c r="F119" s="318"/>
      <c r="G119" s="318"/>
      <c r="H119" s="318"/>
      <c r="I119" s="318"/>
      <c r="J119" s="318"/>
    </row>
    <row r="120" spans="1:10" ht="12.6" customHeight="1">
      <c r="A120" s="375" t="s">
        <v>1297</v>
      </c>
      <c r="B120" s="376"/>
      <c r="C120" s="377"/>
      <c r="D120" s="387"/>
      <c r="E120" s="377"/>
      <c r="F120" s="318"/>
      <c r="G120" s="318"/>
      <c r="H120" s="318"/>
      <c r="I120" s="318"/>
      <c r="J120" s="318"/>
    </row>
    <row r="121" spans="1:10" ht="12.6" customHeight="1">
      <c r="A121" s="381" t="s">
        <v>1299</v>
      </c>
      <c r="B121" s="382">
        <v>360</v>
      </c>
      <c r="C121" s="383"/>
      <c r="D121" s="388"/>
      <c r="E121" s="383"/>
      <c r="F121" s="318"/>
      <c r="G121" s="318"/>
      <c r="H121" s="318"/>
      <c r="I121" s="318"/>
      <c r="J121" s="318"/>
    </row>
    <row r="122" spans="1:10" ht="12.6" customHeight="1">
      <c r="A122" s="2904" t="s">
        <v>711</v>
      </c>
      <c r="B122" s="2903">
        <v>363</v>
      </c>
      <c r="C122" s="383"/>
      <c r="D122" s="388"/>
      <c r="E122" s="383"/>
      <c r="F122" s="318"/>
      <c r="G122" s="318"/>
      <c r="H122" s="318"/>
      <c r="I122" s="318"/>
      <c r="J122" s="318"/>
    </row>
    <row r="123" spans="1:10" ht="12.6" customHeight="1">
      <c r="A123" s="384" t="s">
        <v>1282</v>
      </c>
      <c r="B123" s="385">
        <v>365</v>
      </c>
      <c r="C123" s="386"/>
      <c r="D123" s="389"/>
      <c r="E123" s="386"/>
      <c r="F123" s="318"/>
      <c r="G123" s="318"/>
      <c r="H123" s="318"/>
      <c r="I123" s="318"/>
      <c r="J123" s="318"/>
    </row>
    <row r="124" spans="1:10" ht="12.6" customHeight="1">
      <c r="A124" s="372"/>
      <c r="B124" s="371"/>
      <c r="C124" s="392"/>
      <c r="D124" s="392"/>
      <c r="E124" s="392"/>
      <c r="F124" s="318"/>
      <c r="G124" s="318"/>
      <c r="H124" s="318"/>
      <c r="I124" s="318"/>
      <c r="J124" s="318"/>
    </row>
    <row r="125" spans="1:10" ht="12.6" customHeight="1">
      <c r="A125" s="314"/>
      <c r="B125" s="315" t="s">
        <v>1019</v>
      </c>
      <c r="C125" s="316">
        <f>C1</f>
        <v>270</v>
      </c>
      <c r="D125" s="314"/>
      <c r="E125" s="317" t="s">
        <v>1020</v>
      </c>
      <c r="F125" s="318"/>
      <c r="G125" s="318"/>
      <c r="H125" s="318"/>
      <c r="I125" s="318"/>
      <c r="J125" s="318"/>
    </row>
    <row r="126" spans="1:10" ht="12.6" customHeight="1">
      <c r="A126" s="314"/>
      <c r="B126" s="315"/>
      <c r="C126" s="314"/>
      <c r="D126" s="314"/>
      <c r="E126" s="317" t="s">
        <v>1212</v>
      </c>
      <c r="F126" s="373"/>
      <c r="G126" s="318"/>
      <c r="H126" s="318"/>
      <c r="I126" s="318"/>
      <c r="J126" s="318"/>
    </row>
    <row r="127" spans="1:10" ht="12.6" customHeight="1">
      <c r="A127" s="314"/>
      <c r="B127" s="315"/>
      <c r="C127" s="314"/>
      <c r="D127" s="314"/>
      <c r="E127" s="317" t="str">
        <f>E3</f>
        <v>2016-2017</v>
      </c>
      <c r="F127" s="318"/>
      <c r="G127" s="318"/>
      <c r="H127" s="318"/>
      <c r="I127" s="318"/>
      <c r="J127" s="318"/>
    </row>
    <row r="128" spans="1:10" ht="12.6" customHeight="1">
      <c r="A128" s="314"/>
      <c r="B128" s="315"/>
      <c r="C128" s="314"/>
      <c r="D128" s="314"/>
      <c r="E128" s="314"/>
      <c r="F128" s="318"/>
      <c r="G128" s="318"/>
      <c r="H128" s="318"/>
      <c r="I128" s="318"/>
      <c r="J128" s="318"/>
    </row>
    <row r="129" spans="1:10" ht="12.6" customHeight="1">
      <c r="A129" s="314"/>
      <c r="B129" s="315"/>
      <c r="C129" s="320" t="s">
        <v>1213</v>
      </c>
      <c r="D129" s="320" t="s">
        <v>1213</v>
      </c>
      <c r="E129" s="320" t="s">
        <v>1213</v>
      </c>
      <c r="F129" s="318"/>
      <c r="G129" s="318"/>
      <c r="H129" s="318"/>
      <c r="I129" s="318"/>
      <c r="J129" s="318"/>
    </row>
    <row r="130" spans="1:10" ht="12.6" customHeight="1">
      <c r="A130" s="314"/>
      <c r="B130" s="323" t="s">
        <v>1045</v>
      </c>
      <c r="C130" s="324" t="str">
        <f>C6</f>
        <v>2014-2015</v>
      </c>
      <c r="D130" s="324" t="str">
        <f>D6</f>
        <v>2015-2016</v>
      </c>
      <c r="E130" s="324" t="str">
        <f>E6</f>
        <v>2016-2017</v>
      </c>
      <c r="F130" s="318"/>
      <c r="G130" s="318"/>
      <c r="H130" s="318"/>
      <c r="I130" s="318"/>
      <c r="J130" s="318"/>
    </row>
    <row r="131" spans="1:10" ht="12.6" customHeight="1">
      <c r="A131" s="326" t="s">
        <v>1266</v>
      </c>
      <c r="B131" s="327">
        <v>6</v>
      </c>
      <c r="C131" s="328" t="s">
        <v>1139</v>
      </c>
      <c r="D131" s="328" t="s">
        <v>1139</v>
      </c>
      <c r="E131" s="328" t="s">
        <v>1215</v>
      </c>
      <c r="F131" s="318"/>
      <c r="G131" s="318"/>
      <c r="H131" s="318"/>
      <c r="I131" s="318"/>
      <c r="J131" s="318"/>
    </row>
    <row r="132" spans="1:10" ht="12.6" customHeight="1">
      <c r="A132" s="329"/>
      <c r="B132" s="330" t="s">
        <v>1051</v>
      </c>
      <c r="C132" s="331">
        <v>1</v>
      </c>
      <c r="D132" s="331">
        <v>2</v>
      </c>
      <c r="E132" s="331">
        <v>3</v>
      </c>
      <c r="F132" s="318"/>
      <c r="G132" s="318"/>
      <c r="H132" s="318"/>
      <c r="I132" s="318"/>
      <c r="J132" s="318"/>
    </row>
    <row r="133" spans="1:10" ht="12.6" customHeight="1">
      <c r="A133" s="375" t="s">
        <v>1288</v>
      </c>
      <c r="B133" s="393"/>
      <c r="C133" s="377"/>
      <c r="D133" s="387"/>
      <c r="E133" s="377"/>
      <c r="F133" s="318"/>
      <c r="G133" s="318"/>
      <c r="H133" s="318"/>
      <c r="I133" s="318"/>
      <c r="J133" s="318"/>
    </row>
    <row r="134" spans="1:10" ht="12.6" customHeight="1">
      <c r="A134" s="378" t="s">
        <v>1300</v>
      </c>
      <c r="B134" s="394"/>
      <c r="C134" s="380"/>
      <c r="D134" s="391"/>
      <c r="E134" s="380"/>
      <c r="F134" s="318"/>
      <c r="G134" s="318"/>
      <c r="H134" s="318"/>
      <c r="I134" s="318"/>
      <c r="J134" s="318"/>
    </row>
    <row r="135" spans="1:10" ht="12.6" customHeight="1">
      <c r="A135" s="381" t="s">
        <v>1301</v>
      </c>
      <c r="B135" s="382">
        <v>370</v>
      </c>
      <c r="C135" s="383"/>
      <c r="D135" s="388">
        <v>169</v>
      </c>
      <c r="E135" s="383">
        <v>500</v>
      </c>
      <c r="F135" s="318"/>
      <c r="G135" s="318"/>
      <c r="H135" s="318"/>
      <c r="I135" s="318"/>
      <c r="J135" s="318"/>
    </row>
    <row r="136" spans="1:10" ht="12.6" customHeight="1">
      <c r="A136" s="381" t="s">
        <v>790</v>
      </c>
      <c r="B136" s="382">
        <v>375</v>
      </c>
      <c r="C136" s="383">
        <v>268</v>
      </c>
      <c r="D136" s="388">
        <v>359</v>
      </c>
      <c r="E136" s="383">
        <v>400</v>
      </c>
      <c r="F136" s="318"/>
      <c r="G136" s="318"/>
      <c r="H136" s="318"/>
      <c r="I136" s="318"/>
      <c r="J136" s="318"/>
    </row>
    <row r="137" spans="1:10" ht="12.6" customHeight="1">
      <c r="A137" s="384" t="s">
        <v>1291</v>
      </c>
      <c r="B137" s="385">
        <v>380</v>
      </c>
      <c r="C137" s="386">
        <v>94</v>
      </c>
      <c r="D137" s="389">
        <v>184</v>
      </c>
      <c r="E137" s="386">
        <v>400</v>
      </c>
      <c r="F137" s="318"/>
      <c r="G137" s="318"/>
      <c r="H137" s="318"/>
      <c r="I137" s="318"/>
      <c r="J137" s="318"/>
    </row>
    <row r="138" spans="1:10" ht="12.6" customHeight="1">
      <c r="A138" s="384" t="s">
        <v>1292</v>
      </c>
      <c r="B138" s="385">
        <v>385</v>
      </c>
      <c r="C138" s="386"/>
      <c r="D138" s="389"/>
      <c r="E138" s="386"/>
      <c r="F138" s="318"/>
      <c r="G138" s="318"/>
      <c r="H138" s="318"/>
      <c r="I138" s="318"/>
      <c r="J138" s="318"/>
    </row>
    <row r="139" spans="1:10" ht="12.6" customHeight="1">
      <c r="A139" s="384" t="s">
        <v>1293</v>
      </c>
      <c r="B139" s="385">
        <v>390</v>
      </c>
      <c r="C139" s="386"/>
      <c r="D139" s="389"/>
      <c r="E139" s="386"/>
      <c r="F139" s="318"/>
      <c r="G139" s="318"/>
      <c r="H139" s="318"/>
      <c r="I139" s="318"/>
      <c r="J139" s="318"/>
    </row>
    <row r="140" spans="1:10" ht="12.6" customHeight="1">
      <c r="A140" s="375" t="s">
        <v>1302</v>
      </c>
      <c r="B140" s="376"/>
      <c r="C140" s="377"/>
      <c r="D140" s="387"/>
      <c r="E140" s="377"/>
      <c r="F140" s="318"/>
      <c r="G140" s="318"/>
      <c r="H140" s="318"/>
      <c r="I140" s="318"/>
      <c r="J140" s="318"/>
    </row>
    <row r="141" spans="1:10" ht="12.6" customHeight="1">
      <c r="A141" s="378" t="s">
        <v>1268</v>
      </c>
      <c r="B141" s="379"/>
      <c r="C141" s="380"/>
      <c r="D141" s="391"/>
      <c r="E141" s="380"/>
      <c r="F141" s="318"/>
      <c r="G141" s="318"/>
      <c r="H141" s="318"/>
      <c r="I141" s="318"/>
      <c r="J141" s="318"/>
    </row>
    <row r="142" spans="1:10" ht="12.6" customHeight="1">
      <c r="A142" s="381" t="s">
        <v>1269</v>
      </c>
      <c r="B142" s="382">
        <v>395</v>
      </c>
      <c r="C142" s="383">
        <v>92040</v>
      </c>
      <c r="D142" s="388">
        <v>75820</v>
      </c>
      <c r="E142" s="383">
        <v>94000</v>
      </c>
      <c r="F142" s="318"/>
      <c r="G142" s="318"/>
      <c r="H142" s="318"/>
      <c r="I142" s="318"/>
      <c r="J142" s="318"/>
    </row>
    <row r="143" spans="1:10" ht="12.6" customHeight="1">
      <c r="A143" s="384" t="s">
        <v>1270</v>
      </c>
      <c r="B143" s="385">
        <v>400</v>
      </c>
      <c r="C143" s="386">
        <v>47721</v>
      </c>
      <c r="D143" s="389">
        <v>46850</v>
      </c>
      <c r="E143" s="386">
        <v>49000</v>
      </c>
      <c r="F143" s="318"/>
      <c r="G143" s="318"/>
      <c r="H143" s="318"/>
      <c r="I143" s="318"/>
      <c r="J143" s="318"/>
    </row>
    <row r="144" spans="1:10" ht="12.6" customHeight="1">
      <c r="A144" s="375" t="s">
        <v>1271</v>
      </c>
      <c r="B144" s="376"/>
      <c r="C144" s="377"/>
      <c r="D144" s="387"/>
      <c r="E144" s="377"/>
      <c r="F144" s="318"/>
      <c r="G144" s="318"/>
      <c r="H144" s="318"/>
      <c r="I144" s="318"/>
      <c r="J144" s="318"/>
    </row>
    <row r="145" spans="1:10" ht="12.6" customHeight="1">
      <c r="A145" s="381" t="s">
        <v>1272</v>
      </c>
      <c r="B145" s="382">
        <v>405</v>
      </c>
      <c r="C145" s="383">
        <v>18468</v>
      </c>
      <c r="D145" s="388">
        <v>15157</v>
      </c>
      <c r="E145" s="383">
        <v>18000</v>
      </c>
      <c r="F145" s="318"/>
      <c r="G145" s="318"/>
      <c r="H145" s="318"/>
      <c r="I145" s="318"/>
      <c r="J145" s="318"/>
    </row>
    <row r="146" spans="1:10" ht="12.6" customHeight="1">
      <c r="A146" s="384" t="s">
        <v>1273</v>
      </c>
      <c r="B146" s="385">
        <v>410</v>
      </c>
      <c r="C146" s="386">
        <v>10448</v>
      </c>
      <c r="D146" s="389">
        <v>9000</v>
      </c>
      <c r="E146" s="386">
        <v>11000</v>
      </c>
      <c r="F146" s="318"/>
      <c r="G146" s="318"/>
      <c r="H146" s="318"/>
      <c r="I146" s="318"/>
      <c r="J146" s="318"/>
    </row>
    <row r="147" spans="1:10" ht="12.6" customHeight="1">
      <c r="A147" s="384" t="s">
        <v>1276</v>
      </c>
      <c r="B147" s="385">
        <v>415</v>
      </c>
      <c r="C147" s="386">
        <v>1654</v>
      </c>
      <c r="D147" s="389">
        <v>1604</v>
      </c>
      <c r="E147" s="386">
        <v>1500</v>
      </c>
      <c r="F147" s="318"/>
      <c r="G147" s="318"/>
      <c r="H147" s="318"/>
      <c r="I147" s="318"/>
      <c r="J147" s="318"/>
    </row>
    <row r="148" spans="1:10" ht="12.6" customHeight="1">
      <c r="A148" s="375" t="s">
        <v>1297</v>
      </c>
      <c r="B148" s="376"/>
      <c r="C148" s="377"/>
      <c r="D148" s="387"/>
      <c r="E148" s="377"/>
      <c r="F148" s="318"/>
      <c r="G148" s="318"/>
      <c r="H148" s="318"/>
      <c r="I148" s="318"/>
      <c r="J148" s="318"/>
    </row>
    <row r="149" spans="1:10" ht="12.6" customHeight="1">
      <c r="A149" s="381" t="s">
        <v>1299</v>
      </c>
      <c r="B149" s="382">
        <v>420</v>
      </c>
      <c r="C149" s="383">
        <v>5374</v>
      </c>
      <c r="D149" s="388">
        <v>1478</v>
      </c>
      <c r="E149" s="383">
        <v>3000</v>
      </c>
      <c r="F149" s="318"/>
      <c r="G149" s="318"/>
      <c r="H149" s="318"/>
      <c r="I149" s="318"/>
      <c r="J149" s="318"/>
    </row>
    <row r="150" spans="1:10" ht="12.6" customHeight="1">
      <c r="A150" s="384" t="s">
        <v>1303</v>
      </c>
      <c r="B150" s="385">
        <v>425</v>
      </c>
      <c r="C150" s="386"/>
      <c r="D150" s="389"/>
      <c r="E150" s="386"/>
      <c r="F150" s="318"/>
      <c r="G150" s="318"/>
      <c r="H150" s="318"/>
      <c r="I150" s="318"/>
      <c r="J150" s="318"/>
    </row>
    <row r="151" spans="1:10" ht="12.6" customHeight="1">
      <c r="A151" s="375" t="s">
        <v>1282</v>
      </c>
      <c r="B151" s="376"/>
      <c r="C151" s="377"/>
      <c r="D151" s="387"/>
      <c r="E151" s="377"/>
      <c r="F151" s="318"/>
      <c r="G151" s="318"/>
      <c r="H151" s="318"/>
      <c r="I151" s="318"/>
      <c r="J151" s="318"/>
    </row>
    <row r="152" spans="1:10" ht="12.6" customHeight="1">
      <c r="A152" s="381" t="s">
        <v>1304</v>
      </c>
      <c r="B152" s="382">
        <v>430</v>
      </c>
      <c r="C152" s="383"/>
      <c r="D152" s="388"/>
      <c r="E152" s="383"/>
      <c r="F152" s="318"/>
      <c r="G152" s="318"/>
      <c r="H152" s="318"/>
      <c r="I152" s="318"/>
      <c r="J152" s="318"/>
    </row>
    <row r="153" spans="1:10" ht="12.6" customHeight="1">
      <c r="A153" s="375" t="s">
        <v>1305</v>
      </c>
      <c r="B153" s="376"/>
      <c r="C153" s="377"/>
      <c r="D153" s="387"/>
      <c r="E153" s="377"/>
      <c r="F153" s="318"/>
      <c r="G153" s="318"/>
      <c r="H153" s="318"/>
      <c r="I153" s="318"/>
      <c r="J153" s="318"/>
    </row>
    <row r="154" spans="1:10" ht="12.6" customHeight="1">
      <c r="A154" s="381" t="s">
        <v>1306</v>
      </c>
      <c r="B154" s="382">
        <v>435</v>
      </c>
      <c r="C154" s="383">
        <v>4348</v>
      </c>
      <c r="D154" s="388">
        <v>4648</v>
      </c>
      <c r="E154" s="383">
        <v>5000</v>
      </c>
      <c r="F154" s="318"/>
      <c r="G154" s="318"/>
      <c r="H154" s="318"/>
      <c r="I154" s="318"/>
      <c r="J154" s="318"/>
    </row>
    <row r="155" spans="1:10" ht="12.6" customHeight="1">
      <c r="A155" s="384" t="s">
        <v>1287</v>
      </c>
      <c r="B155" s="385">
        <v>440</v>
      </c>
      <c r="C155" s="386">
        <v>10901</v>
      </c>
      <c r="D155" s="389">
        <v>15496</v>
      </c>
      <c r="E155" s="386">
        <v>16000</v>
      </c>
      <c r="F155" s="318"/>
      <c r="G155" s="318"/>
      <c r="H155" s="318"/>
      <c r="I155" s="318"/>
      <c r="J155" s="318"/>
    </row>
    <row r="156" spans="1:10" ht="12.6" customHeight="1">
      <c r="A156" s="384" t="s">
        <v>1288</v>
      </c>
      <c r="B156" s="385">
        <v>445</v>
      </c>
      <c r="C156" s="386">
        <v>3441</v>
      </c>
      <c r="D156" s="389">
        <v>4351</v>
      </c>
      <c r="E156" s="386">
        <v>5000</v>
      </c>
      <c r="F156" s="318"/>
      <c r="G156" s="318"/>
      <c r="H156" s="318"/>
      <c r="I156" s="318"/>
      <c r="J156" s="318"/>
    </row>
    <row r="157" spans="1:10" ht="12.6" customHeight="1">
      <c r="A157" s="384" t="s">
        <v>1292</v>
      </c>
      <c r="B157" s="385">
        <v>450</v>
      </c>
      <c r="C157" s="386"/>
      <c r="D157" s="389"/>
      <c r="E157" s="386"/>
      <c r="F157" s="318"/>
      <c r="G157" s="318"/>
      <c r="H157" s="318"/>
      <c r="I157" s="318"/>
      <c r="J157" s="318"/>
    </row>
    <row r="158" spans="1:10" ht="12.6" customHeight="1">
      <c r="A158" s="384" t="s">
        <v>1293</v>
      </c>
      <c r="B158" s="385">
        <v>455</v>
      </c>
      <c r="C158" s="386">
        <v>752</v>
      </c>
      <c r="D158" s="389">
        <v>777</v>
      </c>
      <c r="E158" s="386">
        <v>1000</v>
      </c>
      <c r="F158" s="318"/>
      <c r="G158" s="318"/>
      <c r="H158" s="318"/>
      <c r="I158" s="318"/>
      <c r="J158" s="318"/>
    </row>
    <row r="159" spans="1:10" ht="12.6" customHeight="1">
      <c r="A159" s="375" t="s">
        <v>1307</v>
      </c>
      <c r="B159" s="376"/>
      <c r="C159" s="377"/>
      <c r="D159" s="387"/>
      <c r="E159" s="377"/>
      <c r="F159" s="318"/>
      <c r="G159" s="318"/>
      <c r="H159" s="318"/>
      <c r="I159" s="318"/>
      <c r="J159" s="318"/>
    </row>
    <row r="160" spans="1:10" ht="12.6" customHeight="1">
      <c r="A160" s="378" t="s">
        <v>1268</v>
      </c>
      <c r="B160" s="379"/>
      <c r="C160" s="380"/>
      <c r="D160" s="391"/>
      <c r="E160" s="380"/>
      <c r="F160" s="318"/>
      <c r="G160" s="318"/>
      <c r="H160" s="318"/>
      <c r="I160" s="318"/>
      <c r="J160" s="318"/>
    </row>
    <row r="161" spans="1:10" ht="12.6" customHeight="1">
      <c r="A161" s="381" t="s">
        <v>1269</v>
      </c>
      <c r="B161" s="382">
        <v>460</v>
      </c>
      <c r="C161" s="383">
        <v>147431</v>
      </c>
      <c r="D161" s="388">
        <v>124260</v>
      </c>
      <c r="E161" s="383">
        <v>110000</v>
      </c>
      <c r="F161" s="318"/>
      <c r="G161" s="318"/>
      <c r="H161" s="318"/>
      <c r="I161" s="318"/>
      <c r="J161" s="318"/>
    </row>
    <row r="162" spans="1:10" ht="12.6" customHeight="1">
      <c r="A162" s="384" t="s">
        <v>1270</v>
      </c>
      <c r="B162" s="385">
        <v>465</v>
      </c>
      <c r="C162" s="386">
        <v>71221</v>
      </c>
      <c r="D162" s="389">
        <v>70814</v>
      </c>
      <c r="E162" s="386">
        <v>74000</v>
      </c>
      <c r="F162" s="318"/>
      <c r="G162" s="318"/>
      <c r="H162" s="318"/>
      <c r="I162" s="318"/>
      <c r="J162" s="318"/>
    </row>
    <row r="163" spans="1:10" ht="12.6" customHeight="1">
      <c r="A163" s="375" t="s">
        <v>1271</v>
      </c>
      <c r="B163" s="376"/>
      <c r="C163" s="377"/>
      <c r="D163" s="387"/>
      <c r="E163" s="377"/>
      <c r="F163" s="318"/>
      <c r="G163" s="318"/>
      <c r="H163" s="318"/>
      <c r="I163" s="318"/>
      <c r="J163" s="318"/>
    </row>
    <row r="164" spans="1:10" ht="12.6" customHeight="1">
      <c r="A164" s="381" t="s">
        <v>1272</v>
      </c>
      <c r="B164" s="382">
        <v>470</v>
      </c>
      <c r="C164" s="383">
        <v>36827</v>
      </c>
      <c r="D164" s="388">
        <v>20580</v>
      </c>
      <c r="E164" s="383">
        <v>23000</v>
      </c>
      <c r="F164" s="318"/>
      <c r="G164" s="318"/>
      <c r="H164" s="318"/>
      <c r="I164" s="318"/>
      <c r="J164" s="318"/>
    </row>
    <row r="165" spans="1:10" ht="12.6" customHeight="1">
      <c r="A165" s="384" t="s">
        <v>1273</v>
      </c>
      <c r="B165" s="385">
        <v>475</v>
      </c>
      <c r="C165" s="386">
        <v>15777</v>
      </c>
      <c r="D165" s="389">
        <v>14075</v>
      </c>
      <c r="E165" s="386">
        <v>16000</v>
      </c>
      <c r="F165" s="318"/>
      <c r="G165" s="318"/>
      <c r="H165" s="318"/>
      <c r="I165" s="318"/>
      <c r="J165" s="318"/>
    </row>
    <row r="166" spans="1:10" ht="12.6" customHeight="1">
      <c r="A166" s="384" t="s">
        <v>1276</v>
      </c>
      <c r="B166" s="385">
        <v>480</v>
      </c>
      <c r="C166" s="386">
        <v>2376</v>
      </c>
      <c r="D166" s="389">
        <v>885</v>
      </c>
      <c r="E166" s="386">
        <v>2000</v>
      </c>
      <c r="F166" s="318"/>
      <c r="G166" s="318"/>
      <c r="H166" s="318"/>
      <c r="I166" s="318"/>
      <c r="J166" s="318"/>
    </row>
    <row r="167" spans="1:10" ht="12.6" customHeight="1">
      <c r="A167" s="375" t="s">
        <v>1297</v>
      </c>
      <c r="B167" s="376"/>
      <c r="C167" s="377"/>
      <c r="D167" s="387"/>
      <c r="E167" s="377"/>
      <c r="F167" s="318"/>
      <c r="G167" s="318"/>
      <c r="H167" s="318"/>
      <c r="I167" s="318"/>
      <c r="J167" s="318"/>
    </row>
    <row r="168" spans="1:10" ht="12.6" customHeight="1">
      <c r="A168" s="381" t="s">
        <v>1299</v>
      </c>
      <c r="B168" s="382">
        <v>485</v>
      </c>
      <c r="C168" s="383"/>
      <c r="D168" s="388"/>
      <c r="E168" s="383"/>
      <c r="F168" s="318"/>
      <c r="G168" s="318"/>
      <c r="H168" s="318"/>
      <c r="I168" s="318"/>
      <c r="J168" s="318"/>
    </row>
    <row r="169" spans="1:10" ht="12.6" customHeight="1">
      <c r="A169" s="384" t="s">
        <v>1303</v>
      </c>
      <c r="B169" s="385">
        <v>490</v>
      </c>
      <c r="C169" s="386"/>
      <c r="D169" s="389"/>
      <c r="E169" s="386"/>
      <c r="F169" s="318"/>
      <c r="G169" s="318"/>
      <c r="H169" s="318"/>
      <c r="I169" s="318"/>
      <c r="J169" s="318"/>
    </row>
    <row r="170" spans="1:10" ht="12.6" customHeight="1">
      <c r="A170" s="375" t="s">
        <v>1282</v>
      </c>
      <c r="B170" s="376"/>
      <c r="C170" s="377"/>
      <c r="D170" s="387"/>
      <c r="E170" s="377"/>
      <c r="F170" s="318"/>
      <c r="G170" s="318"/>
      <c r="H170" s="318"/>
      <c r="I170" s="318"/>
      <c r="J170" s="318"/>
    </row>
    <row r="171" spans="1:10" ht="12.6" customHeight="1">
      <c r="A171" s="378" t="s">
        <v>1305</v>
      </c>
      <c r="B171" s="379"/>
      <c r="C171" s="380"/>
      <c r="D171" s="391"/>
      <c r="E171" s="380"/>
      <c r="F171" s="318"/>
      <c r="G171" s="318"/>
      <c r="H171" s="318"/>
      <c r="I171" s="318"/>
      <c r="J171" s="318"/>
    </row>
    <row r="172" spans="1:10" ht="12.6" customHeight="1">
      <c r="A172" s="381" t="s">
        <v>1306</v>
      </c>
      <c r="B172" s="382">
        <v>495</v>
      </c>
      <c r="C172" s="383">
        <v>11168</v>
      </c>
      <c r="D172" s="388">
        <v>12146</v>
      </c>
      <c r="E172" s="383">
        <v>13000</v>
      </c>
      <c r="F172" s="318"/>
      <c r="G172" s="318"/>
      <c r="H172" s="318"/>
      <c r="I172" s="318"/>
      <c r="J172" s="318"/>
    </row>
    <row r="173" spans="1:10" ht="12.6" customHeight="1">
      <c r="A173" s="384" t="s">
        <v>1287</v>
      </c>
      <c r="B173" s="385">
        <v>500</v>
      </c>
      <c r="C173" s="386">
        <v>2116</v>
      </c>
      <c r="D173" s="389">
        <v>2116</v>
      </c>
      <c r="E173" s="386">
        <v>2500</v>
      </c>
      <c r="F173" s="318"/>
      <c r="G173" s="318"/>
      <c r="H173" s="318"/>
      <c r="I173" s="318"/>
      <c r="J173" s="318"/>
    </row>
    <row r="174" spans="1:10" ht="12.6" customHeight="1">
      <c r="A174" s="384" t="s">
        <v>1288</v>
      </c>
      <c r="B174" s="385">
        <v>505</v>
      </c>
      <c r="C174" s="386">
        <v>2073</v>
      </c>
      <c r="D174" s="389">
        <v>4302</v>
      </c>
      <c r="E174" s="386">
        <v>5000</v>
      </c>
      <c r="F174" s="318"/>
      <c r="G174" s="318"/>
      <c r="H174" s="318"/>
      <c r="I174" s="318"/>
      <c r="J174" s="318"/>
    </row>
    <row r="175" spans="1:10" ht="12.6" customHeight="1">
      <c r="A175" s="384" t="s">
        <v>1292</v>
      </c>
      <c r="B175" s="385">
        <v>510</v>
      </c>
      <c r="C175" s="386"/>
      <c r="D175" s="389"/>
      <c r="E175" s="386"/>
      <c r="F175" s="318"/>
      <c r="G175" s="318"/>
      <c r="H175" s="318"/>
      <c r="I175" s="318"/>
      <c r="J175" s="318"/>
    </row>
    <row r="176" spans="1:10" ht="12.6" customHeight="1">
      <c r="A176" s="384" t="s">
        <v>1293</v>
      </c>
      <c r="B176" s="385">
        <v>515</v>
      </c>
      <c r="C176" s="386">
        <v>720</v>
      </c>
      <c r="D176" s="389">
        <v>530</v>
      </c>
      <c r="E176" s="386">
        <v>750</v>
      </c>
      <c r="F176" s="318"/>
      <c r="G176" s="318"/>
      <c r="H176" s="318"/>
      <c r="I176" s="318"/>
      <c r="J176" s="318"/>
    </row>
    <row r="177" spans="1:10" ht="12.6" customHeight="1">
      <c r="A177" s="375" t="s">
        <v>1745</v>
      </c>
      <c r="B177" s="379"/>
      <c r="C177" s="2635"/>
      <c r="D177" s="3849"/>
      <c r="E177" s="2635"/>
      <c r="F177" s="318"/>
      <c r="G177" s="318"/>
      <c r="H177" s="318"/>
      <c r="I177" s="318"/>
      <c r="J177" s="318"/>
    </row>
    <row r="178" spans="1:10" ht="12.6" customHeight="1">
      <c r="A178" s="378" t="s">
        <v>1544</v>
      </c>
      <c r="B178" s="379"/>
      <c r="C178" s="2635"/>
      <c r="D178" s="3849"/>
      <c r="E178" s="2635"/>
      <c r="F178" s="318"/>
      <c r="G178" s="318"/>
      <c r="H178" s="318"/>
      <c r="I178" s="318"/>
      <c r="J178" s="318"/>
    </row>
    <row r="179" spans="1:10" ht="12.6" customHeight="1">
      <c r="A179" s="381" t="s">
        <v>1746</v>
      </c>
      <c r="B179" s="3969">
        <v>730</v>
      </c>
      <c r="C179" s="3951"/>
      <c r="D179" s="3952"/>
      <c r="E179" s="3953"/>
      <c r="F179" s="318"/>
      <c r="G179" s="318"/>
      <c r="H179" s="318"/>
      <c r="I179" s="318"/>
      <c r="J179" s="318"/>
    </row>
    <row r="180" spans="1:10" ht="12.6" customHeight="1">
      <c r="A180" s="384" t="s">
        <v>1732</v>
      </c>
      <c r="B180" s="3970">
        <v>735</v>
      </c>
      <c r="C180" s="3954">
        <v>20807</v>
      </c>
      <c r="D180" s="3954">
        <v>20446</v>
      </c>
      <c r="E180" s="3954">
        <v>24000</v>
      </c>
      <c r="F180" s="318"/>
      <c r="G180" s="318"/>
      <c r="H180" s="318"/>
      <c r="I180" s="318"/>
      <c r="J180" s="318"/>
    </row>
    <row r="181" spans="1:10" ht="12.6" customHeight="1">
      <c r="A181" s="378" t="s">
        <v>944</v>
      </c>
      <c r="B181" s="2900"/>
      <c r="C181" s="3955"/>
      <c r="D181" s="3956"/>
      <c r="E181" s="3957"/>
      <c r="F181" s="318"/>
      <c r="G181" s="318"/>
      <c r="H181" s="318"/>
      <c r="I181" s="318"/>
      <c r="J181" s="318"/>
    </row>
    <row r="182" spans="1:10" ht="12.6" customHeight="1">
      <c r="A182" s="381" t="s">
        <v>1748</v>
      </c>
      <c r="B182" s="2900">
        <v>740</v>
      </c>
      <c r="C182" s="3951"/>
      <c r="D182" s="3952"/>
      <c r="E182" s="3951"/>
      <c r="F182" s="318"/>
      <c r="G182" s="318"/>
      <c r="H182" s="318"/>
      <c r="I182" s="318"/>
      <c r="J182" s="318"/>
    </row>
    <row r="183" spans="1:10" ht="12.6" customHeight="1">
      <c r="A183" s="384" t="s">
        <v>1747</v>
      </c>
      <c r="B183" s="3970">
        <v>745</v>
      </c>
      <c r="C183" s="3954">
        <v>1586</v>
      </c>
      <c r="D183" s="3954">
        <v>1529</v>
      </c>
      <c r="E183" s="3954">
        <v>1700</v>
      </c>
      <c r="F183" s="318"/>
      <c r="G183" s="318"/>
      <c r="H183" s="318"/>
      <c r="I183" s="318"/>
      <c r="J183" s="318"/>
    </row>
    <row r="184" spans="1:10" ht="12.6" customHeight="1">
      <c r="A184" s="384" t="s">
        <v>1749</v>
      </c>
      <c r="B184" s="3970">
        <v>750</v>
      </c>
      <c r="C184" s="3954">
        <v>95</v>
      </c>
      <c r="D184" s="3954">
        <v>70</v>
      </c>
      <c r="E184" s="3954">
        <v>100</v>
      </c>
      <c r="F184" s="318"/>
      <c r="G184" s="318"/>
      <c r="H184" s="318"/>
      <c r="I184" s="318"/>
      <c r="J184" s="318"/>
    </row>
    <row r="185" spans="1:10" ht="12.6" customHeight="1">
      <c r="A185" s="384" t="s">
        <v>1439</v>
      </c>
      <c r="B185" s="3970">
        <v>755</v>
      </c>
      <c r="C185" s="3954">
        <v>6920</v>
      </c>
      <c r="D185" s="3954">
        <v>7120</v>
      </c>
      <c r="E185" s="3954">
        <v>7500</v>
      </c>
      <c r="F185" s="318"/>
      <c r="G185" s="318"/>
      <c r="H185" s="318"/>
      <c r="I185" s="318"/>
      <c r="J185" s="318"/>
    </row>
    <row r="186" spans="1:10" ht="12.6" customHeight="1">
      <c r="A186" s="384" t="s">
        <v>711</v>
      </c>
      <c r="B186" s="3970">
        <v>760</v>
      </c>
      <c r="C186" s="3953"/>
      <c r="D186" s="3958">
        <v>4980</v>
      </c>
      <c r="E186" s="3954">
        <v>5500</v>
      </c>
      <c r="F186" s="318"/>
      <c r="G186" s="318"/>
      <c r="H186" s="318"/>
      <c r="I186" s="318"/>
      <c r="J186" s="318"/>
    </row>
    <row r="187" spans="1:10" ht="12.6" customHeight="1">
      <c r="A187" s="372"/>
      <c r="B187" s="371"/>
      <c r="C187" s="372"/>
      <c r="D187" s="372"/>
      <c r="E187" s="372"/>
      <c r="F187" s="318"/>
      <c r="G187" s="318"/>
      <c r="H187" s="318"/>
      <c r="I187" s="318"/>
      <c r="J187" s="318"/>
    </row>
    <row r="188" spans="1:10" ht="12.6" customHeight="1">
      <c r="A188" s="314"/>
      <c r="B188" s="315" t="s">
        <v>1019</v>
      </c>
      <c r="C188" s="316">
        <f>C1</f>
        <v>270</v>
      </c>
      <c r="D188" s="314"/>
      <c r="E188" s="317" t="s">
        <v>1020</v>
      </c>
      <c r="F188" s="318"/>
      <c r="G188" s="318"/>
      <c r="H188" s="318"/>
      <c r="I188" s="318"/>
      <c r="J188" s="318"/>
    </row>
    <row r="189" spans="1:10" ht="12.6" customHeight="1">
      <c r="A189" s="314"/>
      <c r="B189" s="315"/>
      <c r="C189" s="314"/>
      <c r="D189" s="314"/>
      <c r="E189" s="317" t="s">
        <v>1212</v>
      </c>
      <c r="F189" s="373"/>
      <c r="G189" s="318"/>
      <c r="H189" s="318"/>
      <c r="I189" s="318"/>
      <c r="J189" s="318"/>
    </row>
    <row r="190" spans="1:10" ht="12.6" customHeight="1">
      <c r="A190" s="314"/>
      <c r="B190" s="315"/>
      <c r="C190" s="314"/>
      <c r="D190" s="314"/>
      <c r="E190" s="317" t="str">
        <f>E3</f>
        <v>2016-2017</v>
      </c>
      <c r="F190" s="318"/>
      <c r="G190" s="318"/>
      <c r="H190" s="318"/>
      <c r="I190" s="318"/>
      <c r="J190" s="318"/>
    </row>
    <row r="191" spans="1:10" ht="12.6" customHeight="1">
      <c r="A191" s="314"/>
      <c r="B191" s="315"/>
      <c r="C191" s="314"/>
      <c r="D191" s="314"/>
      <c r="E191" s="314"/>
      <c r="F191" s="318"/>
      <c r="G191" s="318"/>
      <c r="H191" s="318"/>
      <c r="I191" s="318"/>
      <c r="J191" s="318"/>
    </row>
    <row r="192" spans="1:10" ht="12.6" customHeight="1">
      <c r="A192" s="314"/>
      <c r="B192" s="315"/>
      <c r="C192" s="320" t="s">
        <v>1213</v>
      </c>
      <c r="D192" s="320" t="s">
        <v>1213</v>
      </c>
      <c r="E192" s="320" t="s">
        <v>1213</v>
      </c>
      <c r="F192" s="318"/>
      <c r="G192" s="318"/>
      <c r="H192" s="318"/>
      <c r="I192" s="318"/>
      <c r="J192" s="318"/>
    </row>
    <row r="193" spans="1:10" ht="12.6" customHeight="1">
      <c r="A193" s="314"/>
      <c r="B193" s="323" t="s">
        <v>1045</v>
      </c>
      <c r="C193" s="324" t="str">
        <f>C6</f>
        <v>2014-2015</v>
      </c>
      <c r="D193" s="324" t="str">
        <f>D6</f>
        <v>2015-2016</v>
      </c>
      <c r="E193" s="324" t="str">
        <f>E6</f>
        <v>2016-2017</v>
      </c>
      <c r="F193" s="318"/>
      <c r="G193" s="318"/>
      <c r="H193" s="318"/>
      <c r="I193" s="318"/>
      <c r="J193" s="318"/>
    </row>
    <row r="194" spans="1:10" ht="12.75" customHeight="1">
      <c r="A194" s="326" t="s">
        <v>1266</v>
      </c>
      <c r="B194" s="327">
        <v>6</v>
      </c>
      <c r="C194" s="328" t="s">
        <v>1139</v>
      </c>
      <c r="D194" s="328" t="s">
        <v>1139</v>
      </c>
      <c r="E194" s="328" t="s">
        <v>1215</v>
      </c>
      <c r="F194" s="318"/>
      <c r="G194" s="318"/>
      <c r="H194" s="318"/>
      <c r="I194" s="318"/>
      <c r="J194" s="318"/>
    </row>
    <row r="195" spans="1:10" ht="12.6" customHeight="1">
      <c r="A195" s="329"/>
      <c r="B195" s="330" t="s">
        <v>1051</v>
      </c>
      <c r="C195" s="331">
        <v>1</v>
      </c>
      <c r="D195" s="331">
        <v>2</v>
      </c>
      <c r="E195" s="331">
        <v>3</v>
      </c>
      <c r="F195" s="318"/>
      <c r="G195" s="318"/>
      <c r="H195" s="318"/>
      <c r="I195" s="318"/>
      <c r="J195" s="318"/>
    </row>
    <row r="196" spans="1:10" ht="12.6" customHeight="1">
      <c r="A196" s="384" t="s">
        <v>683</v>
      </c>
      <c r="B196" s="3970">
        <v>765</v>
      </c>
      <c r="C196" s="3951">
        <v>50</v>
      </c>
      <c r="D196" s="3952"/>
      <c r="E196" s="3954">
        <v>100</v>
      </c>
      <c r="F196" s="318"/>
      <c r="G196" s="318"/>
      <c r="H196" s="318"/>
      <c r="I196" s="318"/>
      <c r="J196" s="318"/>
    </row>
    <row r="197" spans="1:10" ht="12.6" customHeight="1">
      <c r="A197" s="384" t="s">
        <v>1738</v>
      </c>
      <c r="B197" s="3970">
        <v>770</v>
      </c>
      <c r="C197" s="3954"/>
      <c r="D197" s="3954"/>
      <c r="E197" s="3954"/>
      <c r="F197" s="318"/>
      <c r="G197" s="318"/>
      <c r="H197" s="318"/>
      <c r="I197" s="318"/>
      <c r="J197" s="318"/>
    </row>
    <row r="198" spans="1:10" ht="12.6" customHeight="1">
      <c r="A198" s="384" t="s">
        <v>1739</v>
      </c>
      <c r="B198" s="3970">
        <v>775</v>
      </c>
      <c r="C198" s="3954"/>
      <c r="D198" s="3954"/>
      <c r="E198" s="3954"/>
      <c r="F198" s="318"/>
      <c r="G198" s="318"/>
      <c r="H198" s="318"/>
      <c r="I198" s="318"/>
      <c r="J198" s="318"/>
    </row>
    <row r="199" spans="1:10" ht="12.6" customHeight="1">
      <c r="A199" s="384" t="s">
        <v>943</v>
      </c>
      <c r="B199" s="2900">
        <v>780</v>
      </c>
      <c r="C199" s="3951"/>
      <c r="D199" s="3952"/>
      <c r="E199" s="3951"/>
      <c r="F199" s="318"/>
      <c r="G199" s="318"/>
      <c r="H199" s="318"/>
      <c r="I199" s="318"/>
      <c r="J199" s="318"/>
    </row>
    <row r="200" spans="1:10" ht="12.6" customHeight="1">
      <c r="A200" s="395" t="s">
        <v>1308</v>
      </c>
      <c r="B200" s="376"/>
      <c r="C200" s="377"/>
      <c r="D200" s="387"/>
      <c r="E200" s="377"/>
      <c r="F200" s="318"/>
      <c r="G200" s="318"/>
      <c r="H200" s="318"/>
      <c r="I200" s="318"/>
      <c r="J200" s="318"/>
    </row>
    <row r="201" spans="1:10" ht="12.6" customHeight="1">
      <c r="A201" s="396" t="s">
        <v>1309</v>
      </c>
      <c r="B201" s="379"/>
      <c r="C201" s="380"/>
      <c r="D201" s="391"/>
      <c r="E201" s="380"/>
      <c r="F201" s="318"/>
      <c r="G201" s="318"/>
      <c r="H201" s="318"/>
      <c r="I201" s="318"/>
      <c r="J201" s="318"/>
    </row>
    <row r="202" spans="1:10" ht="12.6" customHeight="1">
      <c r="A202" s="397" t="s">
        <v>1270</v>
      </c>
      <c r="B202" s="382">
        <v>520</v>
      </c>
      <c r="C202" s="383">
        <v>73151</v>
      </c>
      <c r="D202" s="388">
        <v>124066</v>
      </c>
      <c r="E202" s="383">
        <v>125000</v>
      </c>
      <c r="F202" s="318"/>
      <c r="G202" s="318"/>
      <c r="H202" s="318"/>
      <c r="I202" s="318"/>
      <c r="J202" s="318"/>
    </row>
    <row r="203" spans="1:10" ht="12.6" customHeight="1">
      <c r="A203" s="395" t="s">
        <v>1310</v>
      </c>
      <c r="B203" s="376"/>
      <c r="C203" s="377"/>
      <c r="D203" s="387"/>
      <c r="E203" s="377"/>
      <c r="F203" s="318"/>
      <c r="G203" s="318"/>
      <c r="H203" s="318"/>
      <c r="I203" s="318"/>
      <c r="J203" s="318"/>
    </row>
    <row r="204" spans="1:10" ht="12.6" customHeight="1">
      <c r="A204" s="397" t="s">
        <v>1311</v>
      </c>
      <c r="B204" s="382">
        <v>525</v>
      </c>
      <c r="C204" s="383">
        <v>18571</v>
      </c>
      <c r="D204" s="388">
        <v>19925</v>
      </c>
      <c r="E204" s="383">
        <v>22000</v>
      </c>
      <c r="F204" s="318"/>
      <c r="G204" s="318"/>
      <c r="H204" s="318"/>
      <c r="I204" s="318"/>
      <c r="J204" s="318"/>
    </row>
    <row r="205" spans="1:10" ht="12.6" customHeight="1">
      <c r="A205" s="398" t="s">
        <v>1314</v>
      </c>
      <c r="B205" s="385">
        <v>530</v>
      </c>
      <c r="C205" s="386">
        <v>4291</v>
      </c>
      <c r="D205" s="389">
        <v>8506</v>
      </c>
      <c r="E205" s="386">
        <v>13000</v>
      </c>
      <c r="F205" s="318"/>
      <c r="G205" s="318"/>
      <c r="H205" s="318"/>
      <c r="I205" s="318"/>
      <c r="J205" s="318"/>
    </row>
    <row r="206" spans="1:10" ht="12.6" customHeight="1">
      <c r="A206" s="398" t="s">
        <v>1315</v>
      </c>
      <c r="B206" s="385">
        <v>535</v>
      </c>
      <c r="C206" s="386">
        <v>7910</v>
      </c>
      <c r="D206" s="389">
        <v>2699</v>
      </c>
      <c r="E206" s="386">
        <v>5000</v>
      </c>
      <c r="F206" s="318"/>
      <c r="G206" s="318"/>
      <c r="H206" s="318"/>
      <c r="I206" s="318"/>
      <c r="J206" s="318"/>
    </row>
    <row r="207" spans="1:10" ht="12.6" customHeight="1">
      <c r="A207" s="395" t="s">
        <v>1316</v>
      </c>
      <c r="B207" s="376"/>
      <c r="C207" s="377"/>
      <c r="D207" s="387"/>
      <c r="E207" s="377"/>
      <c r="F207" s="318"/>
      <c r="G207" s="318"/>
      <c r="H207" s="318"/>
      <c r="I207" s="318"/>
      <c r="J207" s="318"/>
    </row>
    <row r="208" spans="1:10" ht="12.6" customHeight="1">
      <c r="A208" s="397" t="s">
        <v>1317</v>
      </c>
      <c r="B208" s="382">
        <v>540</v>
      </c>
      <c r="C208" s="383">
        <v>4326</v>
      </c>
      <c r="D208" s="388">
        <v>11376</v>
      </c>
      <c r="E208" s="383">
        <v>10000</v>
      </c>
      <c r="F208" s="318"/>
      <c r="G208" s="318"/>
      <c r="H208" s="318"/>
      <c r="I208" s="318"/>
      <c r="J208" s="318"/>
    </row>
    <row r="209" spans="1:10" ht="12.6" customHeight="1">
      <c r="A209" s="395" t="s">
        <v>1318</v>
      </c>
      <c r="B209" s="376"/>
      <c r="C209" s="377"/>
      <c r="D209" s="387"/>
      <c r="E209" s="377"/>
      <c r="F209" s="318"/>
      <c r="G209" s="318"/>
      <c r="H209" s="318"/>
      <c r="I209" s="318"/>
      <c r="J209" s="318"/>
    </row>
    <row r="210" spans="1:10" ht="12.6" customHeight="1">
      <c r="A210" s="397" t="s">
        <v>1319</v>
      </c>
      <c r="B210" s="382">
        <v>545</v>
      </c>
      <c r="C210" s="383">
        <v>7389</v>
      </c>
      <c r="D210" s="388">
        <v>9759</v>
      </c>
      <c r="E210" s="383">
        <v>10000</v>
      </c>
      <c r="F210" s="318"/>
      <c r="G210" s="318"/>
      <c r="H210" s="318"/>
      <c r="I210" s="318"/>
      <c r="J210" s="318"/>
    </row>
    <row r="211" spans="1:10" ht="12.6" customHeight="1">
      <c r="A211" s="398" t="s">
        <v>1320</v>
      </c>
      <c r="B211" s="385">
        <v>550</v>
      </c>
      <c r="C211" s="386">
        <v>4127</v>
      </c>
      <c r="D211" s="389">
        <v>4716</v>
      </c>
      <c r="E211" s="386">
        <v>5000</v>
      </c>
      <c r="F211" s="318"/>
      <c r="G211" s="318"/>
      <c r="H211" s="318"/>
      <c r="I211" s="318"/>
      <c r="J211" s="318"/>
    </row>
    <row r="212" spans="1:10" ht="12.6" customHeight="1">
      <c r="A212" s="398" t="s">
        <v>1321</v>
      </c>
      <c r="B212" s="385">
        <v>555</v>
      </c>
      <c r="C212" s="386">
        <v>6583</v>
      </c>
      <c r="D212" s="389">
        <v>6179</v>
      </c>
      <c r="E212" s="386">
        <v>7000</v>
      </c>
      <c r="F212" s="318"/>
      <c r="G212" s="318"/>
      <c r="H212" s="318"/>
      <c r="I212" s="318"/>
      <c r="J212" s="318"/>
    </row>
    <row r="213" spans="1:10" ht="12.6" customHeight="1">
      <c r="A213" s="398" t="s">
        <v>1322</v>
      </c>
      <c r="B213" s="385">
        <v>560</v>
      </c>
      <c r="C213" s="386"/>
      <c r="D213" s="389"/>
      <c r="E213" s="386"/>
      <c r="F213" s="318"/>
      <c r="G213" s="318"/>
      <c r="H213" s="318"/>
      <c r="I213" s="318"/>
      <c r="J213" s="318"/>
    </row>
    <row r="214" spans="1:10" ht="12.6" customHeight="1">
      <c r="A214" s="398" t="s">
        <v>1323</v>
      </c>
      <c r="B214" s="385">
        <v>565</v>
      </c>
      <c r="C214" s="386"/>
      <c r="D214" s="389"/>
      <c r="E214" s="386"/>
      <c r="F214" s="318"/>
      <c r="G214" s="318"/>
      <c r="H214" s="318"/>
      <c r="I214" s="318"/>
      <c r="J214" s="318"/>
    </row>
    <row r="215" spans="1:10" ht="12.6" customHeight="1">
      <c r="A215" s="398" t="s">
        <v>1326</v>
      </c>
      <c r="B215" s="385">
        <v>570</v>
      </c>
      <c r="C215" s="386"/>
      <c r="D215" s="389"/>
      <c r="E215" s="386"/>
      <c r="F215" s="318"/>
      <c r="G215" s="318"/>
      <c r="H215" s="318"/>
      <c r="I215" s="318"/>
      <c r="J215" s="318"/>
    </row>
    <row r="216" spans="1:10" ht="12.6" customHeight="1">
      <c r="A216" s="395" t="s">
        <v>1327</v>
      </c>
      <c r="B216" s="376"/>
      <c r="C216" s="377"/>
      <c r="D216" s="387"/>
      <c r="E216" s="377"/>
      <c r="F216" s="318"/>
      <c r="G216" s="318"/>
      <c r="H216" s="318"/>
      <c r="I216" s="318"/>
      <c r="J216" s="318"/>
    </row>
    <row r="217" spans="1:10" ht="12.6" customHeight="1">
      <c r="A217" s="397" t="s">
        <v>1335</v>
      </c>
      <c r="B217" s="382">
        <v>575</v>
      </c>
      <c r="C217" s="383"/>
      <c r="D217" s="388"/>
      <c r="E217" s="383"/>
      <c r="F217" s="318"/>
      <c r="G217" s="318"/>
      <c r="H217" s="318"/>
      <c r="I217" s="318"/>
      <c r="J217" s="318"/>
    </row>
    <row r="218" spans="1:10" ht="12.6" customHeight="1">
      <c r="A218" s="398" t="s">
        <v>1336</v>
      </c>
      <c r="B218" s="385">
        <v>580</v>
      </c>
      <c r="C218" s="386"/>
      <c r="D218" s="389"/>
      <c r="E218" s="386"/>
      <c r="F218" s="318"/>
      <c r="G218" s="318"/>
      <c r="H218" s="318"/>
      <c r="I218" s="318"/>
      <c r="J218" s="318"/>
    </row>
    <row r="219" spans="1:10" ht="12.6" customHeight="1">
      <c r="A219" s="395" t="s">
        <v>1337</v>
      </c>
      <c r="B219" s="376"/>
      <c r="C219" s="377"/>
      <c r="D219" s="387"/>
      <c r="E219" s="377"/>
      <c r="F219" s="318"/>
      <c r="G219" s="318"/>
      <c r="H219" s="318"/>
      <c r="I219" s="318"/>
      <c r="J219" s="318"/>
    </row>
    <row r="220" spans="1:10" ht="12.6" customHeight="1">
      <c r="A220" s="397" t="s">
        <v>1338</v>
      </c>
      <c r="B220" s="382">
        <v>585</v>
      </c>
      <c r="C220" s="383">
        <v>6000</v>
      </c>
      <c r="D220" s="388">
        <v>4675</v>
      </c>
      <c r="E220" s="383">
        <v>6000</v>
      </c>
      <c r="F220" s="318"/>
      <c r="G220" s="318"/>
      <c r="H220" s="318"/>
      <c r="I220" s="318"/>
      <c r="J220" s="318"/>
    </row>
    <row r="221" spans="1:10" ht="12.6" customHeight="1">
      <c r="A221" s="395" t="s">
        <v>1339</v>
      </c>
      <c r="B221" s="376"/>
      <c r="C221" s="377"/>
      <c r="D221" s="387"/>
      <c r="E221" s="377"/>
      <c r="F221" s="318"/>
      <c r="G221" s="318"/>
      <c r="H221" s="318"/>
      <c r="I221" s="318"/>
      <c r="J221" s="318"/>
    </row>
    <row r="222" spans="1:10" ht="12.6" customHeight="1">
      <c r="A222" s="397" t="s">
        <v>1340</v>
      </c>
      <c r="B222" s="382">
        <v>590</v>
      </c>
      <c r="C222" s="383">
        <v>425</v>
      </c>
      <c r="D222" s="388"/>
      <c r="E222" s="383">
        <v>3000</v>
      </c>
      <c r="F222" s="318"/>
      <c r="G222" s="318"/>
      <c r="H222" s="318"/>
      <c r="I222" s="318"/>
      <c r="J222" s="318"/>
    </row>
    <row r="223" spans="1:10" ht="12.6" customHeight="1">
      <c r="A223" s="398" t="s">
        <v>1341</v>
      </c>
      <c r="B223" s="385">
        <v>595</v>
      </c>
      <c r="C223" s="386">
        <v>61563</v>
      </c>
      <c r="D223" s="389">
        <v>23873</v>
      </c>
      <c r="E223" s="386">
        <v>45000</v>
      </c>
      <c r="F223" s="318"/>
      <c r="G223" s="318"/>
      <c r="H223" s="318"/>
      <c r="I223" s="318"/>
      <c r="J223" s="318"/>
    </row>
    <row r="224" spans="1:10" ht="12.6" customHeight="1">
      <c r="A224" s="398" t="s">
        <v>1342</v>
      </c>
      <c r="B224" s="385">
        <v>600</v>
      </c>
      <c r="C224" s="386"/>
      <c r="D224" s="389"/>
      <c r="E224" s="386"/>
      <c r="F224" s="318"/>
      <c r="G224" s="318"/>
      <c r="H224" s="318"/>
      <c r="I224" s="318"/>
      <c r="J224" s="318"/>
    </row>
    <row r="225" spans="1:10" ht="12.6" customHeight="1">
      <c r="A225" s="398" t="s">
        <v>1343</v>
      </c>
      <c r="B225" s="385">
        <v>605</v>
      </c>
      <c r="C225" s="386"/>
      <c r="D225" s="389"/>
      <c r="E225" s="386"/>
      <c r="F225" s="318"/>
      <c r="G225" s="318"/>
      <c r="H225" s="318"/>
      <c r="I225" s="318"/>
      <c r="J225" s="318"/>
    </row>
    <row r="226" spans="1:10" ht="12.6" customHeight="1">
      <c r="A226" s="398" t="s">
        <v>1344</v>
      </c>
      <c r="B226" s="385">
        <v>610</v>
      </c>
      <c r="C226" s="386"/>
      <c r="D226" s="389"/>
      <c r="E226" s="386"/>
      <c r="F226" s="318"/>
      <c r="G226" s="318"/>
      <c r="H226" s="318"/>
      <c r="I226" s="318"/>
      <c r="J226" s="318"/>
    </row>
    <row r="227" spans="1:10" ht="12.6" customHeight="1">
      <c r="A227" s="398" t="s">
        <v>1345</v>
      </c>
      <c r="B227" s="385">
        <v>615</v>
      </c>
      <c r="C227" s="386"/>
      <c r="D227" s="389"/>
      <c r="E227" s="386"/>
      <c r="F227" s="318"/>
      <c r="G227" s="318"/>
      <c r="H227" s="318"/>
      <c r="I227" s="318"/>
      <c r="J227" s="318"/>
    </row>
    <row r="228" spans="1:10" ht="12.6" customHeight="1">
      <c r="A228" s="398" t="s">
        <v>1346</v>
      </c>
      <c r="B228" s="385">
        <v>620</v>
      </c>
      <c r="C228" s="2571"/>
      <c r="D228" s="390"/>
      <c r="E228" s="386"/>
      <c r="F228" s="318"/>
      <c r="G228" s="318"/>
      <c r="H228" s="318"/>
      <c r="I228" s="318"/>
      <c r="J228" s="318"/>
    </row>
    <row r="229" spans="1:10" ht="12.6" customHeight="1">
      <c r="A229" s="395" t="s">
        <v>1261</v>
      </c>
      <c r="B229" s="376"/>
      <c r="C229" s="2627"/>
      <c r="D229" s="377"/>
      <c r="E229" s="2629"/>
      <c r="F229" s="318"/>
      <c r="G229" s="318"/>
      <c r="H229" s="318"/>
      <c r="I229" s="318"/>
      <c r="J229" s="318"/>
    </row>
    <row r="230" spans="1:10" ht="12.6" customHeight="1">
      <c r="A230" s="396" t="s">
        <v>1309</v>
      </c>
      <c r="B230" s="379"/>
      <c r="C230" s="2628"/>
      <c r="D230" s="380"/>
      <c r="E230" s="2630"/>
      <c r="F230" s="318"/>
      <c r="G230" s="318"/>
      <c r="H230" s="318"/>
      <c r="I230" s="318"/>
      <c r="J230" s="318"/>
    </row>
    <row r="231" spans="1:10" ht="12.6" customHeight="1">
      <c r="A231" s="397" t="s">
        <v>1270</v>
      </c>
      <c r="B231" s="2658">
        <v>622</v>
      </c>
      <c r="C231" s="383"/>
      <c r="D231" s="383"/>
      <c r="E231" s="2631"/>
      <c r="F231" s="318"/>
      <c r="G231" s="318"/>
      <c r="H231" s="318"/>
      <c r="I231" s="318"/>
      <c r="J231" s="318"/>
    </row>
    <row r="232" spans="1:10" ht="12.6" customHeight="1">
      <c r="A232" s="395" t="s">
        <v>1310</v>
      </c>
      <c r="B232" s="2659"/>
      <c r="C232" s="2628"/>
      <c r="D232" s="380"/>
      <c r="E232" s="2629"/>
      <c r="F232" s="318"/>
      <c r="G232" s="318"/>
      <c r="H232" s="318"/>
      <c r="I232" s="318"/>
      <c r="J232" s="318"/>
    </row>
    <row r="233" spans="1:10" ht="12.6" customHeight="1">
      <c r="A233" s="397" t="s">
        <v>1311</v>
      </c>
      <c r="B233" s="2658">
        <v>623</v>
      </c>
      <c r="C233" s="2832"/>
      <c r="D233" s="2691"/>
      <c r="E233" s="2631"/>
      <c r="F233" s="318"/>
      <c r="G233" s="318"/>
      <c r="H233" s="318"/>
      <c r="I233" s="318"/>
      <c r="J233" s="318"/>
    </row>
    <row r="234" spans="1:10" ht="12.6" customHeight="1">
      <c r="A234" s="398" t="s">
        <v>1314</v>
      </c>
      <c r="B234" s="2656">
        <v>626</v>
      </c>
      <c r="C234" s="386"/>
      <c r="D234" s="386"/>
      <c r="E234" s="2626"/>
      <c r="F234" s="318"/>
      <c r="G234" s="318"/>
      <c r="H234" s="318"/>
      <c r="I234" s="318"/>
      <c r="J234" s="318"/>
    </row>
    <row r="235" spans="1:10" ht="12.6" customHeight="1">
      <c r="A235" s="398" t="s">
        <v>1315</v>
      </c>
      <c r="B235" s="2656">
        <v>628</v>
      </c>
      <c r="C235" s="386"/>
      <c r="D235" s="386"/>
      <c r="E235" s="2626"/>
      <c r="F235" s="318"/>
      <c r="G235" s="318"/>
      <c r="H235" s="318"/>
      <c r="I235" s="318"/>
      <c r="J235" s="318"/>
    </row>
    <row r="236" spans="1:10" ht="12.6" customHeight="1">
      <c r="A236" s="397" t="s">
        <v>1419</v>
      </c>
      <c r="B236" s="2656">
        <v>630</v>
      </c>
      <c r="C236" s="386"/>
      <c r="D236" s="386"/>
      <c r="E236" s="2631"/>
      <c r="F236" s="318"/>
      <c r="G236" s="318"/>
      <c r="H236" s="318"/>
      <c r="I236" s="318"/>
      <c r="J236" s="318"/>
    </row>
    <row r="237" spans="1:10" ht="12.6" customHeight="1">
      <c r="A237" s="395" t="s">
        <v>1318</v>
      </c>
      <c r="B237" s="2659">
        <v>632</v>
      </c>
      <c r="C237" s="386"/>
      <c r="D237" s="386"/>
      <c r="E237" s="2632"/>
      <c r="F237" s="318"/>
      <c r="G237" s="318"/>
      <c r="H237" s="318"/>
      <c r="I237" s="318"/>
      <c r="J237" s="318"/>
    </row>
    <row r="238" spans="1:10" ht="12.6" customHeight="1">
      <c r="A238" s="395" t="s">
        <v>1327</v>
      </c>
      <c r="B238" s="2659">
        <v>634</v>
      </c>
      <c r="C238" s="386"/>
      <c r="D238" s="386"/>
      <c r="E238" s="2632"/>
      <c r="F238" s="318"/>
      <c r="G238" s="318"/>
      <c r="H238" s="318"/>
      <c r="I238" s="318"/>
      <c r="J238" s="318"/>
    </row>
    <row r="239" spans="1:10" ht="12.6" customHeight="1">
      <c r="A239" s="395" t="s">
        <v>1337</v>
      </c>
      <c r="B239" s="2659"/>
      <c r="C239" s="2628"/>
      <c r="D239" s="380"/>
      <c r="E239" s="2629"/>
      <c r="F239" s="318"/>
      <c r="G239" s="318"/>
      <c r="H239" s="318"/>
      <c r="I239" s="318"/>
      <c r="J239" s="318"/>
    </row>
    <row r="240" spans="1:10" ht="12.6" customHeight="1">
      <c r="A240" s="397" t="s">
        <v>1338</v>
      </c>
      <c r="B240" s="2658">
        <v>636</v>
      </c>
      <c r="C240" s="383"/>
      <c r="D240" s="383"/>
      <c r="E240" s="2631"/>
      <c r="F240" s="318"/>
      <c r="G240" s="318"/>
      <c r="H240" s="318"/>
      <c r="I240" s="318"/>
      <c r="J240" s="318"/>
    </row>
    <row r="241" spans="1:10" ht="12.6" customHeight="1">
      <c r="A241" s="395" t="s">
        <v>1339</v>
      </c>
      <c r="B241" s="2659"/>
      <c r="C241" s="2628"/>
      <c r="D241" s="380"/>
      <c r="E241" s="2629"/>
      <c r="F241" s="318"/>
      <c r="G241" s="318"/>
      <c r="H241" s="318"/>
      <c r="I241" s="318"/>
      <c r="J241" s="318"/>
    </row>
    <row r="242" spans="1:10" ht="12.6" customHeight="1">
      <c r="A242" s="397" t="s">
        <v>1340</v>
      </c>
      <c r="B242" s="2658">
        <v>638</v>
      </c>
      <c r="C242" s="2832"/>
      <c r="D242" s="2691"/>
      <c r="E242" s="2631"/>
      <c r="F242" s="318"/>
      <c r="G242" s="318"/>
      <c r="H242" s="318"/>
      <c r="I242" s="318"/>
      <c r="J242" s="318"/>
    </row>
    <row r="243" spans="1:10" ht="12.6" customHeight="1">
      <c r="A243" s="398" t="s">
        <v>1341</v>
      </c>
      <c r="B243" s="2656">
        <v>640</v>
      </c>
      <c r="C243" s="386"/>
      <c r="D243" s="386"/>
      <c r="E243" s="2626"/>
      <c r="F243" s="318"/>
      <c r="G243" s="318"/>
      <c r="H243" s="318"/>
      <c r="I243" s="318"/>
      <c r="J243" s="318"/>
    </row>
    <row r="244" spans="1:10" ht="12.6" customHeight="1">
      <c r="A244" s="398" t="s">
        <v>1342</v>
      </c>
      <c r="B244" s="2656">
        <v>642</v>
      </c>
      <c r="C244" s="386"/>
      <c r="D244" s="386"/>
      <c r="E244" s="2626"/>
      <c r="F244" s="318"/>
      <c r="G244" s="318"/>
      <c r="H244" s="318"/>
      <c r="I244" s="318"/>
      <c r="J244" s="318"/>
    </row>
    <row r="245" spans="1:10" ht="12.6" customHeight="1">
      <c r="A245" s="398" t="s">
        <v>1343</v>
      </c>
      <c r="B245" s="2656">
        <v>644</v>
      </c>
      <c r="C245" s="386"/>
      <c r="D245" s="386"/>
      <c r="E245" s="2626"/>
      <c r="F245" s="318"/>
      <c r="G245" s="318"/>
      <c r="H245" s="318"/>
      <c r="I245" s="318"/>
      <c r="J245" s="318"/>
    </row>
    <row r="246" spans="1:10" ht="12.6" customHeight="1">
      <c r="A246" s="398" t="s">
        <v>1344</v>
      </c>
      <c r="B246" s="2656">
        <v>646</v>
      </c>
      <c r="C246" s="386"/>
      <c r="D246" s="386"/>
      <c r="E246" s="2626"/>
      <c r="F246" s="318"/>
      <c r="G246" s="318"/>
      <c r="H246" s="318"/>
      <c r="I246" s="318"/>
      <c r="J246" s="318"/>
    </row>
    <row r="247" spans="1:10" ht="12.6" customHeight="1">
      <c r="A247" s="398" t="s">
        <v>1345</v>
      </c>
      <c r="B247" s="2656">
        <v>648</v>
      </c>
      <c r="C247" s="386"/>
      <c r="D247" s="386"/>
      <c r="E247" s="2626"/>
      <c r="F247" s="318"/>
      <c r="G247" s="318"/>
      <c r="H247" s="318"/>
      <c r="I247" s="318"/>
      <c r="J247" s="318"/>
    </row>
    <row r="248" spans="1:10" ht="12.6" customHeight="1">
      <c r="A248" s="398" t="s">
        <v>1346</v>
      </c>
      <c r="B248" s="2656">
        <v>650</v>
      </c>
      <c r="C248" s="386"/>
      <c r="D248" s="386"/>
      <c r="E248" s="2626"/>
      <c r="F248" s="318"/>
      <c r="G248" s="318"/>
      <c r="H248" s="318"/>
      <c r="I248" s="318"/>
      <c r="J248" s="318"/>
    </row>
    <row r="249" spans="1:10" ht="12.6" customHeight="1">
      <c r="A249" s="372"/>
      <c r="B249" s="371"/>
      <c r="C249" s="372"/>
      <c r="D249" s="372"/>
      <c r="E249" s="372"/>
      <c r="F249" s="318"/>
      <c r="G249" s="318"/>
      <c r="H249" s="318"/>
      <c r="I249" s="318"/>
      <c r="J249" s="318"/>
    </row>
    <row r="250" spans="1:10" ht="12.6" customHeight="1">
      <c r="A250" s="314"/>
      <c r="B250" s="315" t="s">
        <v>1019</v>
      </c>
      <c r="C250" s="316">
        <f>C1</f>
        <v>270</v>
      </c>
      <c r="D250" s="314"/>
      <c r="E250" s="317" t="s">
        <v>1020</v>
      </c>
      <c r="F250" s="318"/>
      <c r="G250" s="318"/>
      <c r="H250" s="318"/>
      <c r="I250" s="318"/>
      <c r="J250" s="318"/>
    </row>
    <row r="251" spans="1:10" ht="12.6" customHeight="1">
      <c r="A251" s="314"/>
      <c r="B251" s="315"/>
      <c r="C251" s="314"/>
      <c r="D251" s="314"/>
      <c r="E251" s="317" t="s">
        <v>1212</v>
      </c>
      <c r="F251" s="318"/>
      <c r="G251" s="318"/>
      <c r="H251" s="318"/>
      <c r="I251" s="318"/>
      <c r="J251" s="318"/>
    </row>
    <row r="252" spans="1:10" ht="12.6" customHeight="1">
      <c r="A252" s="314"/>
      <c r="B252" s="315"/>
      <c r="C252" s="314"/>
      <c r="D252" s="314"/>
      <c r="E252" s="317" t="str">
        <f>E6</f>
        <v>2016-2017</v>
      </c>
      <c r="F252" s="318"/>
      <c r="G252" s="318"/>
      <c r="H252" s="318"/>
      <c r="I252" s="318"/>
      <c r="J252" s="318"/>
    </row>
    <row r="253" spans="1:10" ht="12.6" customHeight="1">
      <c r="A253" s="314"/>
      <c r="B253" s="315"/>
      <c r="C253" s="314"/>
      <c r="D253" s="314"/>
      <c r="E253" s="314"/>
      <c r="F253" s="318"/>
      <c r="G253" s="318"/>
      <c r="H253" s="318"/>
      <c r="I253" s="318"/>
      <c r="J253" s="318"/>
    </row>
    <row r="254" spans="1:10" ht="12.6" customHeight="1">
      <c r="A254" s="314"/>
      <c r="B254" s="315"/>
      <c r="C254" s="320" t="s">
        <v>1213</v>
      </c>
      <c r="D254" s="320" t="s">
        <v>1213</v>
      </c>
      <c r="E254" s="320" t="s">
        <v>1213</v>
      </c>
      <c r="F254" s="318"/>
      <c r="G254" s="318"/>
      <c r="H254" s="318"/>
      <c r="I254" s="318"/>
      <c r="J254" s="318"/>
    </row>
    <row r="255" spans="1:10" ht="12.6" customHeight="1">
      <c r="A255" s="314"/>
      <c r="B255" s="323" t="s">
        <v>1045</v>
      </c>
      <c r="C255" s="324" t="str">
        <f>C6</f>
        <v>2014-2015</v>
      </c>
      <c r="D255" s="324" t="str">
        <f>D6</f>
        <v>2015-2016</v>
      </c>
      <c r="E255" s="324" t="str">
        <f>E6</f>
        <v>2016-2017</v>
      </c>
      <c r="F255" s="318"/>
      <c r="G255" s="318"/>
      <c r="H255" s="318"/>
      <c r="I255" s="318"/>
      <c r="J255" s="318"/>
    </row>
    <row r="256" spans="1:10" ht="12.6" customHeight="1">
      <c r="A256" s="326" t="s">
        <v>1266</v>
      </c>
      <c r="B256" s="327">
        <v>6</v>
      </c>
      <c r="C256" s="328" t="s">
        <v>1139</v>
      </c>
      <c r="D256" s="328" t="s">
        <v>1139</v>
      </c>
      <c r="E256" s="328" t="s">
        <v>1215</v>
      </c>
      <c r="F256" s="318"/>
      <c r="G256" s="318"/>
      <c r="H256" s="318"/>
      <c r="I256" s="318"/>
      <c r="J256" s="318"/>
    </row>
    <row r="257" spans="1:10" ht="12.6" customHeight="1">
      <c r="A257" s="329"/>
      <c r="B257" s="330" t="s">
        <v>1051</v>
      </c>
      <c r="C257" s="2635">
        <v>1</v>
      </c>
      <c r="D257" s="2635">
        <v>2</v>
      </c>
      <c r="E257" s="331">
        <v>3</v>
      </c>
      <c r="F257" s="318"/>
      <c r="G257" s="318"/>
      <c r="H257" s="318"/>
      <c r="I257" s="318"/>
      <c r="J257" s="318"/>
    </row>
    <row r="258" spans="1:10" ht="12.6" customHeight="1">
      <c r="A258" s="1311" t="s">
        <v>694</v>
      </c>
      <c r="B258" s="1312"/>
      <c r="C258" s="2636"/>
      <c r="D258" s="1315"/>
      <c r="E258" s="2633"/>
      <c r="F258" s="318"/>
      <c r="G258" s="318"/>
      <c r="H258" s="318"/>
      <c r="I258" s="318"/>
      <c r="J258" s="318"/>
    </row>
    <row r="259" spans="1:10" ht="12.6" customHeight="1">
      <c r="A259" s="1316" t="s">
        <v>791</v>
      </c>
      <c r="B259" s="1317"/>
      <c r="C259" s="2637"/>
      <c r="D259" s="1318"/>
      <c r="E259" s="2634"/>
      <c r="F259" s="318"/>
      <c r="G259" s="318"/>
      <c r="H259" s="318"/>
      <c r="I259" s="318"/>
      <c r="J259" s="318"/>
    </row>
    <row r="260" spans="1:10" ht="12.6" customHeight="1">
      <c r="A260" s="1316" t="s">
        <v>1268</v>
      </c>
      <c r="B260" s="1317"/>
      <c r="C260" s="2637"/>
      <c r="D260" s="1318"/>
      <c r="E260" s="2634"/>
      <c r="F260" s="318"/>
      <c r="G260" s="318"/>
      <c r="H260" s="318"/>
      <c r="I260" s="318"/>
      <c r="J260" s="318"/>
    </row>
    <row r="261" spans="1:10" ht="12.6" customHeight="1">
      <c r="A261" s="1313" t="s">
        <v>677</v>
      </c>
      <c r="B261" s="2660">
        <v>652</v>
      </c>
      <c r="C261" s="1319"/>
      <c r="D261" s="1319"/>
      <c r="E261" s="2638"/>
      <c r="F261" s="318"/>
      <c r="G261" s="318"/>
      <c r="H261" s="318"/>
      <c r="I261" s="318"/>
      <c r="J261" s="318"/>
    </row>
    <row r="262" spans="1:10" ht="12.6" customHeight="1">
      <c r="A262" s="1309" t="s">
        <v>1271</v>
      </c>
      <c r="B262" s="2661"/>
      <c r="C262" s="2637"/>
      <c r="D262" s="1318"/>
      <c r="E262" s="2633"/>
      <c r="F262" s="318"/>
      <c r="G262" s="318"/>
      <c r="H262" s="318"/>
      <c r="I262" s="318"/>
      <c r="J262" s="318"/>
    </row>
    <row r="263" spans="1:10" ht="12.6" customHeight="1">
      <c r="A263" s="1310" t="s">
        <v>353</v>
      </c>
      <c r="B263" s="2662">
        <v>654</v>
      </c>
      <c r="C263" s="2836"/>
      <c r="D263" s="2692"/>
      <c r="E263" s="2638"/>
      <c r="F263" s="318"/>
      <c r="G263" s="318"/>
      <c r="H263" s="318"/>
      <c r="I263" s="318"/>
      <c r="J263" s="318"/>
    </row>
    <row r="264" spans="1:10" ht="12.6" customHeight="1">
      <c r="A264" s="1313" t="s">
        <v>1273</v>
      </c>
      <c r="B264" s="2660">
        <v>656</v>
      </c>
      <c r="C264" s="2530"/>
      <c r="D264" s="2530"/>
      <c r="E264" s="2638"/>
      <c r="F264" s="318"/>
      <c r="G264" s="318"/>
      <c r="H264" s="318"/>
      <c r="I264" s="318"/>
      <c r="J264" s="318"/>
    </row>
    <row r="265" spans="1:10" ht="12.6" customHeight="1">
      <c r="A265" s="1314" t="s">
        <v>1276</v>
      </c>
      <c r="B265" s="2663">
        <v>658</v>
      </c>
      <c r="C265" s="2530"/>
      <c r="D265" s="2530"/>
      <c r="E265" s="2639"/>
      <c r="F265" s="318"/>
      <c r="G265" s="318"/>
      <c r="H265" s="318"/>
      <c r="I265" s="318"/>
      <c r="J265" s="318"/>
    </row>
    <row r="266" spans="1:10" ht="12.6" customHeight="1">
      <c r="A266" s="1314" t="s">
        <v>1288</v>
      </c>
      <c r="B266" s="2663">
        <v>660</v>
      </c>
      <c r="C266" s="2530"/>
      <c r="D266" s="2530"/>
      <c r="E266" s="2639"/>
      <c r="F266" s="318"/>
      <c r="G266" s="318"/>
      <c r="H266" s="318"/>
      <c r="I266" s="318"/>
      <c r="J266" s="318"/>
    </row>
    <row r="267" spans="1:10" ht="12.6" customHeight="1">
      <c r="A267" s="1313" t="s">
        <v>728</v>
      </c>
      <c r="B267" s="2660">
        <v>662</v>
      </c>
      <c r="C267" s="2530"/>
      <c r="D267" s="2530"/>
      <c r="E267" s="2638"/>
      <c r="F267" s="318"/>
      <c r="G267" s="318"/>
      <c r="H267" s="318"/>
      <c r="I267" s="318"/>
      <c r="J267" s="318"/>
    </row>
    <row r="268" spans="1:10" ht="12.6" customHeight="1">
      <c r="A268" s="1314" t="s">
        <v>1293</v>
      </c>
      <c r="B268" s="2663">
        <v>664</v>
      </c>
      <c r="C268" s="2530"/>
      <c r="D268" s="2530"/>
      <c r="E268" s="2639"/>
      <c r="F268" s="318"/>
      <c r="G268" s="318"/>
      <c r="H268" s="318"/>
      <c r="I268" s="318"/>
      <c r="J268" s="318"/>
    </row>
    <row r="269" spans="1:10" ht="12.6" customHeight="1">
      <c r="A269" s="1311" t="s">
        <v>792</v>
      </c>
      <c r="B269" s="2664"/>
      <c r="C269" s="2637"/>
      <c r="D269" s="1318"/>
      <c r="E269" s="2633"/>
      <c r="F269" s="318"/>
      <c r="G269" s="318"/>
      <c r="H269" s="318"/>
      <c r="I269" s="318"/>
      <c r="J269" s="318"/>
    </row>
    <row r="270" spans="1:10" ht="12.6" customHeight="1">
      <c r="A270" s="1316" t="s">
        <v>1268</v>
      </c>
      <c r="B270" s="2665"/>
      <c r="C270" s="2637"/>
      <c r="D270" s="1318"/>
      <c r="E270" s="2634"/>
      <c r="F270" s="318"/>
      <c r="G270" s="318"/>
      <c r="H270" s="318"/>
      <c r="I270" s="318"/>
      <c r="J270" s="318"/>
    </row>
    <row r="271" spans="1:10" ht="12.6" customHeight="1">
      <c r="A271" s="1313" t="s">
        <v>677</v>
      </c>
      <c r="B271" s="2660">
        <v>666</v>
      </c>
      <c r="C271" s="1319">
        <v>28230</v>
      </c>
      <c r="D271" s="1319">
        <v>25918</v>
      </c>
      <c r="E271" s="2638">
        <v>31575</v>
      </c>
      <c r="F271" s="318"/>
      <c r="G271" s="318"/>
      <c r="H271" s="318"/>
      <c r="I271" s="318"/>
      <c r="J271" s="318"/>
    </row>
    <row r="272" spans="1:10" ht="12.6" customHeight="1">
      <c r="A272" s="1311" t="s">
        <v>1271</v>
      </c>
      <c r="B272" s="2664"/>
      <c r="C272" s="2637"/>
      <c r="D272" s="1318"/>
      <c r="E272" s="2633"/>
      <c r="F272" s="318"/>
      <c r="G272" s="318"/>
      <c r="H272" s="318"/>
      <c r="I272" s="318"/>
      <c r="J272" s="318"/>
    </row>
    <row r="273" spans="1:10" ht="12.6" customHeight="1">
      <c r="A273" s="1313" t="s">
        <v>353</v>
      </c>
      <c r="B273" s="2660">
        <v>668</v>
      </c>
      <c r="C273" s="2836"/>
      <c r="D273" s="2692"/>
      <c r="E273" s="2638"/>
      <c r="F273" s="318"/>
      <c r="G273" s="318"/>
      <c r="H273" s="318"/>
      <c r="I273" s="318"/>
      <c r="J273" s="318"/>
    </row>
    <row r="274" spans="1:10" ht="12.6" customHeight="1">
      <c r="A274" s="1314" t="s">
        <v>1273</v>
      </c>
      <c r="B274" s="2663">
        <v>670</v>
      </c>
      <c r="C274" s="2530">
        <v>4015</v>
      </c>
      <c r="D274" s="2530">
        <v>3374</v>
      </c>
      <c r="E274" s="2639">
        <v>4500</v>
      </c>
      <c r="F274" s="318"/>
      <c r="G274" s="318"/>
      <c r="H274" s="318"/>
      <c r="I274" s="318"/>
      <c r="J274" s="318"/>
    </row>
    <row r="275" spans="1:10" ht="12.6" customHeight="1">
      <c r="A275" s="1313" t="s">
        <v>1276</v>
      </c>
      <c r="B275" s="2660">
        <v>672</v>
      </c>
      <c r="C275" s="2530">
        <v>2255</v>
      </c>
      <c r="D275" s="2530">
        <v>922</v>
      </c>
      <c r="E275" s="2638">
        <v>1500</v>
      </c>
      <c r="F275" s="318"/>
      <c r="G275" s="318"/>
      <c r="H275" s="318"/>
      <c r="I275" s="318"/>
      <c r="J275" s="318"/>
    </row>
    <row r="276" spans="1:10" ht="12.6" customHeight="1">
      <c r="A276" s="1314" t="s">
        <v>729</v>
      </c>
      <c r="B276" s="2663">
        <v>674</v>
      </c>
      <c r="C276" s="2530"/>
      <c r="D276" s="2530"/>
      <c r="E276" s="2639"/>
      <c r="F276" s="318"/>
      <c r="G276" s="318"/>
      <c r="H276" s="318"/>
      <c r="I276" s="318"/>
      <c r="J276" s="318"/>
    </row>
    <row r="277" spans="1:10" ht="12.6" customHeight="1">
      <c r="A277" s="1311" t="s">
        <v>1282</v>
      </c>
      <c r="B277" s="2664"/>
      <c r="C277" s="2637"/>
      <c r="D277" s="1318"/>
      <c r="E277" s="2633"/>
      <c r="F277" s="318"/>
      <c r="G277" s="318"/>
      <c r="H277" s="318"/>
      <c r="I277" s="318"/>
      <c r="J277" s="318"/>
    </row>
    <row r="278" spans="1:10" ht="12.6" customHeight="1">
      <c r="A278" s="1313" t="s">
        <v>1389</v>
      </c>
      <c r="B278" s="2660">
        <v>676</v>
      </c>
      <c r="C278" s="2836"/>
      <c r="D278" s="2692"/>
      <c r="E278" s="2638"/>
      <c r="F278" s="318"/>
      <c r="G278" s="318"/>
      <c r="H278" s="318"/>
      <c r="I278" s="318"/>
      <c r="J278" s="318"/>
    </row>
    <row r="279" spans="1:10" ht="12.6" customHeight="1">
      <c r="A279" s="1314" t="s">
        <v>1390</v>
      </c>
      <c r="B279" s="2663">
        <v>678</v>
      </c>
      <c r="C279" s="2530"/>
      <c r="D279" s="2530"/>
      <c r="E279" s="2639"/>
      <c r="F279" s="318"/>
      <c r="G279" s="318"/>
      <c r="H279" s="318"/>
      <c r="I279" s="318"/>
      <c r="J279" s="318"/>
    </row>
    <row r="280" spans="1:10" ht="12.6" customHeight="1">
      <c r="A280" s="1314" t="s">
        <v>1304</v>
      </c>
      <c r="B280" s="2663">
        <v>680</v>
      </c>
      <c r="C280" s="2530"/>
      <c r="D280" s="2530">
        <v>9105</v>
      </c>
      <c r="E280" s="2639">
        <v>10000</v>
      </c>
      <c r="F280" s="318"/>
      <c r="G280" s="318"/>
      <c r="H280" s="318"/>
      <c r="I280" s="318"/>
      <c r="J280" s="318"/>
    </row>
    <row r="281" spans="1:10" ht="12.6" customHeight="1">
      <c r="A281" s="1314" t="s">
        <v>730</v>
      </c>
      <c r="B281" s="2663">
        <v>682</v>
      </c>
      <c r="C281" s="2530">
        <v>1041</v>
      </c>
      <c r="D281" s="2530">
        <v>865</v>
      </c>
      <c r="E281" s="2639">
        <v>1000</v>
      </c>
      <c r="F281" s="318"/>
      <c r="G281" s="318"/>
      <c r="H281" s="318"/>
      <c r="I281" s="318"/>
      <c r="J281" s="318"/>
    </row>
    <row r="282" spans="1:10" ht="12.6" customHeight="1">
      <c r="A282" s="1314" t="s">
        <v>731</v>
      </c>
      <c r="B282" s="2663">
        <v>684</v>
      </c>
      <c r="C282" s="2530"/>
      <c r="D282" s="2530"/>
      <c r="E282" s="2639"/>
      <c r="F282" s="318"/>
      <c r="G282" s="318"/>
      <c r="H282" s="318"/>
      <c r="I282" s="318"/>
      <c r="J282" s="318"/>
    </row>
    <row r="283" spans="1:10" ht="12.6" customHeight="1">
      <c r="A283" s="1314" t="s">
        <v>1293</v>
      </c>
      <c r="B283" s="2663">
        <v>686</v>
      </c>
      <c r="C283" s="2530"/>
      <c r="D283" s="2530"/>
      <c r="E283" s="2639"/>
      <c r="F283" s="318"/>
      <c r="G283" s="318"/>
      <c r="H283" s="318"/>
      <c r="I283" s="318"/>
      <c r="J283" s="318"/>
    </row>
    <row r="284" spans="1:10" ht="12.6" customHeight="1">
      <c r="A284" s="1311" t="s">
        <v>793</v>
      </c>
      <c r="B284" s="2664"/>
      <c r="C284" s="2637"/>
      <c r="D284" s="1318"/>
      <c r="E284" s="2633"/>
      <c r="F284" s="318"/>
      <c r="G284" s="318"/>
      <c r="H284" s="318"/>
      <c r="I284" s="318"/>
      <c r="J284" s="318"/>
    </row>
    <row r="285" spans="1:10" ht="12.6" customHeight="1">
      <c r="A285" s="1316" t="s">
        <v>1268</v>
      </c>
      <c r="B285" s="2665"/>
      <c r="C285" s="2637"/>
      <c r="D285" s="1318"/>
      <c r="E285" s="2634"/>
      <c r="F285" s="318"/>
      <c r="G285" s="318"/>
      <c r="H285" s="318"/>
      <c r="I285" s="318"/>
      <c r="J285" s="318"/>
    </row>
    <row r="286" spans="1:10" ht="12.6" customHeight="1">
      <c r="A286" s="1313" t="s">
        <v>674</v>
      </c>
      <c r="B286" s="2660">
        <v>688</v>
      </c>
      <c r="C286" s="1319">
        <v>20068</v>
      </c>
      <c r="D286" s="1319">
        <v>18194</v>
      </c>
      <c r="E286" s="2638">
        <v>22000</v>
      </c>
      <c r="F286" s="318"/>
      <c r="G286" s="318"/>
      <c r="H286" s="318"/>
      <c r="I286" s="318"/>
      <c r="J286" s="318"/>
    </row>
    <row r="287" spans="1:10" ht="12.6" customHeight="1">
      <c r="A287" s="1311" t="s">
        <v>1271</v>
      </c>
      <c r="B287" s="2664"/>
      <c r="C287" s="2637"/>
      <c r="D287" s="1318"/>
      <c r="E287" s="2633"/>
      <c r="F287" s="318"/>
      <c r="G287" s="318"/>
      <c r="H287" s="318"/>
      <c r="I287" s="318"/>
      <c r="J287" s="318"/>
    </row>
    <row r="288" spans="1:10" ht="12.6" customHeight="1">
      <c r="A288" s="1313" t="s">
        <v>353</v>
      </c>
      <c r="B288" s="2660">
        <v>690</v>
      </c>
      <c r="C288" s="2836"/>
      <c r="D288" s="2692"/>
      <c r="E288" s="2638"/>
      <c r="F288" s="318"/>
      <c r="G288" s="318"/>
      <c r="H288" s="318"/>
      <c r="I288" s="318"/>
      <c r="J288" s="318"/>
    </row>
    <row r="289" spans="1:10" ht="12.6" customHeight="1">
      <c r="A289" s="1313" t="s">
        <v>1273</v>
      </c>
      <c r="B289" s="2660">
        <v>692</v>
      </c>
      <c r="C289" s="2530"/>
      <c r="D289" s="2530"/>
      <c r="E289" s="2638"/>
      <c r="F289" s="318"/>
      <c r="G289" s="318"/>
      <c r="H289" s="318"/>
      <c r="I289" s="318"/>
      <c r="J289" s="318"/>
    </row>
    <row r="290" spans="1:10" ht="12.6" customHeight="1">
      <c r="A290" s="1314" t="s">
        <v>1276</v>
      </c>
      <c r="B290" s="2663">
        <v>694</v>
      </c>
      <c r="C290" s="2530"/>
      <c r="D290" s="2530"/>
      <c r="E290" s="2639"/>
      <c r="F290" s="318"/>
      <c r="G290" s="318"/>
      <c r="H290" s="318"/>
      <c r="I290" s="318"/>
      <c r="J290" s="318"/>
    </row>
    <row r="291" spans="1:10" ht="12.6" customHeight="1">
      <c r="A291" s="1314" t="s">
        <v>673</v>
      </c>
      <c r="B291" s="2663">
        <v>696</v>
      </c>
      <c r="C291" s="2530">
        <v>4406</v>
      </c>
      <c r="D291" s="2530">
        <v>10845</v>
      </c>
      <c r="E291" s="2639">
        <v>10000</v>
      </c>
      <c r="F291" s="318"/>
      <c r="G291" s="318"/>
      <c r="H291" s="318"/>
      <c r="I291" s="318"/>
      <c r="J291" s="318"/>
    </row>
    <row r="292" spans="1:10" ht="12.6" customHeight="1">
      <c r="A292" s="1313" t="s">
        <v>1303</v>
      </c>
      <c r="B292" s="2660">
        <v>698</v>
      </c>
      <c r="C292" s="2530"/>
      <c r="D292" s="2530"/>
      <c r="E292" s="2638"/>
      <c r="F292" s="318"/>
      <c r="G292" s="318"/>
      <c r="H292" s="318"/>
      <c r="I292" s="318"/>
      <c r="J292" s="318"/>
    </row>
    <row r="293" spans="1:10" ht="12.6" customHeight="1">
      <c r="A293" s="1314" t="s">
        <v>1282</v>
      </c>
      <c r="B293" s="2663">
        <v>700</v>
      </c>
      <c r="C293" s="2530">
        <v>190</v>
      </c>
      <c r="D293" s="2530">
        <v>225</v>
      </c>
      <c r="E293" s="2639">
        <v>600</v>
      </c>
      <c r="F293" s="318"/>
      <c r="G293" s="318"/>
      <c r="H293" s="318"/>
      <c r="I293" s="318"/>
      <c r="J293" s="318"/>
    </row>
    <row r="294" spans="1:10" ht="12.6" customHeight="1">
      <c r="A294" s="1314" t="s">
        <v>1288</v>
      </c>
      <c r="B294" s="2663">
        <v>702</v>
      </c>
      <c r="C294" s="2530">
        <v>3685</v>
      </c>
      <c r="D294" s="2530">
        <v>6318</v>
      </c>
      <c r="E294" s="2639">
        <v>11000</v>
      </c>
      <c r="F294" s="318"/>
      <c r="G294" s="318"/>
      <c r="H294" s="318"/>
      <c r="I294" s="318"/>
      <c r="J294" s="318"/>
    </row>
    <row r="295" spans="1:10" ht="12.6" customHeight="1">
      <c r="A295" s="1314" t="s">
        <v>728</v>
      </c>
      <c r="B295" s="2663">
        <v>704</v>
      </c>
      <c r="C295" s="2530"/>
      <c r="D295" s="2530"/>
      <c r="E295" s="2639"/>
      <c r="F295" s="318"/>
      <c r="G295" s="318"/>
      <c r="H295" s="318"/>
      <c r="I295" s="318"/>
      <c r="J295" s="318"/>
    </row>
    <row r="296" spans="1:10" ht="12.6" customHeight="1">
      <c r="A296" s="1314" t="s">
        <v>1293</v>
      </c>
      <c r="B296" s="2663">
        <v>706</v>
      </c>
      <c r="C296" s="2530"/>
      <c r="D296" s="2530"/>
      <c r="E296" s="2639"/>
      <c r="F296" s="318"/>
      <c r="G296" s="318"/>
      <c r="H296" s="318"/>
      <c r="I296" s="318"/>
      <c r="J296" s="318"/>
    </row>
    <row r="297" spans="1:10" ht="12.6" customHeight="1">
      <c r="A297" s="1311" t="s">
        <v>732</v>
      </c>
      <c r="B297" s="2664"/>
      <c r="C297" s="2637"/>
      <c r="D297" s="1318"/>
      <c r="E297" s="2633"/>
      <c r="F297" s="318"/>
      <c r="G297" s="318"/>
      <c r="H297" s="318"/>
      <c r="I297" s="318"/>
      <c r="J297" s="318"/>
    </row>
    <row r="298" spans="1:10" ht="12.6" customHeight="1">
      <c r="A298" s="1316" t="s">
        <v>1268</v>
      </c>
      <c r="B298" s="2665"/>
      <c r="C298" s="2637"/>
      <c r="D298" s="1318"/>
      <c r="E298" s="2634"/>
      <c r="F298" s="318"/>
      <c r="G298" s="318"/>
      <c r="H298" s="318"/>
      <c r="I298" s="318"/>
      <c r="J298" s="318"/>
    </row>
    <row r="299" spans="1:10" ht="12.6" customHeight="1">
      <c r="A299" s="1313" t="s">
        <v>358</v>
      </c>
      <c r="B299" s="2660">
        <v>708</v>
      </c>
      <c r="C299" s="1319"/>
      <c r="D299" s="1319"/>
      <c r="E299" s="2638"/>
      <c r="F299" s="318"/>
      <c r="G299" s="318"/>
      <c r="H299" s="318"/>
      <c r="I299" s="318"/>
      <c r="J299" s="318"/>
    </row>
    <row r="300" spans="1:10" ht="12.6" customHeight="1">
      <c r="A300" s="1311" t="s">
        <v>1271</v>
      </c>
      <c r="B300" s="2664"/>
      <c r="C300" s="2637"/>
      <c r="D300" s="1318"/>
      <c r="E300" s="2633"/>
      <c r="F300" s="318"/>
      <c r="G300" s="318"/>
      <c r="H300" s="318"/>
      <c r="I300" s="318"/>
      <c r="J300" s="318"/>
    </row>
    <row r="301" spans="1:10" ht="12.6" customHeight="1">
      <c r="A301" s="1313" t="s">
        <v>353</v>
      </c>
      <c r="B301" s="2660">
        <v>710</v>
      </c>
      <c r="C301" s="2836"/>
      <c r="D301" s="2692"/>
      <c r="E301" s="2638"/>
      <c r="F301" s="318"/>
      <c r="G301" s="318"/>
      <c r="H301" s="318"/>
      <c r="I301" s="318"/>
      <c r="J301" s="318"/>
    </row>
    <row r="302" spans="1:10" ht="12.6" customHeight="1">
      <c r="A302" s="1313" t="s">
        <v>1273</v>
      </c>
      <c r="B302" s="2660">
        <v>712</v>
      </c>
      <c r="C302" s="2530"/>
      <c r="D302" s="2530"/>
      <c r="E302" s="2638"/>
      <c r="F302" s="318"/>
      <c r="G302" s="318"/>
      <c r="H302" s="318"/>
      <c r="I302" s="318"/>
      <c r="J302" s="318"/>
    </row>
    <row r="303" spans="1:10" ht="12.6" customHeight="1">
      <c r="A303" s="1314" t="s">
        <v>1276</v>
      </c>
      <c r="B303" s="2663">
        <v>714</v>
      </c>
      <c r="C303" s="2530"/>
      <c r="D303" s="2530"/>
      <c r="E303" s="2639"/>
      <c r="F303" s="318"/>
      <c r="G303" s="318"/>
      <c r="H303" s="318"/>
      <c r="I303" s="318"/>
      <c r="J303" s="318"/>
    </row>
    <row r="304" spans="1:10" ht="12.6" customHeight="1">
      <c r="A304" s="1311" t="s">
        <v>673</v>
      </c>
      <c r="B304" s="2664">
        <v>716</v>
      </c>
      <c r="C304" s="2530"/>
      <c r="D304" s="2530"/>
      <c r="E304" s="2640"/>
      <c r="F304" s="318"/>
      <c r="G304" s="318"/>
      <c r="H304" s="318"/>
      <c r="I304" s="318"/>
      <c r="J304" s="318"/>
    </row>
    <row r="305" spans="1:10" ht="12.6" customHeight="1">
      <c r="A305" s="1308" t="s">
        <v>1303</v>
      </c>
      <c r="B305" s="2666">
        <v>718</v>
      </c>
      <c r="C305" s="2530"/>
      <c r="D305" s="2530"/>
      <c r="E305" s="2639"/>
      <c r="F305" s="318"/>
      <c r="G305" s="318"/>
      <c r="H305" s="318"/>
      <c r="I305" s="318"/>
      <c r="J305" s="318"/>
    </row>
    <row r="306" spans="1:10" ht="12.6" customHeight="1">
      <c r="A306" s="1308" t="s">
        <v>1282</v>
      </c>
      <c r="B306" s="2666">
        <v>720</v>
      </c>
      <c r="C306" s="2530"/>
      <c r="D306" s="2530"/>
      <c r="E306" s="2639"/>
      <c r="F306" s="318"/>
      <c r="G306" s="318"/>
      <c r="H306" s="318"/>
      <c r="I306" s="318"/>
      <c r="J306" s="318"/>
    </row>
    <row r="307" spans="1:10" ht="12.6" customHeight="1">
      <c r="A307" s="1308" t="s">
        <v>1288</v>
      </c>
      <c r="B307" s="2666">
        <v>722</v>
      </c>
      <c r="C307" s="2530"/>
      <c r="D307" s="2530"/>
      <c r="E307" s="2639"/>
      <c r="F307" s="318"/>
      <c r="G307" s="318"/>
      <c r="H307" s="318"/>
      <c r="I307" s="318"/>
      <c r="J307" s="318"/>
    </row>
    <row r="308" spans="1:10" ht="12.6" customHeight="1">
      <c r="A308" s="1308" t="s">
        <v>728</v>
      </c>
      <c r="B308" s="2666">
        <v>724</v>
      </c>
      <c r="C308" s="2530"/>
      <c r="D308" s="2530"/>
      <c r="E308" s="2639"/>
      <c r="F308" s="318"/>
      <c r="G308" s="318"/>
      <c r="H308" s="318"/>
      <c r="I308" s="318"/>
      <c r="J308" s="318"/>
    </row>
    <row r="309" spans="1:10" ht="12.6" customHeight="1">
      <c r="A309" s="1308" t="s">
        <v>1293</v>
      </c>
      <c r="B309" s="2666">
        <v>726</v>
      </c>
      <c r="C309" s="2530"/>
      <c r="D309" s="2530"/>
      <c r="E309" s="2639"/>
      <c r="F309" s="318"/>
      <c r="G309" s="318"/>
      <c r="H309" s="318"/>
      <c r="I309" s="318"/>
      <c r="J309" s="318"/>
    </row>
    <row r="310" spans="1:10" ht="12.6" customHeight="1">
      <c r="A310" s="5279"/>
      <c r="B310" s="5279"/>
      <c r="C310" s="5279"/>
      <c r="D310" s="5279"/>
      <c r="E310" s="5279"/>
      <c r="F310" s="318"/>
      <c r="G310" s="318"/>
      <c r="H310" s="318"/>
      <c r="I310" s="318"/>
      <c r="J310" s="318"/>
    </row>
    <row r="311" spans="1:10" ht="12.6" customHeight="1">
      <c r="A311" s="314"/>
      <c r="B311" s="315" t="s">
        <v>1019</v>
      </c>
      <c r="C311" s="316">
        <f>C1</f>
        <v>270</v>
      </c>
      <c r="D311" s="314"/>
      <c r="E311" s="317" t="s">
        <v>1020</v>
      </c>
      <c r="F311" s="318"/>
      <c r="G311" s="318"/>
      <c r="H311" s="318"/>
      <c r="I311" s="318"/>
      <c r="J311" s="318"/>
    </row>
    <row r="312" spans="1:10" ht="12.6" customHeight="1">
      <c r="A312" s="314"/>
      <c r="B312" s="315"/>
      <c r="C312" s="314"/>
      <c r="D312" s="314"/>
      <c r="E312" s="317" t="s">
        <v>1212</v>
      </c>
      <c r="F312" s="318"/>
      <c r="G312" s="318"/>
      <c r="H312" s="318"/>
      <c r="I312" s="318"/>
      <c r="J312" s="318"/>
    </row>
    <row r="313" spans="1:10" ht="12.6" customHeight="1">
      <c r="A313" s="314"/>
      <c r="B313" s="315"/>
      <c r="C313" s="314"/>
      <c r="D313" s="314"/>
      <c r="E313" s="317" t="str">
        <f>E6</f>
        <v>2016-2017</v>
      </c>
      <c r="F313" s="318"/>
      <c r="G313" s="318"/>
      <c r="H313" s="318"/>
      <c r="I313" s="318"/>
      <c r="J313" s="318"/>
    </row>
    <row r="314" spans="1:10" ht="12.6" customHeight="1">
      <c r="A314" s="314"/>
      <c r="B314" s="315"/>
      <c r="C314" s="314"/>
      <c r="D314" s="314"/>
      <c r="E314" s="314"/>
      <c r="F314" s="318"/>
      <c r="G314" s="318"/>
      <c r="H314" s="318"/>
      <c r="I314" s="318"/>
      <c r="J314" s="318"/>
    </row>
    <row r="315" spans="1:10" ht="12.6" customHeight="1">
      <c r="A315" s="314"/>
      <c r="B315" s="315"/>
      <c r="C315" s="320" t="s">
        <v>1213</v>
      </c>
      <c r="D315" s="320" t="s">
        <v>1213</v>
      </c>
      <c r="E315" s="320" t="s">
        <v>1213</v>
      </c>
      <c r="F315" s="318"/>
      <c r="G315" s="318"/>
      <c r="H315" s="318"/>
      <c r="I315" s="318"/>
      <c r="J315" s="318"/>
    </row>
    <row r="316" spans="1:10" ht="12.6" customHeight="1">
      <c r="A316" s="314"/>
      <c r="B316" s="323" t="s">
        <v>1045</v>
      </c>
      <c r="C316" s="324" t="str">
        <f>C6</f>
        <v>2014-2015</v>
      </c>
      <c r="D316" s="324" t="str">
        <f>D6</f>
        <v>2015-2016</v>
      </c>
      <c r="E316" s="324" t="str">
        <f>E6</f>
        <v>2016-2017</v>
      </c>
      <c r="F316" s="318"/>
      <c r="G316" s="318"/>
      <c r="H316" s="318"/>
      <c r="I316" s="318"/>
      <c r="J316" s="318"/>
    </row>
    <row r="317" spans="1:10" ht="12.6" customHeight="1">
      <c r="A317" s="326" t="s">
        <v>1266</v>
      </c>
      <c r="B317" s="327">
        <v>6</v>
      </c>
      <c r="C317" s="328" t="s">
        <v>1139</v>
      </c>
      <c r="D317" s="328" t="s">
        <v>1139</v>
      </c>
      <c r="E317" s="328" t="s">
        <v>1215</v>
      </c>
      <c r="F317" s="318"/>
      <c r="G317" s="318"/>
      <c r="H317" s="318"/>
      <c r="I317" s="318"/>
      <c r="J317" s="318"/>
    </row>
    <row r="318" spans="1:10" ht="12.6" customHeight="1">
      <c r="A318" s="329"/>
      <c r="B318" s="330" t="s">
        <v>1051</v>
      </c>
      <c r="C318" s="2635">
        <v>1</v>
      </c>
      <c r="D318" s="331">
        <v>2</v>
      </c>
      <c r="E318" s="331">
        <v>3</v>
      </c>
      <c r="F318" s="318"/>
      <c r="G318" s="318"/>
      <c r="H318" s="318"/>
      <c r="I318" s="318"/>
      <c r="J318" s="318"/>
    </row>
    <row r="319" spans="1:10" ht="12.6" customHeight="1">
      <c r="A319" s="395" t="s">
        <v>1751</v>
      </c>
      <c r="B319" s="376"/>
      <c r="C319" s="377"/>
      <c r="D319" s="387"/>
      <c r="E319" s="377"/>
      <c r="F319" s="318"/>
      <c r="G319" s="318"/>
      <c r="H319" s="318"/>
      <c r="I319" s="318"/>
      <c r="J319" s="318"/>
    </row>
    <row r="320" spans="1:10" ht="12.6" customHeight="1">
      <c r="A320" s="396" t="s">
        <v>1309</v>
      </c>
      <c r="B320" s="379"/>
      <c r="C320" s="380"/>
      <c r="D320" s="391"/>
      <c r="E320" s="380"/>
      <c r="F320" s="318"/>
      <c r="G320" s="318"/>
      <c r="H320" s="318"/>
      <c r="I320" s="318"/>
      <c r="J320" s="318"/>
    </row>
    <row r="321" spans="1:10" ht="12.6" customHeight="1">
      <c r="A321" s="397" t="s">
        <v>1347</v>
      </c>
      <c r="B321" s="2903">
        <v>895</v>
      </c>
      <c r="C321" s="4020"/>
      <c r="D321" s="388"/>
      <c r="E321" s="383"/>
      <c r="F321" s="318"/>
      <c r="G321" s="318"/>
      <c r="H321" s="318"/>
      <c r="I321" s="318"/>
      <c r="J321" s="318"/>
    </row>
    <row r="322" spans="1:10" ht="12.6" customHeight="1">
      <c r="A322" s="398" t="s">
        <v>1270</v>
      </c>
      <c r="B322" s="2902">
        <v>900</v>
      </c>
      <c r="C322" s="4020"/>
      <c r="D322" s="389"/>
      <c r="E322" s="386"/>
      <c r="F322" s="318"/>
      <c r="G322" s="318"/>
      <c r="H322" s="318"/>
      <c r="I322" s="318"/>
      <c r="J322" s="318"/>
    </row>
    <row r="323" spans="1:10" ht="12.6" customHeight="1">
      <c r="A323" s="395" t="s">
        <v>1310</v>
      </c>
      <c r="B323" s="3971"/>
      <c r="C323" s="3861"/>
      <c r="D323" s="387"/>
      <c r="E323" s="377"/>
      <c r="F323" s="318"/>
      <c r="G323" s="318"/>
      <c r="H323" s="318"/>
      <c r="I323" s="318"/>
      <c r="J323" s="318"/>
    </row>
    <row r="324" spans="1:10" ht="12.6" customHeight="1">
      <c r="A324" s="397" t="s">
        <v>1348</v>
      </c>
      <c r="B324" s="2903">
        <v>905</v>
      </c>
      <c r="C324" s="4020"/>
      <c r="D324" s="388"/>
      <c r="E324" s="383"/>
      <c r="F324" s="318"/>
      <c r="G324" s="318"/>
      <c r="H324" s="318"/>
      <c r="I324" s="318"/>
      <c r="J324" s="318"/>
    </row>
    <row r="325" spans="1:10" ht="12.6" customHeight="1">
      <c r="A325" s="398" t="s">
        <v>1314</v>
      </c>
      <c r="B325" s="2902">
        <v>910</v>
      </c>
      <c r="C325" s="4020"/>
      <c r="D325" s="389"/>
      <c r="E325" s="386"/>
      <c r="F325" s="318"/>
      <c r="G325" s="318"/>
      <c r="H325" s="318"/>
      <c r="I325" s="318"/>
      <c r="J325" s="318"/>
    </row>
    <row r="326" spans="1:10" ht="12.6" customHeight="1">
      <c r="A326" s="398" t="s">
        <v>1315</v>
      </c>
      <c r="B326" s="2902">
        <v>915</v>
      </c>
      <c r="C326" s="4020"/>
      <c r="D326" s="389"/>
      <c r="E326" s="386"/>
      <c r="F326" s="318"/>
      <c r="G326" s="318"/>
      <c r="H326" s="318"/>
      <c r="I326" s="318"/>
      <c r="J326" s="318"/>
    </row>
    <row r="327" spans="1:10" ht="12.6" customHeight="1">
      <c r="A327" s="375" t="s">
        <v>1281</v>
      </c>
      <c r="B327" s="3971">
        <v>920</v>
      </c>
      <c r="C327" s="4020"/>
      <c r="D327" s="390"/>
      <c r="E327" s="2571"/>
      <c r="F327" s="318"/>
      <c r="G327" s="318"/>
      <c r="H327" s="318"/>
      <c r="I327" s="318"/>
      <c r="J327" s="318"/>
    </row>
    <row r="328" spans="1:10" ht="12.6" customHeight="1">
      <c r="A328" s="398" t="s">
        <v>1318</v>
      </c>
      <c r="B328" s="2902">
        <v>925</v>
      </c>
      <c r="C328" s="4020"/>
      <c r="D328" s="389"/>
      <c r="E328" s="386"/>
      <c r="F328" s="318"/>
      <c r="G328" s="318"/>
      <c r="H328" s="318"/>
      <c r="I328" s="318"/>
      <c r="J328" s="318"/>
    </row>
    <row r="329" spans="1:10" ht="12.6" customHeight="1">
      <c r="A329" s="398" t="s">
        <v>1327</v>
      </c>
      <c r="B329" s="2902">
        <v>930</v>
      </c>
      <c r="C329" s="4020"/>
      <c r="D329" s="389"/>
      <c r="E329" s="386"/>
      <c r="F329" s="318"/>
      <c r="G329" s="318"/>
      <c r="H329" s="318"/>
      <c r="I329" s="318"/>
      <c r="J329" s="318"/>
    </row>
    <row r="330" spans="1:10" ht="12.6" customHeight="1">
      <c r="A330" s="398" t="s">
        <v>1337</v>
      </c>
      <c r="B330" s="2902">
        <v>935</v>
      </c>
      <c r="C330" s="4020"/>
      <c r="D330" s="389"/>
      <c r="E330" s="386"/>
      <c r="F330" s="318"/>
      <c r="G330" s="318"/>
      <c r="H330" s="318"/>
      <c r="I330" s="318"/>
      <c r="J330" s="318"/>
    </row>
    <row r="331" spans="1:10" ht="12.6" customHeight="1">
      <c r="A331" s="398" t="s">
        <v>1345</v>
      </c>
      <c r="B331" s="2902">
        <v>940</v>
      </c>
      <c r="C331" s="4020"/>
      <c r="D331" s="389"/>
      <c r="E331" s="386"/>
      <c r="F331" s="318"/>
      <c r="G331" s="318"/>
      <c r="H331" s="318"/>
      <c r="I331" s="318"/>
      <c r="J331" s="318"/>
    </row>
    <row r="332" spans="1:10" ht="12.6" customHeight="1">
      <c r="A332" s="398" t="s">
        <v>1346</v>
      </c>
      <c r="B332" s="2902">
        <v>945</v>
      </c>
      <c r="C332" s="4020"/>
      <c r="D332" s="389"/>
      <c r="E332" s="386"/>
      <c r="F332" s="318"/>
      <c r="G332" s="318"/>
      <c r="H332" s="318"/>
      <c r="I332" s="318"/>
      <c r="J332" s="318"/>
    </row>
    <row r="333" spans="1:10" ht="12.6" customHeight="1">
      <c r="A333" s="398" t="s">
        <v>1349</v>
      </c>
      <c r="B333" s="2902">
        <v>785</v>
      </c>
      <c r="C333" s="3863"/>
      <c r="D333" s="389"/>
      <c r="E333" s="386"/>
      <c r="F333" s="318"/>
      <c r="G333" s="318"/>
      <c r="H333" s="318"/>
      <c r="I333" s="318"/>
      <c r="J333" s="318"/>
    </row>
    <row r="334" spans="1:10" ht="12.6" customHeight="1">
      <c r="A334" s="398" t="s">
        <v>1350</v>
      </c>
      <c r="B334" s="2902">
        <v>790</v>
      </c>
      <c r="C334" s="4051"/>
      <c r="D334" s="390"/>
      <c r="E334" s="386"/>
      <c r="F334" s="318"/>
      <c r="G334" s="318"/>
      <c r="H334" s="318"/>
      <c r="I334" s="4063"/>
      <c r="J334" s="318"/>
    </row>
    <row r="335" spans="1:10" ht="12.6" customHeight="1">
      <c r="A335" s="395" t="s">
        <v>1351</v>
      </c>
      <c r="B335" s="376"/>
      <c r="C335" s="2627"/>
      <c r="D335" s="377"/>
      <c r="E335" s="2629"/>
      <c r="F335" s="318"/>
      <c r="G335" s="318"/>
      <c r="H335" s="318"/>
      <c r="I335" s="318"/>
      <c r="J335" s="318"/>
    </row>
    <row r="336" spans="1:10" ht="12.6" customHeight="1">
      <c r="A336" s="4160" t="s">
        <v>2449</v>
      </c>
      <c r="B336" s="4161">
        <v>792</v>
      </c>
      <c r="C336" s="4052"/>
      <c r="D336" s="4020">
        <f>D37</f>
        <v>0</v>
      </c>
      <c r="E336" s="5189">
        <v>0</v>
      </c>
      <c r="F336" s="318"/>
      <c r="G336" s="318"/>
      <c r="H336" s="4063" t="str">
        <f>IF(D336&lt;D37,"The 2015-16 transfer to C08 should be at least " &amp; D37 &amp; " which is noted on Line 116 or cell D37.","")</f>
        <v/>
      </c>
      <c r="I336" s="318"/>
      <c r="J336" s="318"/>
    </row>
    <row r="337" spans="1:21" ht="12.6" customHeight="1">
      <c r="A337" s="397" t="s">
        <v>1352</v>
      </c>
      <c r="B337" s="382">
        <v>795</v>
      </c>
      <c r="C337" s="2625">
        <v>0</v>
      </c>
      <c r="D337" s="383">
        <v>0</v>
      </c>
      <c r="E337" s="2631">
        <v>0</v>
      </c>
      <c r="F337" s="318"/>
      <c r="G337" s="318"/>
      <c r="H337" s="5190"/>
      <c r="I337" s="4063"/>
      <c r="J337" s="318"/>
    </row>
    <row r="338" spans="1:21" ht="12.6" customHeight="1">
      <c r="A338" s="398" t="s">
        <v>1353</v>
      </c>
      <c r="B338" s="385">
        <v>800</v>
      </c>
      <c r="C338" s="383">
        <v>0</v>
      </c>
      <c r="D338" s="388">
        <v>0</v>
      </c>
      <c r="E338" s="386">
        <v>0</v>
      </c>
      <c r="F338" s="318"/>
      <c r="G338" s="318"/>
      <c r="H338" s="318"/>
      <c r="I338" s="318"/>
      <c r="J338" s="318"/>
    </row>
    <row r="339" spans="1:21" ht="12.6" customHeight="1">
      <c r="A339" s="398" t="s">
        <v>1354</v>
      </c>
      <c r="B339" s="385">
        <v>805</v>
      </c>
      <c r="C339" s="2571">
        <v>0</v>
      </c>
      <c r="D339" s="390">
        <v>0</v>
      </c>
      <c r="E339" s="386">
        <v>0</v>
      </c>
      <c r="F339" s="318"/>
      <c r="G339" s="318"/>
      <c r="H339" s="4063"/>
      <c r="I339" s="318"/>
      <c r="J339" s="318"/>
    </row>
    <row r="340" spans="1:21" ht="12.6" customHeight="1">
      <c r="A340" s="398" t="s">
        <v>1148</v>
      </c>
      <c r="B340" s="385">
        <v>807</v>
      </c>
      <c r="C340" s="386">
        <v>0</v>
      </c>
      <c r="D340" s="386">
        <v>0</v>
      </c>
      <c r="E340" s="2626">
        <v>0</v>
      </c>
      <c r="F340" s="318"/>
      <c r="G340" s="318"/>
      <c r="H340" s="318"/>
      <c r="I340" s="318"/>
      <c r="J340" s="318"/>
    </row>
    <row r="341" spans="1:21" ht="12.6" customHeight="1">
      <c r="A341" s="398" t="s">
        <v>1355</v>
      </c>
      <c r="B341" s="385">
        <v>810</v>
      </c>
      <c r="C341" s="2625">
        <v>0</v>
      </c>
      <c r="D341" s="383">
        <v>0</v>
      </c>
      <c r="E341" s="2626">
        <v>0</v>
      </c>
      <c r="F341" s="318"/>
      <c r="G341" s="318"/>
      <c r="H341" s="318"/>
      <c r="I341" s="318"/>
      <c r="J341" s="318"/>
    </row>
    <row r="342" spans="1:21" ht="12.6" customHeight="1">
      <c r="A342" s="398" t="s">
        <v>1356</v>
      </c>
      <c r="B342" s="385">
        <v>815</v>
      </c>
      <c r="C342" s="383">
        <v>0</v>
      </c>
      <c r="D342" s="388">
        <v>0</v>
      </c>
      <c r="E342" s="386">
        <v>0</v>
      </c>
      <c r="F342" s="318"/>
      <c r="G342" s="318"/>
      <c r="H342" s="318"/>
      <c r="I342" s="318"/>
      <c r="J342" s="318"/>
    </row>
    <row r="343" spans="1:21" ht="12.6" customHeight="1">
      <c r="A343" s="398" t="s">
        <v>1357</v>
      </c>
      <c r="B343" s="385">
        <v>823</v>
      </c>
      <c r="C343" s="386">
        <v>0</v>
      </c>
      <c r="D343" s="389">
        <v>0</v>
      </c>
      <c r="E343" s="386">
        <v>0</v>
      </c>
      <c r="F343" s="318"/>
      <c r="G343" s="318"/>
      <c r="H343" s="318"/>
      <c r="I343" s="318"/>
      <c r="J343" s="318"/>
    </row>
    <row r="344" spans="1:21" ht="12.6" customHeight="1">
      <c r="A344" s="398" t="s">
        <v>1358</v>
      </c>
      <c r="B344" s="385">
        <v>825</v>
      </c>
      <c r="C344" s="383"/>
      <c r="D344" s="388"/>
      <c r="E344" s="386">
        <v>0</v>
      </c>
      <c r="F344" s="318"/>
      <c r="G344" s="318"/>
      <c r="H344" s="318"/>
      <c r="I344" s="318"/>
      <c r="J344" s="318"/>
      <c r="O344" s="322"/>
    </row>
    <row r="345" spans="1:21" ht="12.6" customHeight="1">
      <c r="A345" s="398" t="s">
        <v>748</v>
      </c>
      <c r="B345" s="385">
        <v>830</v>
      </c>
      <c r="C345" s="386">
        <v>0</v>
      </c>
      <c r="D345" s="389">
        <v>0</v>
      </c>
      <c r="E345" s="386">
        <v>0</v>
      </c>
      <c r="F345" s="318"/>
      <c r="G345" s="318"/>
      <c r="H345" s="318"/>
      <c r="I345" s="318"/>
      <c r="J345" s="318"/>
      <c r="O345" s="322"/>
    </row>
    <row r="346" spans="1:21" ht="12.6" customHeight="1">
      <c r="A346" s="398" t="s">
        <v>1359</v>
      </c>
      <c r="B346" s="385">
        <v>835</v>
      </c>
      <c r="C346" s="386">
        <v>0</v>
      </c>
      <c r="D346" s="389">
        <v>0</v>
      </c>
      <c r="E346" s="386">
        <v>0</v>
      </c>
      <c r="F346" s="318"/>
      <c r="G346" s="318"/>
      <c r="H346" s="318"/>
      <c r="I346" s="318"/>
      <c r="J346" s="318"/>
    </row>
    <row r="347" spans="1:21" ht="12.6" customHeight="1">
      <c r="A347" s="398" t="s">
        <v>1360</v>
      </c>
      <c r="B347" s="385">
        <v>837</v>
      </c>
      <c r="C347" s="386">
        <v>0</v>
      </c>
      <c r="D347" s="389">
        <v>0</v>
      </c>
      <c r="E347" s="386">
        <v>0</v>
      </c>
      <c r="F347" s="318"/>
      <c r="G347" s="318"/>
      <c r="H347" s="318"/>
      <c r="I347" s="318"/>
      <c r="J347" s="318"/>
    </row>
    <row r="348" spans="1:21" ht="12.6" customHeight="1">
      <c r="A348" s="398" t="s">
        <v>1361</v>
      </c>
      <c r="B348" s="385">
        <v>840</v>
      </c>
      <c r="C348" s="386">
        <v>425767</v>
      </c>
      <c r="D348" s="2696">
        <v>569218</v>
      </c>
      <c r="E348" s="386">
        <v>522152</v>
      </c>
      <c r="F348" s="318"/>
      <c r="G348" s="318"/>
      <c r="H348" s="318"/>
      <c r="I348" s="314"/>
      <c r="J348" s="314"/>
      <c r="K348" s="322"/>
      <c r="L348" s="322"/>
      <c r="M348" s="322"/>
      <c r="N348" s="322"/>
    </row>
    <row r="349" spans="1:21" ht="12.6" customHeight="1">
      <c r="A349" s="398" t="s">
        <v>1362</v>
      </c>
      <c r="B349" s="385">
        <v>850</v>
      </c>
      <c r="C349" s="2696">
        <v>6057</v>
      </c>
      <c r="D349" s="383">
        <v>125000</v>
      </c>
      <c r="E349" s="2631">
        <v>50000</v>
      </c>
      <c r="F349" s="318"/>
      <c r="G349" s="318"/>
      <c r="H349" s="4063" t="str">
        <f>IF(E348&gt;=E38,"","&lt;--Transfer amount must equal or be greater than Line 120 Special Education Aid")</f>
        <v/>
      </c>
      <c r="I349" s="318"/>
      <c r="J349" s="318"/>
    </row>
    <row r="350" spans="1:21" ht="12.6" customHeight="1">
      <c r="A350" s="398" t="s">
        <v>1687</v>
      </c>
      <c r="B350" s="385">
        <v>853</v>
      </c>
      <c r="C350" s="3779">
        <v>0</v>
      </c>
      <c r="D350" s="383">
        <v>0</v>
      </c>
      <c r="E350" s="5099">
        <v>0</v>
      </c>
      <c r="F350" s="318"/>
      <c r="G350" s="318"/>
      <c r="H350" s="318"/>
      <c r="I350" s="318"/>
      <c r="J350" s="318"/>
    </row>
    <row r="351" spans="1:21" ht="12.6" customHeight="1">
      <c r="A351" s="2655" t="s">
        <v>116</v>
      </c>
      <c r="B351" s="2657">
        <v>855</v>
      </c>
      <c r="C351" s="2571">
        <v>0</v>
      </c>
      <c r="D351" s="2571">
        <v>0</v>
      </c>
      <c r="E351" s="386">
        <v>0</v>
      </c>
      <c r="F351" s="318"/>
      <c r="G351" s="318"/>
      <c r="H351" s="5086"/>
      <c r="I351" s="318"/>
      <c r="J351" s="318"/>
    </row>
    <row r="352" spans="1:21" ht="12.6" customHeight="1">
      <c r="A352" s="4162" t="s">
        <v>1890</v>
      </c>
      <c r="B352" s="4163">
        <v>856</v>
      </c>
      <c r="C352" s="4053"/>
      <c r="D352" s="2855">
        <f>D39</f>
        <v>193062</v>
      </c>
      <c r="E352" s="4276">
        <f>E39</f>
        <v>266624</v>
      </c>
      <c r="F352" s="318"/>
      <c r="G352" s="318"/>
      <c r="H352" s="318"/>
      <c r="I352" s="318"/>
      <c r="J352" s="318"/>
      <c r="P352" s="322"/>
      <c r="Q352" s="322"/>
      <c r="R352" s="322"/>
      <c r="S352" s="322"/>
      <c r="T352" s="322"/>
      <c r="U352" s="322"/>
    </row>
    <row r="353" spans="1:21" ht="12.6" customHeight="1">
      <c r="A353" s="398" t="s">
        <v>1802</v>
      </c>
      <c r="B353" s="385">
        <v>885</v>
      </c>
      <c r="C353" s="2625">
        <v>69454</v>
      </c>
      <c r="D353" s="383">
        <v>0</v>
      </c>
      <c r="E353" s="5100">
        <v>0</v>
      </c>
      <c r="F353" s="314"/>
      <c r="G353" s="314"/>
      <c r="H353" s="318"/>
      <c r="I353" s="318"/>
      <c r="J353" s="318"/>
      <c r="P353" s="322"/>
      <c r="Q353" s="322"/>
      <c r="R353" s="322"/>
      <c r="S353" s="322"/>
      <c r="T353" s="322"/>
      <c r="U353" s="322"/>
    </row>
    <row r="354" spans="1:21" s="322" customFormat="1" ht="12.75" customHeight="1">
      <c r="A354" s="2655" t="s">
        <v>117</v>
      </c>
      <c r="B354" s="2656">
        <v>889</v>
      </c>
      <c r="C354" s="2832">
        <v>8000</v>
      </c>
      <c r="D354" s="2832">
        <v>10000</v>
      </c>
      <c r="E354" s="386">
        <v>0</v>
      </c>
      <c r="F354" s="314"/>
      <c r="G354" s="314"/>
      <c r="H354" s="5087"/>
      <c r="I354" s="318"/>
      <c r="J354" s="318"/>
      <c r="K354" s="319"/>
      <c r="L354" s="319"/>
      <c r="M354" s="319"/>
      <c r="N354" s="319"/>
      <c r="O354" s="319"/>
      <c r="P354" s="319"/>
      <c r="Q354" s="319"/>
      <c r="R354" s="319"/>
      <c r="S354" s="319"/>
      <c r="T354" s="319"/>
      <c r="U354" s="319"/>
    </row>
    <row r="355" spans="1:21" s="322" customFormat="1" ht="12.75" customHeight="1">
      <c r="A355" s="2655" t="s">
        <v>706</v>
      </c>
      <c r="B355" s="2905">
        <v>891</v>
      </c>
      <c r="C355" s="386">
        <v>0</v>
      </c>
      <c r="D355" s="386">
        <v>0</v>
      </c>
      <c r="E355" s="2631">
        <v>0</v>
      </c>
      <c r="F355" s="318"/>
      <c r="G355" s="318"/>
      <c r="H355" s="2835"/>
      <c r="I355" s="318"/>
      <c r="J355" s="318"/>
      <c r="K355" s="319"/>
      <c r="L355" s="319"/>
      <c r="M355" s="319"/>
      <c r="N355" s="319"/>
      <c r="O355" s="319"/>
      <c r="P355" s="319"/>
      <c r="Q355" s="319"/>
      <c r="R355" s="319"/>
      <c r="S355" s="319"/>
      <c r="T355" s="319"/>
      <c r="U355" s="319"/>
    </row>
    <row r="356" spans="1:21" ht="12.6" customHeight="1">
      <c r="A356" s="2655" t="s">
        <v>707</v>
      </c>
      <c r="B356" s="2905">
        <v>893</v>
      </c>
      <c r="C356" s="383">
        <v>35000</v>
      </c>
      <c r="D356" s="386">
        <v>10142</v>
      </c>
      <c r="E356" s="2631">
        <v>20000</v>
      </c>
      <c r="F356" s="318"/>
      <c r="G356" s="318"/>
      <c r="H356" s="4063"/>
      <c r="I356" s="318"/>
      <c r="J356" s="318"/>
    </row>
    <row r="357" spans="1:21" ht="12.6" customHeight="1">
      <c r="A357" s="398" t="s">
        <v>1248</v>
      </c>
      <c r="B357" s="399" t="s">
        <v>1364</v>
      </c>
      <c r="C357" s="2855">
        <f>SUM(C74:C123,C133:C186,C196:C248, C258:C309,C319:C356)</f>
        <v>2798620</v>
      </c>
      <c r="D357" s="2828">
        <f>SUM(D74:D123,D133:D186,D196:D248,D258:D309,D319:D356)</f>
        <v>2975503</v>
      </c>
      <c r="E357" s="2828">
        <f>SUM(E74:E123,E133:E186,E196:E248,E258:E309,E319:E356)</f>
        <v>3131576</v>
      </c>
      <c r="F357" s="318"/>
      <c r="G357" s="318"/>
      <c r="H357" s="2861"/>
      <c r="I357" s="318"/>
      <c r="J357" s="318"/>
    </row>
    <row r="358" spans="1:21" ht="12.6" customHeight="1">
      <c r="A358" s="314"/>
      <c r="B358" s="315"/>
      <c r="C358" s="314"/>
      <c r="D358" s="314"/>
      <c r="E358" s="314"/>
      <c r="F358" s="318"/>
      <c r="G358" s="318"/>
      <c r="H358" s="2861"/>
      <c r="I358" s="318"/>
      <c r="J358" s="318"/>
    </row>
    <row r="359" spans="1:21" ht="12.6" customHeight="1">
      <c r="A359" s="314"/>
      <c r="B359" s="315"/>
      <c r="C359" s="314"/>
      <c r="D359" s="314"/>
      <c r="E359" s="314"/>
      <c r="F359" s="318"/>
      <c r="G359" s="318"/>
      <c r="H359" s="2645"/>
      <c r="I359" s="318"/>
      <c r="J359" s="318"/>
    </row>
    <row r="360" spans="1:21" ht="12.6" customHeight="1">
      <c r="A360" s="314"/>
      <c r="B360" s="315"/>
      <c r="C360" s="314"/>
      <c r="D360" s="314"/>
      <c r="E360" s="314"/>
      <c r="F360" s="318"/>
      <c r="G360" s="318"/>
      <c r="H360" s="318"/>
      <c r="I360" s="318"/>
      <c r="J360" s="318"/>
    </row>
    <row r="361" spans="1:21" ht="12.6" customHeight="1">
      <c r="A361" s="3054"/>
      <c r="B361" s="315"/>
      <c r="C361" s="314"/>
      <c r="D361" s="314"/>
      <c r="E361" s="314"/>
      <c r="F361" s="318"/>
      <c r="G361" s="318"/>
      <c r="H361" s="318"/>
      <c r="I361" s="318"/>
      <c r="J361" s="318"/>
    </row>
    <row r="362" spans="1:21" ht="12.6" customHeight="1">
      <c r="A362"/>
      <c r="B362" s="315"/>
      <c r="C362" s="3384"/>
      <c r="D362" s="314"/>
      <c r="E362" s="314"/>
      <c r="F362" s="318"/>
      <c r="G362" s="318"/>
      <c r="H362" s="318"/>
      <c r="I362" s="3421"/>
      <c r="J362" s="2624"/>
    </row>
    <row r="363" spans="1:21" ht="12.6" customHeight="1">
      <c r="A363"/>
      <c r="B363" s="315"/>
      <c r="C363" s="3384"/>
      <c r="D363" s="3419"/>
      <c r="E363" s="3419"/>
      <c r="F363" s="318"/>
      <c r="G363" s="318"/>
      <c r="H363" s="318"/>
      <c r="I363" s="3421"/>
      <c r="J363" s="2624"/>
    </row>
    <row r="364" spans="1:21" ht="12.6" customHeight="1">
      <c r="A364" s="3385"/>
      <c r="B364" s="315"/>
      <c r="C364" s="3385"/>
      <c r="D364" s="314"/>
      <c r="E364" s="314"/>
      <c r="F364" s="318"/>
      <c r="G364" s="318"/>
      <c r="H364" s="318"/>
      <c r="I364" s="3421"/>
      <c r="J364" s="2624"/>
    </row>
    <row r="365" spans="1:21" ht="12.6" customHeight="1">
      <c r="A365" s="401"/>
      <c r="B365" s="401"/>
      <c r="C365" s="3326"/>
      <c r="D365" s="2580"/>
      <c r="E365" s="401"/>
      <c r="F365" s="318"/>
      <c r="G365" s="318"/>
      <c r="H365" s="318"/>
      <c r="I365" s="3421"/>
      <c r="J365" s="2624"/>
    </row>
    <row r="366" spans="1:21" ht="12.6" customHeight="1">
      <c r="A366" s="401"/>
      <c r="B366" s="401"/>
      <c r="C366" s="3327"/>
      <c r="D366" s="3328"/>
      <c r="E366" s="2624"/>
      <c r="F366" s="318"/>
      <c r="G366" s="318"/>
      <c r="H366" s="318"/>
      <c r="I366" s="3421"/>
      <c r="J366" s="2624"/>
    </row>
    <row r="367" spans="1:21" ht="12.6" customHeight="1">
      <c r="A367" s="401"/>
      <c r="B367" s="401"/>
      <c r="C367" s="3327"/>
      <c r="D367" s="3328"/>
      <c r="E367" s="2624"/>
      <c r="F367" s="318"/>
      <c r="G367" s="318"/>
      <c r="H367" s="318"/>
      <c r="I367" s="3421"/>
      <c r="J367" s="2624"/>
    </row>
    <row r="368" spans="1:21" ht="14.1" customHeight="1">
      <c r="A368" s="401"/>
      <c r="B368" s="401"/>
      <c r="C368" s="3327"/>
      <c r="D368" s="3328"/>
      <c r="E368" s="2624"/>
      <c r="F368" s="318"/>
      <c r="G368" s="318"/>
      <c r="H368" s="318"/>
      <c r="I368" s="3421"/>
      <c r="J368" s="2624"/>
    </row>
    <row r="369" spans="1:10" ht="12.75" customHeight="1">
      <c r="A369" s="401"/>
      <c r="B369" s="401"/>
      <c r="C369" s="3327"/>
      <c r="D369" s="3328"/>
      <c r="E369" s="2624"/>
      <c r="F369" s="318"/>
      <c r="G369" s="318"/>
      <c r="H369" s="318"/>
      <c r="I369" s="3421"/>
      <c r="J369" s="2624"/>
    </row>
    <row r="370" spans="1:10" ht="12.75" customHeight="1">
      <c r="A370" s="401"/>
      <c r="B370" s="401"/>
      <c r="C370" s="3327"/>
      <c r="D370" s="3328"/>
      <c r="E370" s="2624"/>
      <c r="F370" s="318"/>
      <c r="G370" s="318"/>
      <c r="H370" s="318"/>
      <c r="I370" s="3421"/>
      <c r="J370" s="2624"/>
    </row>
    <row r="371" spans="1:10" ht="14.1" customHeight="1">
      <c r="A371" s="401"/>
      <c r="B371" s="401"/>
      <c r="C371" s="3327"/>
      <c r="D371" s="3328"/>
      <c r="E371" s="2624"/>
      <c r="F371" s="318"/>
      <c r="G371" s="318"/>
      <c r="H371" s="318"/>
      <c r="I371" s="3421"/>
      <c r="J371" s="2624"/>
    </row>
    <row r="372" spans="1:10" ht="12.75" customHeight="1">
      <c r="A372" s="372"/>
      <c r="B372" s="372"/>
      <c r="C372" s="3327"/>
      <c r="D372" s="3328"/>
      <c r="E372" s="2624"/>
      <c r="F372" s="318"/>
      <c r="G372" s="318"/>
      <c r="H372" s="318"/>
      <c r="I372" s="3421"/>
      <c r="J372" s="3334"/>
    </row>
    <row r="373" spans="1:10" ht="12.75" customHeight="1">
      <c r="A373" s="372"/>
      <c r="B373" s="371"/>
      <c r="C373" s="3327"/>
      <c r="D373" s="3328"/>
      <c r="E373" s="2624"/>
      <c r="F373" s="318"/>
      <c r="G373" s="318"/>
      <c r="H373" s="318"/>
      <c r="I373" s="3421"/>
      <c r="J373" s="3334"/>
    </row>
    <row r="374" spans="1:10" ht="12.75" customHeight="1">
      <c r="A374" s="314"/>
      <c r="B374" s="371"/>
      <c r="C374" s="3327"/>
      <c r="D374" s="3328"/>
      <c r="E374" s="2624"/>
      <c r="F374" s="372"/>
      <c r="G374" s="318"/>
      <c r="H374" s="318"/>
      <c r="I374" s="3421"/>
      <c r="J374" s="3334"/>
    </row>
    <row r="375" spans="1:10" ht="12.6" customHeight="1">
      <c r="C375" s="3327"/>
      <c r="D375" s="3328"/>
      <c r="E375" s="2624"/>
      <c r="F375" s="373"/>
      <c r="G375" s="318"/>
      <c r="H375" s="318"/>
      <c r="I375" s="3421"/>
      <c r="J375" s="2624"/>
    </row>
    <row r="376" spans="1:10" ht="12.75" customHeight="1">
      <c r="C376" s="3420"/>
      <c r="D376" s="3345"/>
      <c r="E376" s="3334"/>
      <c r="F376" s="373"/>
      <c r="G376" s="318"/>
      <c r="H376" s="318"/>
      <c r="I376" s="3421"/>
      <c r="J376" s="2624"/>
    </row>
    <row r="377" spans="1:10" ht="12.6" customHeight="1">
      <c r="C377" s="3420"/>
      <c r="D377" s="3345"/>
      <c r="E377" s="3334"/>
      <c r="H377" s="318"/>
      <c r="I377" s="3421"/>
      <c r="J377" s="2624"/>
    </row>
    <row r="378" spans="1:10" ht="12.6" customHeight="1">
      <c r="C378" s="3420"/>
      <c r="D378" s="3345"/>
      <c r="E378" s="3334"/>
      <c r="I378" s="3421"/>
      <c r="J378" s="2624"/>
    </row>
    <row r="379" spans="1:10" ht="12.6" customHeight="1">
      <c r="C379" s="3327"/>
      <c r="D379" s="3328"/>
      <c r="E379" s="2624"/>
      <c r="I379" s="3421"/>
      <c r="J379" s="2624"/>
    </row>
    <row r="380" spans="1:10" ht="12.6" customHeight="1">
      <c r="C380" s="3327"/>
      <c r="D380" s="3328"/>
      <c r="E380" s="2624"/>
      <c r="I380" s="3421"/>
      <c r="J380" s="2624"/>
    </row>
    <row r="381" spans="1:10" ht="12.6" customHeight="1">
      <c r="C381" s="3327"/>
      <c r="D381" s="3328"/>
      <c r="E381" s="2624"/>
      <c r="I381" s="3421"/>
      <c r="J381" s="2624"/>
    </row>
    <row r="382" spans="1:10" ht="12.6" customHeight="1">
      <c r="C382" s="3327"/>
      <c r="D382" s="3328"/>
      <c r="E382" s="2624"/>
      <c r="I382" s="3421"/>
      <c r="J382" s="2624"/>
    </row>
    <row r="383" spans="1:10" ht="12.6" customHeight="1">
      <c r="C383" s="3327"/>
      <c r="D383" s="3328"/>
      <c r="E383" s="2624"/>
      <c r="I383" s="3421"/>
      <c r="J383" s="2624"/>
    </row>
    <row r="384" spans="1:10" ht="12.6" customHeight="1">
      <c r="C384" s="3327"/>
      <c r="D384" s="3328"/>
      <c r="E384" s="2624"/>
      <c r="I384" s="3421"/>
      <c r="J384" s="2624"/>
    </row>
    <row r="385" spans="3:10" ht="12.6" customHeight="1">
      <c r="C385" s="3327"/>
      <c r="D385" s="3328"/>
      <c r="E385" s="2624"/>
      <c r="I385" s="3421"/>
      <c r="J385" s="3334"/>
    </row>
    <row r="386" spans="3:10" ht="12.6" customHeight="1">
      <c r="C386" s="3327"/>
      <c r="D386" s="3328"/>
      <c r="E386" s="2624"/>
      <c r="I386" s="3421"/>
      <c r="J386" s="2624"/>
    </row>
    <row r="387" spans="3:10" ht="12.6" customHeight="1">
      <c r="C387" s="3327"/>
      <c r="D387" s="3328"/>
      <c r="E387" s="2624"/>
      <c r="I387" s="3421"/>
      <c r="J387" s="2624"/>
    </row>
    <row r="388" spans="3:10" ht="12.6" customHeight="1">
      <c r="C388" s="3327"/>
      <c r="D388" s="3328"/>
      <c r="E388" s="2624"/>
      <c r="I388" s="3421"/>
      <c r="J388" s="2624"/>
    </row>
    <row r="389" spans="3:10" ht="12.6" customHeight="1">
      <c r="C389" s="3346"/>
      <c r="D389" s="3345"/>
      <c r="E389" s="3334"/>
      <c r="I389" s="3421"/>
      <c r="J389" s="2624"/>
    </row>
    <row r="390" spans="3:10" ht="12.6" customHeight="1">
      <c r="C390" s="3327"/>
      <c r="D390" s="3328"/>
      <c r="E390" s="2624"/>
      <c r="I390" s="3421"/>
      <c r="J390" s="2624"/>
    </row>
    <row r="391" spans="3:10" ht="12.6" customHeight="1">
      <c r="C391" s="3327"/>
      <c r="D391" s="3328"/>
      <c r="E391" s="2624"/>
      <c r="I391" s="3421"/>
      <c r="J391" s="2624"/>
    </row>
    <row r="392" spans="3:10" ht="12.6" customHeight="1">
      <c r="C392" s="3327"/>
      <c r="D392" s="3328"/>
      <c r="E392" s="2624"/>
      <c r="I392" s="3421"/>
      <c r="J392" s="2624"/>
    </row>
    <row r="393" spans="3:10" ht="12.6" customHeight="1">
      <c r="C393" s="3327"/>
      <c r="D393" s="3328"/>
      <c r="E393" s="2624"/>
      <c r="I393" s="3421"/>
      <c r="J393" s="2624"/>
    </row>
    <row r="394" spans="3:10" ht="12.6" customHeight="1">
      <c r="C394" s="3327"/>
      <c r="D394" s="3328"/>
      <c r="E394" s="2624"/>
      <c r="I394" s="3421"/>
      <c r="J394" s="2624"/>
    </row>
    <row r="395" spans="3:10" ht="12.6" customHeight="1">
      <c r="C395" s="3327"/>
      <c r="D395" s="3328"/>
      <c r="E395" s="2624"/>
      <c r="I395" s="3421"/>
      <c r="J395" s="2624"/>
    </row>
    <row r="396" spans="3:10" ht="12.6" customHeight="1">
      <c r="C396" s="3327"/>
      <c r="D396" s="3328"/>
      <c r="E396" s="2624"/>
      <c r="I396" s="3421"/>
      <c r="J396" s="2624"/>
    </row>
    <row r="397" spans="3:10" ht="12.6" customHeight="1">
      <c r="C397" s="3327"/>
      <c r="D397" s="3328"/>
      <c r="E397" s="2624"/>
      <c r="I397" s="3421"/>
      <c r="J397" s="2624"/>
    </row>
    <row r="398" spans="3:10" ht="12.6" customHeight="1">
      <c r="C398" s="3327"/>
      <c r="D398" s="3328"/>
      <c r="E398" s="2624"/>
      <c r="I398" s="3421"/>
      <c r="J398" s="2624"/>
    </row>
    <row r="399" spans="3:10" ht="12.6" customHeight="1">
      <c r="C399" s="3327"/>
      <c r="D399" s="3328"/>
      <c r="E399" s="2624"/>
      <c r="I399" s="3421"/>
      <c r="J399" s="2624"/>
    </row>
    <row r="400" spans="3:10" ht="12.6" customHeight="1">
      <c r="C400" s="3327"/>
      <c r="D400" s="3328"/>
      <c r="E400" s="2624"/>
      <c r="I400" s="3421"/>
      <c r="J400" s="2624"/>
    </row>
    <row r="401" spans="3:10" ht="12.6" customHeight="1">
      <c r="C401" s="3327"/>
      <c r="D401" s="3328"/>
      <c r="E401" s="2624"/>
      <c r="I401" s="3421"/>
      <c r="J401" s="2624"/>
    </row>
    <row r="402" spans="3:10" ht="12.6" customHeight="1">
      <c r="C402" s="3327"/>
      <c r="D402" s="3328"/>
      <c r="E402" s="2624"/>
      <c r="I402" s="3421"/>
      <c r="J402" s="2624"/>
    </row>
    <row r="403" spans="3:10" ht="12.6" customHeight="1">
      <c r="C403" s="3327"/>
      <c r="D403" s="3328"/>
      <c r="E403" s="2624"/>
      <c r="I403" s="3421"/>
      <c r="J403" s="2624"/>
    </row>
    <row r="404" spans="3:10" ht="12.6" customHeight="1">
      <c r="C404" s="3327"/>
      <c r="D404" s="3328"/>
      <c r="E404" s="2624"/>
      <c r="I404" s="3421"/>
      <c r="J404" s="2624"/>
    </row>
    <row r="405" spans="3:10" ht="12.6" customHeight="1">
      <c r="C405" s="3327"/>
      <c r="D405" s="3328"/>
      <c r="E405" s="2624"/>
      <c r="I405" s="3421"/>
      <c r="J405" s="2624"/>
    </row>
    <row r="406" spans="3:10" ht="12.6" customHeight="1">
      <c r="C406" s="3327"/>
      <c r="D406" s="3328"/>
      <c r="E406" s="2624"/>
      <c r="I406" s="3421"/>
      <c r="J406" s="2624"/>
    </row>
    <row r="407" spans="3:10" ht="12.6" customHeight="1">
      <c r="C407" s="3327"/>
      <c r="D407" s="3328"/>
      <c r="E407" s="2624"/>
      <c r="I407" s="3421"/>
      <c r="J407" s="2624"/>
    </row>
    <row r="408" spans="3:10" ht="12.6" customHeight="1">
      <c r="C408" s="3327"/>
      <c r="D408" s="3328"/>
      <c r="E408" s="2624"/>
      <c r="I408" s="3421"/>
      <c r="J408" s="2624"/>
    </row>
    <row r="409" spans="3:10" ht="12.6" customHeight="1">
      <c r="C409" s="3327"/>
      <c r="D409" s="3328"/>
      <c r="E409" s="2624"/>
      <c r="I409" s="3421"/>
      <c r="J409" s="2624"/>
    </row>
    <row r="410" spans="3:10" ht="12.6" customHeight="1">
      <c r="C410" s="3327"/>
      <c r="D410" s="3328"/>
      <c r="E410" s="2624"/>
      <c r="I410" s="3421"/>
      <c r="J410" s="2624"/>
    </row>
    <row r="411" spans="3:10" ht="12.6" customHeight="1">
      <c r="C411" s="3327"/>
      <c r="D411" s="3328"/>
      <c r="E411" s="2624"/>
      <c r="I411" s="3421"/>
      <c r="J411" s="2624"/>
    </row>
    <row r="412" spans="3:10" ht="12.6" customHeight="1">
      <c r="C412" s="3327"/>
      <c r="D412" s="3328"/>
      <c r="E412" s="2624"/>
      <c r="I412" s="3421"/>
      <c r="J412" s="2624"/>
    </row>
    <row r="413" spans="3:10" ht="12.6" customHeight="1">
      <c r="C413" s="3327"/>
      <c r="D413" s="3328"/>
      <c r="E413" s="2624"/>
      <c r="I413" s="3421"/>
      <c r="J413" s="2624"/>
    </row>
    <row r="414" spans="3:10" ht="12.6" customHeight="1">
      <c r="C414" s="3327"/>
      <c r="D414" s="3328"/>
      <c r="E414" s="2624"/>
      <c r="I414" s="3421"/>
      <c r="J414" s="2624"/>
    </row>
    <row r="415" spans="3:10" ht="12.6" customHeight="1">
      <c r="C415" s="3327"/>
      <c r="D415" s="3328"/>
      <c r="E415" s="2624"/>
      <c r="I415" s="3421"/>
      <c r="J415" s="2624"/>
    </row>
    <row r="416" spans="3:10" ht="12.6" customHeight="1">
      <c r="C416" s="3327"/>
      <c r="D416" s="3328"/>
      <c r="E416" s="2624"/>
      <c r="I416" s="3421"/>
      <c r="J416" s="2624"/>
    </row>
    <row r="417" spans="3:10" ht="12.6" customHeight="1">
      <c r="C417" s="3327"/>
      <c r="D417" s="3328"/>
      <c r="E417" s="2624"/>
      <c r="I417" s="3421"/>
      <c r="J417" s="2624"/>
    </row>
    <row r="418" spans="3:10" ht="12.6" customHeight="1">
      <c r="C418" s="3327"/>
      <c r="D418" s="3328"/>
      <c r="E418" s="2624"/>
      <c r="I418" s="3421"/>
      <c r="J418" s="2624"/>
    </row>
    <row r="419" spans="3:10" ht="12.6" customHeight="1">
      <c r="C419" s="3327"/>
      <c r="D419" s="3328"/>
      <c r="E419" s="2624"/>
      <c r="I419" s="3421"/>
      <c r="J419" s="2624"/>
    </row>
    <row r="420" spans="3:10" ht="12.6" customHeight="1">
      <c r="C420" s="3327"/>
      <c r="D420" s="3328"/>
      <c r="E420" s="2624"/>
      <c r="I420" s="3421"/>
      <c r="J420" s="2624"/>
    </row>
    <row r="421" spans="3:10" ht="12.6" customHeight="1">
      <c r="C421" s="3327"/>
      <c r="D421" s="3328"/>
      <c r="E421" s="2624"/>
      <c r="I421" s="3421"/>
      <c r="J421" s="2624"/>
    </row>
    <row r="422" spans="3:10" ht="12.6" customHeight="1">
      <c r="C422" s="3327"/>
      <c r="D422" s="3328"/>
      <c r="E422" s="2624"/>
      <c r="I422" s="3421"/>
      <c r="J422" s="2624"/>
    </row>
    <row r="423" spans="3:10" ht="12.6" customHeight="1">
      <c r="C423" s="3327"/>
      <c r="D423" s="3328"/>
      <c r="E423" s="2624"/>
      <c r="I423" s="3421"/>
      <c r="J423" s="2624"/>
    </row>
    <row r="424" spans="3:10" ht="12.6" customHeight="1">
      <c r="C424" s="3327"/>
      <c r="D424" s="3328"/>
      <c r="E424" s="2624"/>
      <c r="I424" s="3421"/>
      <c r="J424" s="2624"/>
    </row>
    <row r="425" spans="3:10" ht="12.6" customHeight="1">
      <c r="C425" s="3327"/>
      <c r="D425" s="3328"/>
      <c r="E425" s="2624"/>
      <c r="I425" s="3421"/>
      <c r="J425" s="2624"/>
    </row>
    <row r="426" spans="3:10" ht="12.6" customHeight="1">
      <c r="C426" s="3327"/>
      <c r="D426" s="3328"/>
      <c r="E426" s="2624"/>
      <c r="I426" s="3421"/>
      <c r="J426" s="2624"/>
    </row>
    <row r="427" spans="3:10" ht="12.6" customHeight="1">
      <c r="C427" s="3327"/>
      <c r="D427" s="3328"/>
      <c r="E427" s="2624"/>
      <c r="I427" s="3421"/>
      <c r="J427" s="2624"/>
    </row>
    <row r="428" spans="3:10" ht="12.6" customHeight="1">
      <c r="C428" s="3327"/>
      <c r="D428" s="3328"/>
      <c r="E428" s="2624"/>
      <c r="I428" s="3421"/>
      <c r="J428" s="2624"/>
    </row>
    <row r="429" spans="3:10" ht="12.6" customHeight="1">
      <c r="C429" s="3327"/>
      <c r="D429" s="3328"/>
      <c r="E429" s="2624"/>
      <c r="I429" s="3421"/>
      <c r="J429" s="2624"/>
    </row>
    <row r="430" spans="3:10" ht="12.6" customHeight="1">
      <c r="C430" s="3327"/>
      <c r="D430" s="3328"/>
      <c r="E430" s="2624"/>
      <c r="I430" s="3421"/>
      <c r="J430" s="2624"/>
    </row>
    <row r="431" spans="3:10" ht="12.6" customHeight="1">
      <c r="C431" s="3327"/>
      <c r="D431" s="3328"/>
      <c r="E431" s="2624"/>
      <c r="I431" s="3421"/>
      <c r="J431" s="2624"/>
    </row>
    <row r="432" spans="3:10" ht="12.6" customHeight="1">
      <c r="C432" s="3327"/>
      <c r="D432" s="3328"/>
      <c r="E432" s="2624"/>
      <c r="I432" s="3421"/>
      <c r="J432" s="2624"/>
    </row>
    <row r="433" spans="3:10" ht="12.6" customHeight="1">
      <c r="C433" s="3327"/>
      <c r="D433" s="3328"/>
      <c r="E433" s="2624"/>
      <c r="I433" s="3421"/>
      <c r="J433" s="2624"/>
    </row>
    <row r="434" spans="3:10" ht="12.6" customHeight="1">
      <c r="C434" s="3327"/>
      <c r="D434" s="3328"/>
      <c r="E434" s="2624"/>
      <c r="I434" s="3421"/>
      <c r="J434" s="2624"/>
    </row>
    <row r="435" spans="3:10" ht="12.6" customHeight="1">
      <c r="C435" s="3327"/>
      <c r="D435" s="3328"/>
      <c r="E435" s="2624"/>
      <c r="I435" s="3421"/>
      <c r="J435" s="2624"/>
    </row>
    <row r="436" spans="3:10" ht="12.6" customHeight="1">
      <c r="C436" s="3327"/>
      <c r="D436" s="3328"/>
      <c r="E436" s="2624"/>
      <c r="I436" s="3421"/>
      <c r="J436" s="2624"/>
    </row>
    <row r="437" spans="3:10" ht="12.6" customHeight="1">
      <c r="C437" s="3327"/>
      <c r="D437" s="3328"/>
      <c r="E437" s="2624"/>
      <c r="I437" s="3421"/>
      <c r="J437" s="2624"/>
    </row>
    <row r="438" spans="3:10" ht="12.6" customHeight="1">
      <c r="C438" s="3327"/>
      <c r="D438" s="3328"/>
      <c r="E438" s="2624"/>
      <c r="I438" s="3421"/>
      <c r="J438" s="2624"/>
    </row>
    <row r="439" spans="3:10" ht="12.6" customHeight="1">
      <c r="C439" s="3327"/>
      <c r="D439" s="3328"/>
      <c r="E439" s="2624"/>
      <c r="I439" s="3421"/>
      <c r="J439" s="2624"/>
    </row>
    <row r="440" spans="3:10" ht="12.6" customHeight="1">
      <c r="C440" s="3327"/>
      <c r="D440" s="3328"/>
      <c r="E440" s="2624"/>
      <c r="I440" s="3421"/>
      <c r="J440" s="2624"/>
    </row>
    <row r="441" spans="3:10" ht="12.6" customHeight="1">
      <c r="C441" s="3327"/>
      <c r="D441" s="3328"/>
      <c r="E441" s="2624"/>
      <c r="I441" s="3421"/>
      <c r="J441" s="2624"/>
    </row>
    <row r="442" spans="3:10" ht="12.6" customHeight="1">
      <c r="C442" s="3327"/>
      <c r="D442" s="3328"/>
      <c r="E442" s="2624"/>
      <c r="I442" s="3421"/>
      <c r="J442" s="2624"/>
    </row>
    <row r="443" spans="3:10" ht="12.6" customHeight="1">
      <c r="C443" s="3327"/>
      <c r="D443" s="3328"/>
      <c r="E443" s="2624"/>
      <c r="I443" s="3421"/>
      <c r="J443" s="2624"/>
    </row>
    <row r="444" spans="3:10" ht="12.6" customHeight="1">
      <c r="C444" s="3327"/>
      <c r="D444" s="3328"/>
      <c r="E444" s="2624"/>
      <c r="I444" s="3421"/>
      <c r="J444" s="2624"/>
    </row>
    <row r="445" spans="3:10" ht="12.6" customHeight="1">
      <c r="C445" s="3327"/>
      <c r="D445" s="3328"/>
      <c r="E445" s="2624"/>
      <c r="I445" s="3421"/>
      <c r="J445" s="2624"/>
    </row>
    <row r="446" spans="3:10" ht="12.6" customHeight="1">
      <c r="C446" s="3327"/>
      <c r="D446" s="3328"/>
      <c r="E446" s="2624"/>
      <c r="I446" s="3421"/>
      <c r="J446" s="2624"/>
    </row>
    <row r="447" spans="3:10" ht="12.6" customHeight="1">
      <c r="C447" s="3327"/>
      <c r="D447" s="3328"/>
      <c r="E447" s="2624"/>
      <c r="I447" s="3421"/>
      <c r="J447" s="2624"/>
    </row>
    <row r="448" spans="3:10" ht="12.6" customHeight="1">
      <c r="C448" s="3327"/>
      <c r="D448" s="3328"/>
      <c r="E448" s="2624"/>
      <c r="I448" s="3421"/>
      <c r="J448" s="2624"/>
    </row>
    <row r="449" spans="3:10" ht="12.6" customHeight="1">
      <c r="C449" s="3327"/>
      <c r="D449" s="3328"/>
      <c r="E449" s="2624"/>
      <c r="I449" s="3421"/>
      <c r="J449" s="2624"/>
    </row>
    <row r="450" spans="3:10" ht="12.6" customHeight="1">
      <c r="C450" s="3327"/>
      <c r="D450" s="3328"/>
      <c r="E450" s="2624"/>
      <c r="I450" s="3421"/>
      <c r="J450" s="2624"/>
    </row>
    <row r="451" spans="3:10" ht="12.6" customHeight="1">
      <c r="C451" s="3327"/>
      <c r="D451" s="3328"/>
      <c r="E451" s="2624"/>
      <c r="I451" s="3421"/>
      <c r="J451" s="2624"/>
    </row>
    <row r="452" spans="3:10" ht="12.6" customHeight="1">
      <c r="C452" s="3327"/>
      <c r="D452" s="3328"/>
      <c r="E452" s="2624"/>
      <c r="I452" s="3421"/>
      <c r="J452" s="2624"/>
    </row>
    <row r="453" spans="3:10" ht="12.6" customHeight="1">
      <c r="C453" s="3327"/>
      <c r="D453" s="3328"/>
      <c r="E453" s="2624"/>
      <c r="I453" s="3421"/>
      <c r="J453" s="2624"/>
    </row>
    <row r="454" spans="3:10" ht="12.6" customHeight="1">
      <c r="C454" s="3327"/>
      <c r="D454" s="3328"/>
      <c r="E454" s="2624"/>
      <c r="I454" s="3421"/>
      <c r="J454" s="2624"/>
    </row>
    <row r="455" spans="3:10" ht="12.6" customHeight="1">
      <c r="C455" s="3327"/>
      <c r="D455" s="3328"/>
      <c r="E455" s="2624"/>
      <c r="I455" s="3421"/>
      <c r="J455" s="2624"/>
    </row>
    <row r="456" spans="3:10" ht="12.6" customHeight="1">
      <c r="C456" s="3327"/>
      <c r="D456" s="3328"/>
      <c r="E456" s="2624"/>
      <c r="I456" s="3421"/>
      <c r="J456" s="2624"/>
    </row>
    <row r="457" spans="3:10" ht="12.6" customHeight="1">
      <c r="C457" s="3327"/>
      <c r="D457" s="3328"/>
      <c r="E457" s="2624"/>
      <c r="I457" s="3421"/>
      <c r="J457" s="2624"/>
    </row>
    <row r="458" spans="3:10" ht="12.6" customHeight="1">
      <c r="C458" s="3327"/>
      <c r="D458" s="3328"/>
      <c r="E458" s="2624"/>
      <c r="I458" s="3421"/>
      <c r="J458" s="2624"/>
    </row>
    <row r="459" spans="3:10" ht="12.6" customHeight="1">
      <c r="C459" s="3327"/>
      <c r="D459" s="3328"/>
      <c r="E459" s="2624"/>
      <c r="I459" s="3421"/>
      <c r="J459" s="2624"/>
    </row>
    <row r="460" spans="3:10" ht="12.6" customHeight="1">
      <c r="C460" s="3327"/>
      <c r="D460" s="3328"/>
      <c r="E460" s="2624"/>
      <c r="I460" s="3421"/>
      <c r="J460" s="2624"/>
    </row>
    <row r="461" spans="3:10" ht="12.6" customHeight="1">
      <c r="C461" s="3327"/>
      <c r="D461" s="3328"/>
      <c r="E461" s="2624"/>
      <c r="I461" s="3421"/>
      <c r="J461" s="2624"/>
    </row>
    <row r="462" spans="3:10" ht="12.6" customHeight="1">
      <c r="C462" s="3327"/>
      <c r="D462" s="3328"/>
      <c r="E462" s="2624"/>
      <c r="I462" s="3421"/>
      <c r="J462" s="2624"/>
    </row>
    <row r="463" spans="3:10" ht="12.6" customHeight="1">
      <c r="C463" s="3327"/>
      <c r="D463" s="3328"/>
      <c r="E463" s="2624"/>
      <c r="I463" s="3421"/>
      <c r="J463" s="2624"/>
    </row>
    <row r="464" spans="3:10" ht="12.6" customHeight="1">
      <c r="C464" s="3327"/>
      <c r="D464" s="3328"/>
      <c r="E464" s="2624"/>
      <c r="I464" s="3421"/>
      <c r="J464" s="2624"/>
    </row>
    <row r="465" spans="3:10" ht="12.6" customHeight="1">
      <c r="C465" s="3327"/>
      <c r="D465" s="3328"/>
      <c r="E465" s="2624"/>
      <c r="I465" s="3421"/>
      <c r="J465" s="2624"/>
    </row>
    <row r="466" spans="3:10" ht="12.6" customHeight="1">
      <c r="C466" s="3327"/>
      <c r="D466" s="3328"/>
      <c r="E466" s="2624"/>
      <c r="I466" s="3421"/>
      <c r="J466" s="2624"/>
    </row>
    <row r="467" spans="3:10" ht="12.6" customHeight="1">
      <c r="C467" s="3327"/>
      <c r="D467" s="3328"/>
      <c r="E467" s="2624"/>
      <c r="I467" s="3421"/>
      <c r="J467" s="2624"/>
    </row>
    <row r="468" spans="3:10" ht="12.6" customHeight="1">
      <c r="C468" s="3327"/>
      <c r="D468" s="3328"/>
      <c r="E468" s="2624"/>
      <c r="I468" s="3421"/>
      <c r="J468" s="2624"/>
    </row>
    <row r="469" spans="3:10" ht="12.6" customHeight="1">
      <c r="C469" s="3327"/>
      <c r="D469" s="3328"/>
      <c r="E469" s="2624"/>
      <c r="I469" s="3421"/>
      <c r="J469" s="2624"/>
    </row>
    <row r="470" spans="3:10" ht="12.6" customHeight="1">
      <c r="C470" s="3327"/>
      <c r="D470" s="3328"/>
      <c r="E470" s="2624"/>
      <c r="I470" s="3421"/>
      <c r="J470" s="2624"/>
    </row>
    <row r="471" spans="3:10" ht="12.6" customHeight="1">
      <c r="C471" s="3327"/>
      <c r="D471" s="3328"/>
      <c r="E471" s="2624"/>
      <c r="I471" s="3421"/>
      <c r="J471" s="2624"/>
    </row>
    <row r="472" spans="3:10" ht="12.6" customHeight="1">
      <c r="C472" s="3327"/>
      <c r="D472" s="3328"/>
      <c r="E472" s="2624"/>
      <c r="I472" s="3421"/>
      <c r="J472" s="2624"/>
    </row>
    <row r="473" spans="3:10" ht="12.6" customHeight="1">
      <c r="C473" s="3327"/>
      <c r="D473" s="3328"/>
      <c r="E473" s="2624"/>
      <c r="I473" s="3421"/>
      <c r="J473" s="2624"/>
    </row>
    <row r="474" spans="3:10" ht="12.6" customHeight="1">
      <c r="C474" s="3327"/>
      <c r="D474" s="3328"/>
      <c r="E474" s="2624"/>
      <c r="I474" s="3421"/>
      <c r="J474" s="2624"/>
    </row>
    <row r="475" spans="3:10" ht="12.6" customHeight="1">
      <c r="C475" s="3327"/>
      <c r="D475" s="3328"/>
      <c r="E475" s="2624"/>
      <c r="I475" s="3421"/>
      <c r="J475" s="2624"/>
    </row>
    <row r="476" spans="3:10" ht="12.6" customHeight="1">
      <c r="C476" s="3327"/>
      <c r="D476" s="3328"/>
      <c r="E476" s="2624"/>
      <c r="I476" s="3421"/>
      <c r="J476" s="2624"/>
    </row>
    <row r="477" spans="3:10" ht="12.6" customHeight="1">
      <c r="C477" s="3327"/>
      <c r="D477" s="3328"/>
      <c r="E477" s="2624"/>
      <c r="I477" s="3421"/>
      <c r="J477" s="2624"/>
    </row>
    <row r="478" spans="3:10" ht="12.6" customHeight="1">
      <c r="C478" s="3327"/>
      <c r="D478" s="3328"/>
      <c r="E478" s="2624"/>
      <c r="I478" s="3421"/>
      <c r="J478" s="2624"/>
    </row>
    <row r="479" spans="3:10" ht="12.6" customHeight="1">
      <c r="C479" s="3327"/>
      <c r="D479" s="3328"/>
      <c r="E479" s="2624"/>
      <c r="I479" s="3421"/>
      <c r="J479" s="2624"/>
    </row>
    <row r="480" spans="3:10" ht="12.6" customHeight="1">
      <c r="C480" s="3327"/>
      <c r="D480" s="3328"/>
      <c r="E480" s="2624"/>
      <c r="I480" s="3421"/>
      <c r="J480" s="2624"/>
    </row>
    <row r="481" spans="3:10" ht="12.6" customHeight="1">
      <c r="C481" s="3327"/>
      <c r="D481" s="3328"/>
      <c r="E481" s="2624"/>
      <c r="I481" s="3421"/>
      <c r="J481" s="2624"/>
    </row>
    <row r="482" spans="3:10" ht="12.6" customHeight="1">
      <c r="C482" s="3327"/>
      <c r="D482" s="3328"/>
      <c r="E482" s="2624"/>
      <c r="I482" s="3421"/>
      <c r="J482" s="2624"/>
    </row>
    <row r="483" spans="3:10" ht="12.6" customHeight="1">
      <c r="C483" s="3327"/>
      <c r="D483" s="3328"/>
      <c r="E483" s="2624"/>
      <c r="I483" s="3421"/>
      <c r="J483" s="2624"/>
    </row>
    <row r="484" spans="3:10" ht="12.6" customHeight="1">
      <c r="C484" s="3327"/>
      <c r="D484" s="3328"/>
      <c r="E484" s="2624"/>
      <c r="I484" s="3421"/>
      <c r="J484" s="2624"/>
    </row>
    <row r="485" spans="3:10" ht="12.6" customHeight="1">
      <c r="C485" s="3327"/>
      <c r="D485" s="3328"/>
      <c r="E485" s="2624"/>
      <c r="I485" s="3421"/>
      <c r="J485" s="2624"/>
    </row>
    <row r="486" spans="3:10" ht="12.6" customHeight="1">
      <c r="C486" s="3327"/>
      <c r="D486" s="3328"/>
      <c r="E486" s="2624"/>
      <c r="I486" s="3421"/>
      <c r="J486" s="2624"/>
    </row>
    <row r="487" spans="3:10" ht="12.6" customHeight="1">
      <c r="C487" s="3327"/>
      <c r="D487" s="3328"/>
      <c r="E487" s="2624"/>
      <c r="I487" s="3421"/>
      <c r="J487" s="2624"/>
    </row>
    <row r="488" spans="3:10" ht="12.6" customHeight="1">
      <c r="C488" s="3327"/>
      <c r="D488" s="3328"/>
      <c r="E488" s="2624"/>
      <c r="I488" s="3421"/>
      <c r="J488" s="2624"/>
    </row>
    <row r="489" spans="3:10" ht="12.6" customHeight="1">
      <c r="C489" s="3327"/>
      <c r="D489" s="3328"/>
      <c r="E489" s="2624"/>
      <c r="I489" s="3421"/>
      <c r="J489" s="2624"/>
    </row>
    <row r="490" spans="3:10" ht="12.6" customHeight="1">
      <c r="C490" s="3327"/>
      <c r="D490" s="3328"/>
      <c r="E490" s="2624"/>
      <c r="I490" s="3421"/>
      <c r="J490" s="2624"/>
    </row>
    <row r="491" spans="3:10" ht="12.6" customHeight="1">
      <c r="C491" s="3327"/>
      <c r="D491" s="3328"/>
      <c r="E491" s="2624"/>
      <c r="I491" s="3421"/>
      <c r="J491" s="2624"/>
    </row>
    <row r="492" spans="3:10" ht="12.6" customHeight="1">
      <c r="C492" s="3327"/>
      <c r="D492" s="3328"/>
      <c r="E492" s="2624"/>
      <c r="I492" s="3421"/>
      <c r="J492" s="2624"/>
    </row>
    <row r="493" spans="3:10" ht="12.6" customHeight="1">
      <c r="C493" s="3327"/>
      <c r="D493" s="3328"/>
      <c r="E493" s="2624"/>
      <c r="I493" s="3421"/>
      <c r="J493" s="2624"/>
    </row>
    <row r="494" spans="3:10" ht="12.6" customHeight="1">
      <c r="C494" s="3327"/>
      <c r="D494" s="3328"/>
      <c r="E494" s="2624"/>
      <c r="I494" s="3421"/>
      <c r="J494" s="2624"/>
    </row>
    <row r="495" spans="3:10" ht="12.6" customHeight="1">
      <c r="C495" s="3327"/>
      <c r="D495" s="3328"/>
      <c r="E495" s="2624"/>
      <c r="I495" s="3421"/>
      <c r="J495" s="2624"/>
    </row>
    <row r="496" spans="3:10" ht="12.6" customHeight="1">
      <c r="C496" s="3327"/>
      <c r="D496" s="3328"/>
      <c r="E496" s="2624"/>
      <c r="I496" s="3421"/>
      <c r="J496" s="2624"/>
    </row>
    <row r="497" spans="3:10" ht="12.6" customHeight="1">
      <c r="C497" s="3327"/>
      <c r="D497" s="3328"/>
      <c r="E497" s="2624"/>
      <c r="I497" s="3421"/>
      <c r="J497" s="2624"/>
    </row>
    <row r="498" spans="3:10" ht="12.6" customHeight="1">
      <c r="C498" s="3327"/>
      <c r="D498" s="3328"/>
      <c r="E498" s="2624"/>
      <c r="I498" s="3421"/>
      <c r="J498" s="2624"/>
    </row>
    <row r="499" spans="3:10" ht="12.6" customHeight="1">
      <c r="C499" s="3327"/>
      <c r="D499" s="3328"/>
      <c r="E499" s="2624"/>
      <c r="I499" s="3421"/>
      <c r="J499" s="2624"/>
    </row>
    <row r="500" spans="3:10" ht="12.6" customHeight="1">
      <c r="C500" s="3327"/>
      <c r="D500" s="3328"/>
      <c r="E500" s="2624"/>
      <c r="I500" s="3421"/>
      <c r="J500" s="2624"/>
    </row>
    <row r="501" spans="3:10" ht="12.6" customHeight="1">
      <c r="C501" s="3327"/>
      <c r="D501" s="3328"/>
      <c r="E501" s="2624"/>
      <c r="I501" s="3421"/>
      <c r="J501" s="2624"/>
    </row>
    <row r="502" spans="3:10" ht="12.6" customHeight="1">
      <c r="C502" s="3327"/>
      <c r="D502" s="3328"/>
      <c r="E502" s="2624"/>
      <c r="I502" s="3421"/>
      <c r="J502" s="2624"/>
    </row>
    <row r="503" spans="3:10" ht="12.6" customHeight="1">
      <c r="C503" s="3327"/>
      <c r="D503" s="3328"/>
      <c r="E503" s="2624"/>
      <c r="I503" s="3421"/>
      <c r="J503" s="2624"/>
    </row>
    <row r="504" spans="3:10" ht="12.6" customHeight="1">
      <c r="C504" s="3327"/>
      <c r="D504" s="3328"/>
      <c r="E504" s="2624"/>
      <c r="I504" s="3421"/>
      <c r="J504" s="2624"/>
    </row>
    <row r="505" spans="3:10" ht="12.6" customHeight="1">
      <c r="C505" s="3327"/>
      <c r="D505" s="3328"/>
      <c r="E505" s="2624"/>
      <c r="I505" s="3421"/>
      <c r="J505" s="2624"/>
    </row>
    <row r="506" spans="3:10" ht="12.6" customHeight="1">
      <c r="C506" s="3327"/>
      <c r="D506" s="3328"/>
      <c r="E506" s="2624"/>
      <c r="I506" s="3421"/>
      <c r="J506" s="2624"/>
    </row>
    <row r="507" spans="3:10" ht="12.6" customHeight="1">
      <c r="C507" s="3327"/>
      <c r="D507" s="3328"/>
      <c r="E507" s="2624"/>
      <c r="I507" s="3421"/>
      <c r="J507" s="2624"/>
    </row>
    <row r="508" spans="3:10" ht="12.6" customHeight="1">
      <c r="C508" s="3327"/>
      <c r="D508" s="3328"/>
      <c r="E508" s="2624"/>
      <c r="I508" s="3421"/>
      <c r="J508" s="2624"/>
    </row>
    <row r="509" spans="3:10" ht="12.6" customHeight="1">
      <c r="C509" s="3327"/>
      <c r="D509" s="3328"/>
      <c r="E509" s="2624"/>
      <c r="I509" s="3421"/>
      <c r="J509" s="2624"/>
    </row>
    <row r="510" spans="3:10" ht="12.6" customHeight="1">
      <c r="C510" s="3327"/>
      <c r="D510" s="3328"/>
      <c r="E510" s="2624"/>
      <c r="I510" s="3421"/>
      <c r="J510" s="2624"/>
    </row>
    <row r="511" spans="3:10" ht="12.6" customHeight="1">
      <c r="C511" s="3327"/>
      <c r="D511" s="3328"/>
      <c r="E511" s="2624"/>
      <c r="I511" s="3421"/>
      <c r="J511" s="2624"/>
    </row>
    <row r="512" spans="3:10" ht="12.6" customHeight="1">
      <c r="C512" s="3327"/>
      <c r="D512" s="3328"/>
      <c r="E512" s="2624"/>
      <c r="I512" s="3421"/>
      <c r="J512" s="2624"/>
    </row>
    <row r="513" spans="3:10" ht="12.6" customHeight="1">
      <c r="C513" s="3327"/>
      <c r="D513" s="3328"/>
      <c r="E513" s="2624"/>
      <c r="I513" s="3421"/>
      <c r="J513" s="2624"/>
    </row>
    <row r="514" spans="3:10" ht="12.6" customHeight="1">
      <c r="C514" s="3327"/>
      <c r="D514" s="3328"/>
      <c r="E514" s="2624"/>
      <c r="I514" s="3421"/>
      <c r="J514" s="2624"/>
    </row>
    <row r="515" spans="3:10" ht="12.6" customHeight="1">
      <c r="C515" s="3327"/>
      <c r="D515" s="3328"/>
      <c r="E515" s="2624"/>
      <c r="I515" s="3421"/>
      <c r="J515" s="2624"/>
    </row>
    <row r="516" spans="3:10" ht="12.6" customHeight="1">
      <c r="C516" s="3327"/>
      <c r="D516" s="3328"/>
      <c r="E516" s="2624"/>
      <c r="I516" s="3421"/>
      <c r="J516" s="2624"/>
    </row>
    <row r="517" spans="3:10" ht="12.6" customHeight="1">
      <c r="C517" s="3327"/>
      <c r="D517" s="3328"/>
      <c r="E517" s="2624"/>
      <c r="I517" s="3421"/>
      <c r="J517" s="2624"/>
    </row>
    <row r="518" spans="3:10" ht="12.6" customHeight="1">
      <c r="C518" s="3327"/>
      <c r="D518" s="3328"/>
      <c r="E518" s="2624"/>
      <c r="I518" s="3421"/>
      <c r="J518" s="2624"/>
    </row>
    <row r="519" spans="3:10" ht="12.6" customHeight="1">
      <c r="C519" s="3327"/>
      <c r="D519" s="3328"/>
      <c r="E519" s="2624"/>
      <c r="I519" s="3421"/>
      <c r="J519" s="2624"/>
    </row>
    <row r="520" spans="3:10" ht="12.6" customHeight="1">
      <c r="C520" s="3327"/>
      <c r="D520" s="3328"/>
      <c r="E520" s="2624"/>
      <c r="I520" s="3421"/>
      <c r="J520" s="2624"/>
    </row>
    <row r="521" spans="3:10" ht="12.6" customHeight="1">
      <c r="C521" s="3327"/>
      <c r="D521" s="3328"/>
      <c r="E521" s="2624"/>
      <c r="I521" s="3421"/>
      <c r="J521" s="2624"/>
    </row>
    <row r="522" spans="3:10" ht="12.6" customHeight="1">
      <c r="C522" s="3327"/>
      <c r="D522" s="3328"/>
      <c r="E522" s="2624"/>
      <c r="I522" s="3421"/>
      <c r="J522" s="2624"/>
    </row>
    <row r="523" spans="3:10" ht="12.6" customHeight="1">
      <c r="C523" s="3327"/>
      <c r="D523" s="3328"/>
      <c r="E523" s="2624"/>
      <c r="I523" s="3421"/>
      <c r="J523" s="2624"/>
    </row>
    <row r="524" spans="3:10" ht="12.6" customHeight="1">
      <c r="C524" s="3327"/>
      <c r="D524" s="3328"/>
      <c r="E524" s="2624"/>
      <c r="I524" s="3421"/>
      <c r="J524" s="2624"/>
    </row>
    <row r="525" spans="3:10" ht="12.6" customHeight="1">
      <c r="C525" s="3327"/>
      <c r="D525" s="3328"/>
      <c r="E525" s="2624"/>
      <c r="I525" s="3421"/>
      <c r="J525" s="2624"/>
    </row>
    <row r="526" spans="3:10" ht="12.6" customHeight="1">
      <c r="C526" s="3327"/>
      <c r="D526" s="3328"/>
      <c r="E526" s="2624"/>
      <c r="I526" s="3421"/>
      <c r="J526" s="2624"/>
    </row>
    <row r="527" spans="3:10" ht="12.6" customHeight="1">
      <c r="C527" s="3327"/>
      <c r="D527" s="3328"/>
      <c r="E527" s="2624"/>
      <c r="I527" s="3421"/>
      <c r="J527" s="2624"/>
    </row>
    <row r="528" spans="3:10" ht="12.6" customHeight="1">
      <c r="C528" s="3327"/>
      <c r="D528" s="3328"/>
      <c r="E528" s="2624"/>
      <c r="I528" s="3421"/>
      <c r="J528" s="2624"/>
    </row>
    <row r="529" spans="3:10" ht="12.6" customHeight="1">
      <c r="C529" s="3327"/>
      <c r="D529" s="3328"/>
      <c r="E529" s="2624"/>
      <c r="I529" s="3421"/>
      <c r="J529" s="2624"/>
    </row>
    <row r="530" spans="3:10" ht="12.6" customHeight="1">
      <c r="C530" s="3327"/>
      <c r="D530" s="3328"/>
      <c r="E530" s="2624"/>
      <c r="I530" s="3421"/>
      <c r="J530" s="2624"/>
    </row>
    <row r="531" spans="3:10" ht="12.6" customHeight="1">
      <c r="C531" s="3327"/>
      <c r="D531" s="3328"/>
      <c r="E531" s="2624"/>
      <c r="I531" s="3421"/>
      <c r="J531" s="2624"/>
    </row>
    <row r="532" spans="3:10" ht="12.6" customHeight="1">
      <c r="C532" s="3327"/>
      <c r="D532" s="3328"/>
      <c r="E532" s="2624"/>
      <c r="I532" s="3421"/>
      <c r="J532" s="2624"/>
    </row>
    <row r="533" spans="3:10" ht="12.6" customHeight="1">
      <c r="C533" s="3327"/>
      <c r="D533" s="3328"/>
      <c r="E533" s="2624"/>
      <c r="I533" s="3421"/>
      <c r="J533" s="2624"/>
    </row>
    <row r="534" spans="3:10" ht="12.6" customHeight="1">
      <c r="C534" s="3327"/>
      <c r="D534" s="3328"/>
      <c r="E534" s="2624"/>
      <c r="I534" s="3421"/>
      <c r="J534" s="2624"/>
    </row>
    <row r="535" spans="3:10" ht="12.6" customHeight="1">
      <c r="C535" s="3327"/>
      <c r="D535" s="3328"/>
      <c r="E535" s="2624"/>
      <c r="I535" s="3421"/>
      <c r="J535" s="2624"/>
    </row>
    <row r="536" spans="3:10" ht="12.6" customHeight="1">
      <c r="C536" s="3327"/>
      <c r="D536" s="3328"/>
      <c r="E536" s="2624"/>
      <c r="I536" s="3421"/>
      <c r="J536" s="2624"/>
    </row>
    <row r="537" spans="3:10" ht="12.6" customHeight="1">
      <c r="C537" s="3327"/>
      <c r="D537" s="3328"/>
      <c r="E537" s="2624"/>
      <c r="I537" s="3421"/>
      <c r="J537" s="2624"/>
    </row>
    <row r="538" spans="3:10" ht="12.6" customHeight="1">
      <c r="C538" s="3327"/>
      <c r="D538" s="3328"/>
      <c r="E538" s="2624"/>
      <c r="I538" s="3421"/>
      <c r="J538" s="2624"/>
    </row>
    <row r="539" spans="3:10" ht="12.6" customHeight="1">
      <c r="C539" s="3327"/>
      <c r="D539" s="3328"/>
      <c r="E539" s="2624"/>
      <c r="I539" s="3421"/>
      <c r="J539" s="2624"/>
    </row>
    <row r="540" spans="3:10" ht="12.6" customHeight="1">
      <c r="C540" s="3327"/>
      <c r="D540" s="3328"/>
      <c r="E540" s="2624"/>
      <c r="I540" s="3421"/>
      <c r="J540" s="2624"/>
    </row>
    <row r="541" spans="3:10" ht="12.6" customHeight="1">
      <c r="C541" s="3327"/>
      <c r="D541" s="3328"/>
      <c r="E541" s="2624"/>
      <c r="I541" s="3421"/>
      <c r="J541" s="2624"/>
    </row>
    <row r="542" spans="3:10" ht="12.6" customHeight="1">
      <c r="C542" s="3327"/>
      <c r="D542" s="3328"/>
      <c r="E542" s="2624"/>
      <c r="I542" s="3421"/>
      <c r="J542" s="2624"/>
    </row>
    <row r="543" spans="3:10" ht="12.6" customHeight="1">
      <c r="C543" s="3327"/>
      <c r="D543" s="3328"/>
      <c r="E543" s="2624"/>
      <c r="I543" s="3421"/>
      <c r="J543" s="2624"/>
    </row>
    <row r="544" spans="3:10" ht="12.6" customHeight="1">
      <c r="C544" s="3327"/>
      <c r="D544" s="3328"/>
      <c r="E544" s="2624"/>
      <c r="I544" s="3421"/>
      <c r="J544" s="2624"/>
    </row>
    <row r="545" spans="3:10" ht="12.6" customHeight="1">
      <c r="C545" s="3327"/>
      <c r="D545" s="3328"/>
      <c r="E545" s="2624"/>
      <c r="I545" s="3421"/>
      <c r="J545" s="2624"/>
    </row>
    <row r="546" spans="3:10" ht="12.6" customHeight="1">
      <c r="C546" s="3327"/>
      <c r="D546" s="3328"/>
      <c r="E546" s="2624"/>
      <c r="I546" s="3421"/>
      <c r="J546" s="2624"/>
    </row>
    <row r="547" spans="3:10" ht="12.6" customHeight="1">
      <c r="C547" s="3327"/>
      <c r="D547" s="3328"/>
      <c r="E547" s="2624"/>
      <c r="I547" s="3421"/>
      <c r="J547" s="2624"/>
    </row>
    <row r="548" spans="3:10" ht="12.6" customHeight="1">
      <c r="C548" s="3327"/>
      <c r="D548" s="3328"/>
      <c r="E548" s="2624"/>
      <c r="I548" s="3421"/>
      <c r="J548" s="2624"/>
    </row>
    <row r="549" spans="3:10" ht="12.6" customHeight="1">
      <c r="C549" s="3327"/>
      <c r="D549" s="3328"/>
      <c r="E549" s="2624"/>
      <c r="I549" s="3421"/>
      <c r="J549" s="2624"/>
    </row>
    <row r="550" spans="3:10" ht="12.6" customHeight="1">
      <c r="C550" s="3327"/>
      <c r="D550" s="3328"/>
      <c r="E550" s="2624"/>
      <c r="I550" s="3421"/>
      <c r="J550" s="2624"/>
    </row>
    <row r="551" spans="3:10" ht="12.6" customHeight="1">
      <c r="C551" s="3327"/>
      <c r="D551" s="3328"/>
      <c r="E551" s="2624"/>
      <c r="I551" s="3421"/>
      <c r="J551" s="2624"/>
    </row>
    <row r="552" spans="3:10" ht="12.6" customHeight="1">
      <c r="C552" s="3327"/>
      <c r="D552" s="3328"/>
      <c r="E552" s="2624"/>
      <c r="I552" s="3421"/>
      <c r="J552" s="2624"/>
    </row>
    <row r="553" spans="3:10" ht="12.6" customHeight="1">
      <c r="C553" s="3327"/>
      <c r="D553" s="3328"/>
      <c r="E553" s="2624"/>
      <c r="I553" s="3421"/>
      <c r="J553" s="2624"/>
    </row>
    <row r="554" spans="3:10" ht="12.6" customHeight="1">
      <c r="C554" s="3327"/>
      <c r="D554" s="3328"/>
      <c r="E554" s="2624"/>
      <c r="I554" s="3421"/>
      <c r="J554" s="2624"/>
    </row>
    <row r="555" spans="3:10" ht="12.6" customHeight="1">
      <c r="C555" s="3327"/>
      <c r="D555" s="3328"/>
      <c r="E555" s="2624"/>
      <c r="I555" s="3421"/>
      <c r="J555" s="2624"/>
    </row>
    <row r="556" spans="3:10" ht="12.6" customHeight="1">
      <c r="C556" s="3327"/>
      <c r="D556" s="3328"/>
      <c r="E556" s="2624"/>
      <c r="I556" s="3421"/>
      <c r="J556" s="2624"/>
    </row>
    <row r="557" spans="3:10" ht="12.6" customHeight="1">
      <c r="C557" s="3327"/>
      <c r="D557" s="3328"/>
      <c r="E557" s="2624"/>
      <c r="I557" s="3421"/>
      <c r="J557" s="2624"/>
    </row>
    <row r="558" spans="3:10" ht="12.6" customHeight="1">
      <c r="C558" s="3327"/>
      <c r="D558" s="3328"/>
      <c r="E558" s="2624"/>
      <c r="I558" s="3421"/>
      <c r="J558" s="2624"/>
    </row>
    <row r="559" spans="3:10" ht="12.6" customHeight="1">
      <c r="C559" s="3327"/>
      <c r="D559" s="3328"/>
      <c r="E559" s="2624"/>
      <c r="I559" s="3421"/>
      <c r="J559" s="2624"/>
    </row>
    <row r="560" spans="3:10" ht="12.6" customHeight="1">
      <c r="C560" s="3327"/>
      <c r="D560" s="3328"/>
      <c r="E560" s="2624"/>
      <c r="I560" s="3421"/>
      <c r="J560" s="2624"/>
    </row>
    <row r="561" spans="3:10" ht="12.6" customHeight="1">
      <c r="C561" s="3327"/>
      <c r="D561" s="3328"/>
      <c r="E561" s="2624"/>
      <c r="I561" s="3421"/>
      <c r="J561" s="2624"/>
    </row>
    <row r="562" spans="3:10" ht="12.6" customHeight="1">
      <c r="C562" s="3327"/>
      <c r="D562" s="3328"/>
      <c r="E562" s="2624"/>
      <c r="I562" s="3421"/>
      <c r="J562" s="2624"/>
    </row>
    <row r="563" spans="3:10" ht="12.6" customHeight="1">
      <c r="C563" s="3327"/>
      <c r="D563" s="3328"/>
      <c r="E563" s="2624"/>
      <c r="I563" s="3421"/>
      <c r="J563" s="2624"/>
    </row>
    <row r="564" spans="3:10" ht="12.6" customHeight="1">
      <c r="C564" s="3327"/>
      <c r="D564" s="3328"/>
      <c r="E564" s="2624"/>
      <c r="I564" s="3421"/>
      <c r="J564" s="2624"/>
    </row>
    <row r="565" spans="3:10" ht="12.6" customHeight="1">
      <c r="C565" s="3327"/>
      <c r="D565" s="3328"/>
      <c r="E565" s="2624"/>
      <c r="I565" s="3421"/>
      <c r="J565" s="2624"/>
    </row>
    <row r="566" spans="3:10" ht="12.6" customHeight="1">
      <c r="C566" s="3327"/>
      <c r="D566" s="3328"/>
      <c r="E566" s="2624"/>
      <c r="I566" s="3421"/>
      <c r="J566" s="2624"/>
    </row>
    <row r="567" spans="3:10" ht="12.6" customHeight="1">
      <c r="C567" s="3327"/>
      <c r="D567" s="3328"/>
      <c r="E567" s="2624"/>
      <c r="I567" s="3421"/>
      <c r="J567" s="2624"/>
    </row>
    <row r="568" spans="3:10" ht="12.6" customHeight="1">
      <c r="C568" s="3327"/>
      <c r="D568" s="3328"/>
      <c r="E568" s="2624"/>
      <c r="I568" s="3421"/>
      <c r="J568" s="2624"/>
    </row>
    <row r="569" spans="3:10" ht="12.6" customHeight="1">
      <c r="C569" s="3327"/>
      <c r="D569" s="3328"/>
      <c r="E569" s="2624"/>
      <c r="I569" s="3421"/>
      <c r="J569" s="2624"/>
    </row>
    <row r="570" spans="3:10" ht="12.6" customHeight="1">
      <c r="C570" s="3327"/>
      <c r="D570" s="3328"/>
      <c r="E570" s="2624"/>
      <c r="I570" s="3421"/>
      <c r="J570" s="2624"/>
    </row>
    <row r="571" spans="3:10" ht="12.6" customHeight="1">
      <c r="C571" s="3327"/>
      <c r="D571" s="3328"/>
      <c r="E571" s="2624"/>
      <c r="I571" s="3421"/>
      <c r="J571" s="2624"/>
    </row>
    <row r="572" spans="3:10" ht="12.6" customHeight="1">
      <c r="C572" s="3327"/>
      <c r="D572" s="3328"/>
      <c r="E572" s="2624"/>
      <c r="I572" s="3421"/>
      <c r="J572" s="2624"/>
    </row>
    <row r="573" spans="3:10" ht="12.6" customHeight="1">
      <c r="C573" s="3327"/>
      <c r="D573" s="3328"/>
      <c r="E573" s="2624"/>
      <c r="I573" s="3421"/>
      <c r="J573" s="2624"/>
    </row>
    <row r="574" spans="3:10" ht="12.6" customHeight="1">
      <c r="C574" s="3327"/>
      <c r="D574" s="3328"/>
      <c r="E574" s="2624"/>
      <c r="I574" s="3421"/>
      <c r="J574" s="2624"/>
    </row>
    <row r="575" spans="3:10" ht="12.6" customHeight="1">
      <c r="C575" s="3327"/>
      <c r="D575" s="3328"/>
      <c r="E575" s="2624"/>
      <c r="I575" s="3421"/>
      <c r="J575" s="2624"/>
    </row>
    <row r="576" spans="3:10" ht="12.6" customHeight="1">
      <c r="C576" s="3327"/>
      <c r="D576" s="3328"/>
      <c r="E576" s="2624"/>
      <c r="I576" s="3421"/>
      <c r="J576" s="2624"/>
    </row>
    <row r="577" spans="3:10" ht="12.6" customHeight="1">
      <c r="C577" s="3327"/>
      <c r="D577" s="3328"/>
      <c r="E577" s="2624"/>
      <c r="I577" s="3421"/>
      <c r="J577" s="2624"/>
    </row>
    <row r="578" spans="3:10" ht="12.6" customHeight="1">
      <c r="C578" s="3327"/>
      <c r="D578" s="3328"/>
      <c r="E578" s="2624"/>
      <c r="I578" s="3421"/>
      <c r="J578" s="2624"/>
    </row>
    <row r="579" spans="3:10" ht="12.6" customHeight="1">
      <c r="C579" s="3327"/>
      <c r="D579" s="3328"/>
      <c r="E579" s="2624"/>
      <c r="I579" s="3421"/>
      <c r="J579" s="2624"/>
    </row>
    <row r="580" spans="3:10" ht="12.6" customHeight="1">
      <c r="C580" s="3327"/>
      <c r="D580" s="3328"/>
      <c r="E580" s="2624"/>
      <c r="I580" s="3421"/>
      <c r="J580" s="2624"/>
    </row>
    <row r="581" spans="3:10" ht="12.6" customHeight="1">
      <c r="C581" s="3327"/>
      <c r="D581" s="3328"/>
      <c r="E581" s="2624"/>
      <c r="I581" s="3421"/>
      <c r="J581" s="2624"/>
    </row>
    <row r="582" spans="3:10" ht="12.6" customHeight="1">
      <c r="C582" s="3327"/>
      <c r="D582" s="3328"/>
      <c r="E582" s="2624"/>
      <c r="I582" s="3421"/>
      <c r="J582" s="2624"/>
    </row>
    <row r="583" spans="3:10" ht="12.6" customHeight="1">
      <c r="C583" s="3327"/>
      <c r="D583" s="3328"/>
      <c r="E583" s="2624"/>
      <c r="I583" s="3421"/>
      <c r="J583" s="2624"/>
    </row>
    <row r="584" spans="3:10" ht="12.6" customHeight="1">
      <c r="C584" s="3327"/>
      <c r="D584" s="3328"/>
      <c r="E584" s="2624"/>
      <c r="I584" s="3421"/>
      <c r="J584" s="2624"/>
    </row>
    <row r="585" spans="3:10" ht="12.6" customHeight="1">
      <c r="C585" s="3327"/>
      <c r="D585" s="3328"/>
      <c r="E585" s="2624"/>
      <c r="I585" s="3421"/>
      <c r="J585" s="2624"/>
    </row>
    <row r="586" spans="3:10" ht="12.6" customHeight="1">
      <c r="C586" s="3327"/>
      <c r="D586" s="3328"/>
      <c r="E586" s="2624"/>
      <c r="I586" s="3421"/>
      <c r="J586" s="2624"/>
    </row>
    <row r="587" spans="3:10" ht="12.6" customHeight="1">
      <c r="C587" s="3327"/>
      <c r="D587" s="3328"/>
      <c r="E587" s="2624"/>
      <c r="I587" s="3421"/>
      <c r="J587" s="2624"/>
    </row>
    <row r="588" spans="3:10" ht="12.6" customHeight="1">
      <c r="C588" s="3327"/>
      <c r="D588" s="3328"/>
      <c r="E588" s="2624"/>
      <c r="I588" s="3421"/>
      <c r="J588" s="2624"/>
    </row>
    <row r="589" spans="3:10" ht="12.6" customHeight="1">
      <c r="C589" s="3327"/>
      <c r="D589" s="3328"/>
      <c r="E589" s="2624"/>
      <c r="I589" s="3421"/>
      <c r="J589" s="2624"/>
    </row>
    <row r="590" spans="3:10" ht="12.6" customHeight="1">
      <c r="C590" s="3327"/>
      <c r="D590" s="3328"/>
      <c r="E590" s="2624"/>
      <c r="I590" s="3421"/>
      <c r="J590" s="2624"/>
    </row>
    <row r="591" spans="3:10" ht="12.6" customHeight="1">
      <c r="C591" s="3327"/>
      <c r="D591" s="3328"/>
      <c r="E591" s="2624"/>
      <c r="I591" s="3421"/>
      <c r="J591" s="2624"/>
    </row>
    <row r="592" spans="3:10" ht="12.6" customHeight="1">
      <c r="C592" s="3327"/>
      <c r="D592" s="3328"/>
      <c r="E592" s="2624"/>
      <c r="I592" s="3421"/>
      <c r="J592" s="2624"/>
    </row>
    <row r="593" spans="3:10" ht="12.6" customHeight="1">
      <c r="C593" s="3327"/>
      <c r="D593" s="3328"/>
      <c r="E593" s="2624"/>
      <c r="I593" s="3421"/>
      <c r="J593" s="2624"/>
    </row>
    <row r="594" spans="3:10" ht="12.6" customHeight="1">
      <c r="C594" s="3327"/>
      <c r="D594" s="3328"/>
      <c r="E594" s="2624"/>
      <c r="I594" s="3421"/>
      <c r="J594" s="2624"/>
    </row>
    <row r="595" spans="3:10" ht="12.6" customHeight="1">
      <c r="C595" s="3327"/>
      <c r="D595" s="3328"/>
      <c r="E595" s="2624"/>
      <c r="I595" s="3421"/>
      <c r="J595" s="2624"/>
    </row>
    <row r="596" spans="3:10" ht="12.6" customHeight="1">
      <c r="C596" s="3327"/>
      <c r="D596" s="3328"/>
      <c r="E596" s="2624"/>
      <c r="I596" s="3421"/>
      <c r="J596" s="2624"/>
    </row>
    <row r="597" spans="3:10" ht="12.6" customHeight="1">
      <c r="C597" s="3327"/>
      <c r="D597" s="3328"/>
      <c r="E597" s="2624"/>
      <c r="I597" s="3421"/>
      <c r="J597" s="2624"/>
    </row>
    <row r="598" spans="3:10" ht="12.6" customHeight="1">
      <c r="C598" s="3327"/>
      <c r="D598" s="3328"/>
      <c r="E598" s="2624"/>
      <c r="I598" s="3421"/>
      <c r="J598" s="2624"/>
    </row>
    <row r="599" spans="3:10" ht="12.6" customHeight="1">
      <c r="C599" s="3327"/>
      <c r="D599" s="3328"/>
      <c r="E599" s="2624"/>
      <c r="I599" s="3421"/>
      <c r="J599" s="2624"/>
    </row>
    <row r="600" spans="3:10" ht="12.6" customHeight="1">
      <c r="C600" s="3327"/>
      <c r="D600" s="3328"/>
      <c r="E600" s="2624"/>
      <c r="I600" s="3421"/>
      <c r="J600" s="2624"/>
    </row>
    <row r="601" spans="3:10" ht="12.6" customHeight="1">
      <c r="C601" s="3327"/>
      <c r="D601" s="3328"/>
      <c r="E601" s="2624"/>
      <c r="I601" s="3421"/>
      <c r="J601" s="2624"/>
    </row>
    <row r="602" spans="3:10" ht="12.6" customHeight="1">
      <c r="C602" s="3327"/>
      <c r="D602" s="3328"/>
      <c r="E602" s="2624"/>
      <c r="I602" s="3421"/>
      <c r="J602" s="2624"/>
    </row>
    <row r="603" spans="3:10" ht="12.6" customHeight="1">
      <c r="C603" s="3327"/>
      <c r="D603" s="3328"/>
      <c r="E603" s="2624"/>
      <c r="I603" s="3421"/>
      <c r="J603" s="2624"/>
    </row>
    <row r="604" spans="3:10" ht="12.6" customHeight="1">
      <c r="C604" s="3327"/>
      <c r="D604" s="3328"/>
      <c r="E604" s="2624"/>
      <c r="I604" s="3421"/>
      <c r="J604" s="2624"/>
    </row>
    <row r="605" spans="3:10" ht="12.6" customHeight="1">
      <c r="C605" s="3327"/>
      <c r="D605" s="3328"/>
      <c r="E605" s="2624"/>
      <c r="I605" s="3421"/>
      <c r="J605" s="2624"/>
    </row>
    <row r="606" spans="3:10" ht="12.6" customHeight="1">
      <c r="C606" s="3327"/>
      <c r="D606" s="3328"/>
      <c r="E606" s="2624"/>
      <c r="I606" s="3421"/>
      <c r="J606" s="2624"/>
    </row>
    <row r="607" spans="3:10" ht="12.6" customHeight="1">
      <c r="C607" s="3327"/>
      <c r="D607" s="3328"/>
      <c r="E607" s="2624"/>
      <c r="I607" s="3421"/>
      <c r="J607" s="2624"/>
    </row>
    <row r="608" spans="3:10" ht="12.6" customHeight="1">
      <c r="C608" s="3327"/>
      <c r="D608" s="3328"/>
      <c r="E608" s="2624"/>
      <c r="I608" s="3421"/>
      <c r="J608" s="2624"/>
    </row>
    <row r="609" spans="3:10" ht="12.6" customHeight="1">
      <c r="C609" s="3327"/>
      <c r="D609" s="3328"/>
      <c r="E609" s="2624"/>
      <c r="I609" s="3421"/>
      <c r="J609" s="2624"/>
    </row>
    <row r="610" spans="3:10" ht="12.6" customHeight="1">
      <c r="C610" s="3327"/>
      <c r="D610" s="3328"/>
      <c r="E610" s="2624"/>
      <c r="I610" s="3421"/>
      <c r="J610" s="2624"/>
    </row>
    <row r="611" spans="3:10" ht="12.6" customHeight="1">
      <c r="C611" s="3327"/>
      <c r="D611" s="3328"/>
      <c r="E611" s="2624"/>
      <c r="I611" s="3421"/>
      <c r="J611" s="2624"/>
    </row>
    <row r="612" spans="3:10" ht="12.6" customHeight="1">
      <c r="C612" s="3327"/>
      <c r="D612" s="3328"/>
      <c r="E612" s="2624"/>
      <c r="I612" s="3421"/>
      <c r="J612" s="2624"/>
    </row>
    <row r="613" spans="3:10" ht="12.6" customHeight="1">
      <c r="C613" s="3327"/>
      <c r="D613" s="3328"/>
      <c r="E613" s="2624"/>
      <c r="I613" s="3421"/>
      <c r="J613" s="2624"/>
    </row>
    <row r="614" spans="3:10" ht="12.6" customHeight="1">
      <c r="C614" s="3327"/>
      <c r="D614" s="3328"/>
      <c r="E614" s="2624"/>
      <c r="I614" s="3421"/>
      <c r="J614" s="2624"/>
    </row>
    <row r="615" spans="3:10" ht="12.6" customHeight="1">
      <c r="C615" s="3327"/>
      <c r="D615" s="3328"/>
      <c r="E615" s="2624"/>
      <c r="I615" s="3421"/>
      <c r="J615" s="2624"/>
    </row>
    <row r="616" spans="3:10" ht="12.6" customHeight="1">
      <c r="C616" s="3327"/>
      <c r="D616" s="3328"/>
      <c r="E616" s="2624"/>
      <c r="I616" s="3421"/>
      <c r="J616" s="2624"/>
    </row>
    <row r="617" spans="3:10" ht="12.6" customHeight="1">
      <c r="C617" s="3327"/>
      <c r="D617" s="3328"/>
      <c r="E617" s="2624"/>
      <c r="I617" s="3421"/>
      <c r="J617" s="2624"/>
    </row>
    <row r="618" spans="3:10" ht="12.6" customHeight="1">
      <c r="C618" s="3327"/>
      <c r="D618" s="3328"/>
      <c r="E618" s="2624"/>
      <c r="I618" s="3421"/>
      <c r="J618" s="2624"/>
    </row>
    <row r="619" spans="3:10" ht="12.6" customHeight="1">
      <c r="C619" s="3327"/>
      <c r="D619" s="3328"/>
      <c r="E619" s="2624"/>
      <c r="I619" s="3421"/>
      <c r="J619" s="2624"/>
    </row>
    <row r="620" spans="3:10" ht="12.6" customHeight="1">
      <c r="C620" s="3327"/>
      <c r="D620" s="3328"/>
      <c r="E620" s="2624"/>
      <c r="I620" s="3421"/>
      <c r="J620" s="2624"/>
    </row>
    <row r="621" spans="3:10" ht="12.6" customHeight="1">
      <c r="C621" s="3327"/>
      <c r="D621" s="3328"/>
      <c r="E621" s="2624"/>
      <c r="I621" s="3421"/>
      <c r="J621" s="2624"/>
    </row>
    <row r="622" spans="3:10" ht="12.6" customHeight="1">
      <c r="C622" s="3327"/>
      <c r="D622" s="3328"/>
      <c r="E622" s="2624"/>
      <c r="I622" s="3421"/>
      <c r="J622" s="2624"/>
    </row>
    <row r="623" spans="3:10" ht="12.6" customHeight="1">
      <c r="C623" s="3327"/>
      <c r="D623" s="3328"/>
      <c r="E623" s="2624"/>
      <c r="I623" s="3421"/>
      <c r="J623" s="2624"/>
    </row>
    <row r="624" spans="3:10" ht="12.6" customHeight="1">
      <c r="C624" s="3327"/>
      <c r="D624" s="3328"/>
      <c r="E624" s="2624"/>
      <c r="I624" s="3421"/>
      <c r="J624" s="2624"/>
    </row>
    <row r="625" spans="3:10" ht="12.6" customHeight="1">
      <c r="C625" s="3327"/>
      <c r="D625" s="3328"/>
      <c r="E625" s="2624"/>
      <c r="I625" s="3421"/>
      <c r="J625" s="2624"/>
    </row>
    <row r="626" spans="3:10" ht="12.6" customHeight="1">
      <c r="C626" s="3327"/>
      <c r="D626" s="3328"/>
      <c r="E626" s="2624"/>
      <c r="I626" s="3421"/>
      <c r="J626" s="2624"/>
    </row>
    <row r="627" spans="3:10" ht="12.6" customHeight="1">
      <c r="C627" s="3327"/>
      <c r="D627" s="3328"/>
      <c r="E627" s="2624"/>
      <c r="I627" s="3421"/>
      <c r="J627" s="2624"/>
    </row>
    <row r="628" spans="3:10" ht="12.6" customHeight="1">
      <c r="C628" s="3327"/>
      <c r="D628" s="3328"/>
      <c r="E628" s="2624"/>
      <c r="I628" s="3421"/>
      <c r="J628" s="2624"/>
    </row>
    <row r="629" spans="3:10" ht="12.6" customHeight="1">
      <c r="C629" s="3327"/>
      <c r="D629" s="3328"/>
      <c r="E629" s="2624"/>
      <c r="I629" s="3421"/>
      <c r="J629" s="2624"/>
    </row>
    <row r="630" spans="3:10" ht="12.6" customHeight="1">
      <c r="C630" s="3327"/>
      <c r="D630" s="3328"/>
      <c r="E630" s="2624"/>
      <c r="I630" s="3421"/>
      <c r="J630" s="2624"/>
    </row>
    <row r="631" spans="3:10" ht="12.6" customHeight="1">
      <c r="C631" s="3327"/>
      <c r="D631" s="3328"/>
      <c r="E631" s="2624"/>
      <c r="I631" s="3421"/>
      <c r="J631" s="2624"/>
    </row>
    <row r="632" spans="3:10" ht="12.6" customHeight="1">
      <c r="C632" s="3327"/>
      <c r="D632" s="3328"/>
      <c r="E632" s="2624"/>
      <c r="I632" s="3421"/>
      <c r="J632" s="2624"/>
    </row>
    <row r="633" spans="3:10" ht="12.6" customHeight="1">
      <c r="C633" s="3327"/>
      <c r="D633" s="3328"/>
      <c r="E633" s="2624"/>
      <c r="I633" s="3421"/>
      <c r="J633" s="2624"/>
    </row>
    <row r="634" spans="3:10" ht="12.6" customHeight="1">
      <c r="C634" s="3327"/>
      <c r="D634" s="3328"/>
      <c r="E634" s="2624"/>
      <c r="I634" s="3421"/>
      <c r="J634" s="2624"/>
    </row>
    <row r="635" spans="3:10" ht="12.6" customHeight="1">
      <c r="C635" s="3327"/>
      <c r="D635" s="3328"/>
      <c r="E635" s="2624"/>
      <c r="I635" s="3421"/>
      <c r="J635" s="2624"/>
    </row>
    <row r="636" spans="3:10" ht="12.6" customHeight="1">
      <c r="C636" s="3327"/>
      <c r="D636" s="3328"/>
      <c r="E636" s="2624"/>
      <c r="I636" s="3421"/>
      <c r="J636" s="2624"/>
    </row>
    <row r="637" spans="3:10" ht="12.6" customHeight="1">
      <c r="C637" s="3327"/>
      <c r="D637" s="3328"/>
      <c r="E637" s="2624"/>
      <c r="I637" s="3421"/>
      <c r="J637" s="2624"/>
    </row>
    <row r="638" spans="3:10" ht="12.6" customHeight="1">
      <c r="C638" s="3327"/>
      <c r="D638" s="3328"/>
      <c r="E638" s="2624"/>
      <c r="I638" s="3421"/>
      <c r="J638" s="2624"/>
    </row>
    <row r="639" spans="3:10" ht="12.6" customHeight="1">
      <c r="C639" s="3327"/>
      <c r="D639" s="3328"/>
      <c r="E639" s="2624"/>
      <c r="I639" s="3421"/>
      <c r="J639" s="2624"/>
    </row>
    <row r="640" spans="3:10" ht="12.6" customHeight="1">
      <c r="C640" s="3327"/>
      <c r="D640" s="3328"/>
      <c r="E640" s="2624"/>
      <c r="I640" s="3421"/>
      <c r="J640" s="2624"/>
    </row>
    <row r="641" spans="3:10" ht="12.6" customHeight="1">
      <c r="C641" s="3327"/>
      <c r="D641" s="3328"/>
      <c r="E641" s="2624"/>
      <c r="I641" s="3421"/>
      <c r="J641" s="2624"/>
    </row>
    <row r="642" spans="3:10" ht="12.6" customHeight="1">
      <c r="C642" s="3327"/>
      <c r="D642" s="3328"/>
      <c r="E642" s="2624"/>
      <c r="I642" s="3421"/>
      <c r="J642" s="2624"/>
    </row>
    <row r="643" spans="3:10" ht="12.6" customHeight="1">
      <c r="C643" s="3327"/>
      <c r="D643" s="3328"/>
      <c r="E643" s="2624"/>
      <c r="I643" s="3421"/>
      <c r="J643" s="2624"/>
    </row>
    <row r="644" spans="3:10" ht="12.6" customHeight="1">
      <c r="C644" s="3327"/>
      <c r="D644" s="3328"/>
      <c r="E644" s="2624"/>
      <c r="I644" s="3421"/>
      <c r="J644" s="3422"/>
    </row>
    <row r="645" spans="3:10" ht="12.6" customHeight="1">
      <c r="C645" s="3327"/>
      <c r="D645" s="3328"/>
      <c r="E645" s="2624"/>
      <c r="I645" s="3421"/>
      <c r="J645" s="3422"/>
    </row>
    <row r="646" spans="3:10" ht="12.6" customHeight="1">
      <c r="C646" s="3327"/>
      <c r="D646" s="3328"/>
      <c r="E646" s="2624"/>
      <c r="I646" s="3421"/>
      <c r="J646" s="3422"/>
    </row>
    <row r="647" spans="3:10" ht="12.6" customHeight="1">
      <c r="C647" s="3327"/>
      <c r="D647" s="3328"/>
      <c r="E647" s="2624"/>
      <c r="I647" s="3421"/>
      <c r="J647" s="3422"/>
    </row>
    <row r="648" spans="3:10" ht="12.6" customHeight="1">
      <c r="C648" s="3327"/>
      <c r="D648" s="3328"/>
      <c r="E648" s="3422"/>
      <c r="I648" s="3421"/>
      <c r="J648" s="3422"/>
    </row>
    <row r="649" spans="3:10" ht="12.6" customHeight="1">
      <c r="C649" s="3327"/>
      <c r="D649" s="3328"/>
      <c r="E649" s="3422"/>
      <c r="I649" s="3421"/>
      <c r="J649" s="3422"/>
    </row>
    <row r="650" spans="3:10" ht="12.6" customHeight="1">
      <c r="C650" s="3327"/>
      <c r="D650" s="3328"/>
      <c r="E650" s="3422"/>
      <c r="I650" s="3421"/>
      <c r="J650" s="3422"/>
    </row>
    <row r="651" spans="3:10" ht="12.6" customHeight="1">
      <c r="C651" s="3327"/>
      <c r="D651" s="3328"/>
      <c r="E651" s="3422"/>
    </row>
    <row r="652" spans="3:10" ht="12.6" customHeight="1">
      <c r="C652" s="3327"/>
      <c r="D652" s="3328"/>
      <c r="E652" s="3422"/>
    </row>
    <row r="653" spans="3:10" ht="12.6" customHeight="1">
      <c r="C653" s="3327"/>
      <c r="D653" s="3328"/>
      <c r="E653" s="3422"/>
    </row>
    <row r="654" spans="3:10" ht="12.6" customHeight="1">
      <c r="C654" s="3327"/>
      <c r="D654" s="3328"/>
      <c r="E654" s="3422"/>
    </row>
  </sheetData>
  <sheetProtection algorithmName="SHA-512" hashValue="0iN1+oCZeh4bL+EhXmqS6XgFuLMUaHm+ts3g9p+PHolE6hhTXVm+pUMaUsDTI+VzEv2OTt+icTU7uW81eWKWsg==" saltValue="U8UHfKepxEsltt9SmcaLuQ==" spinCount="100000" sheet="1" objects="1" scenarios="1"/>
  <dataConsolidate/>
  <mergeCells count="1">
    <mergeCell ref="A310:E310"/>
  </mergeCells>
  <phoneticPr fontId="10" type="noConversion"/>
  <dataValidations count="5">
    <dataValidation type="whole" operator="greaterThanOrEqual" showInputMessage="1" showErrorMessage="1" errorTitle="Invalid Data Entry" error="Please enter a positive number or press the delete key or enter zero." sqref="C353:E356 C27:D30 C25:D25 C20:E24 C172:E176 E36 C10:D10 C301:E309 C286:E286 C299:E299 C288:E296 C273:E283 C271:E271 C263:E268 C261:E261 C258:E258 C242:E248 C240:E240 C231:E238 C222:E228 C76:E77 C100:E101 C114:E115 C141:E143 C161:E162 C202:E206 C321:E322 C337:E350 C324:E334 C220:E220 C217:E218 C208:E215 C168:E169 C164:E166 C154:E158 C152:E152 C145:E150 C134:E139 C121:E123 C117:E119 C108:E111 C105:D105 C106:C107 D103:E107 C103:C104 C91:E96 C86:E89 C79:E83 C36:D37 C45:D45 D351:D352 C32:C33">
      <formula1>0</formula1>
    </dataValidation>
    <dataValidation type="whole" operator="greaterThanOrEqual" showInputMessage="1" showErrorMessage="1" errorTitle="Invalid beginning cash balance" error="Please enter a number or press the delete key or enter zero." sqref="C9">
      <formula1>-1000000000</formula1>
    </dataValidation>
    <dataValidation operator="greaterThanOrEqual" showInputMessage="1" errorTitle="Invalid Data Entry" error="Please enter a positive number or press the delete key or enter zero." sqref="C38:D41"/>
    <dataValidation operator="greaterThanOrEqual" errorTitle="Invalid Data Entry" error="Please enter a positive number or press the delete key or enter zero." sqref="C35:D35 E37"/>
    <dataValidation type="whole" operator="greaterThanOrEqual" showInputMessage="1" showErrorMessage="1" errorTitle="Invalid Data Entry" error="Please enter a positive number or press the delete key or enter a zero." sqref="C179:E180 C182:E186 C196:E199">
      <formula1>0</formula1>
    </dataValidation>
  </dataValidations>
  <hyperlinks>
    <hyperlink ref="H2" location="Contents!F1" display="Return to Contents page"/>
  </hyperlinks>
  <printOptions horizontalCentered="1"/>
  <pageMargins left="0.25" right="0.25" top="0.25" bottom="0.25" header="0.5" footer="0.5"/>
  <pageSetup scale="94" fitToHeight="5" orientation="portrait" blackAndWhite="1" r:id="rId1"/>
  <headerFooter alignWithMargins="0">
    <oddFooter>&amp;L&amp;D     &amp;T &amp;CCode No. 06&amp;RPage &amp;P</oddFooter>
  </headerFooter>
  <rowBreaks count="5" manualBreakCount="5">
    <brk id="65" max="5" man="1"/>
    <brk id="124" max="5" man="1"/>
    <brk id="187" max="5" man="1"/>
    <brk id="249" max="5" man="1"/>
    <brk id="310" max="5"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4" tint="0.39997558519241921"/>
  </sheetPr>
  <dimension ref="A1:IS278"/>
  <sheetViews>
    <sheetView topLeftCell="A29" zoomScaleNormal="100" workbookViewId="0">
      <selection activeCell="E56" sqref="E56"/>
    </sheetView>
  </sheetViews>
  <sheetFormatPr defaultColWidth="10.7109375" defaultRowHeight="12.6" customHeight="1"/>
  <cols>
    <col min="1" max="1" width="45.28515625" style="418" customWidth="1"/>
    <col min="2" max="2" width="5.5703125" style="509" customWidth="1"/>
    <col min="3" max="5" width="12.85546875" style="406" customWidth="1"/>
    <col min="6" max="6" width="2.42578125" style="406" customWidth="1"/>
    <col min="7" max="7" width="20.85546875" style="406" customWidth="1"/>
    <col min="8" max="8" width="20.5703125" style="406" customWidth="1"/>
    <col min="9" max="9" width="18.42578125" style="406" customWidth="1"/>
    <col min="10" max="16384" width="10.7109375" style="406"/>
  </cols>
  <sheetData>
    <row r="1" spans="1:16" ht="12.6" customHeight="1">
      <c r="A1" s="403"/>
      <c r="B1" s="404" t="s">
        <v>1019</v>
      </c>
      <c r="C1" s="502">
        <f>OPEN!$B$4</f>
        <v>270</v>
      </c>
      <c r="E1" s="407" t="s">
        <v>1020</v>
      </c>
      <c r="F1" s="408"/>
      <c r="G1" s="3013" t="s">
        <v>866</v>
      </c>
      <c r="H1" s="408"/>
      <c r="I1" s="408"/>
    </row>
    <row r="2" spans="1:16" ht="12.6" customHeight="1">
      <c r="A2" s="403"/>
      <c r="B2" s="404"/>
      <c r="C2" s="409"/>
      <c r="E2" s="407" t="s">
        <v>1212</v>
      </c>
      <c r="F2" s="408"/>
      <c r="G2" s="408"/>
      <c r="H2" s="408"/>
      <c r="I2" s="408"/>
    </row>
    <row r="3" spans="1:16" ht="12.6" customHeight="1">
      <c r="A3" s="403"/>
      <c r="B3" s="404"/>
      <c r="C3" s="403"/>
      <c r="D3" s="407"/>
      <c r="E3" s="407" t="str">
        <f>OPEN!N2</f>
        <v>2016-2017</v>
      </c>
      <c r="F3" s="408"/>
      <c r="G3" s="408"/>
      <c r="H3" s="408"/>
      <c r="I3" s="408"/>
    </row>
    <row r="4" spans="1:16" ht="12" customHeight="1">
      <c r="A4" s="403"/>
      <c r="B4" s="404"/>
      <c r="C4" s="403"/>
      <c r="D4" s="403"/>
      <c r="E4" s="408"/>
      <c r="F4" s="408"/>
      <c r="G4" s="408"/>
      <c r="H4" s="408"/>
      <c r="I4" s="408"/>
    </row>
    <row r="5" spans="1:16" ht="12.6" customHeight="1">
      <c r="A5" s="403"/>
      <c r="B5" s="404"/>
      <c r="C5" s="411" t="s">
        <v>1213</v>
      </c>
      <c r="D5" s="411" t="s">
        <v>1213</v>
      </c>
      <c r="E5" s="412" t="s">
        <v>1213</v>
      </c>
      <c r="F5" s="408"/>
      <c r="G5" s="408"/>
      <c r="H5" s="408"/>
      <c r="I5" s="408"/>
    </row>
    <row r="6" spans="1:16" ht="12.6" customHeight="1">
      <c r="A6" s="403"/>
      <c r="B6" s="413" t="s">
        <v>1045</v>
      </c>
      <c r="C6" s="416" t="str">
        <f>OPEN!N4</f>
        <v>2014-2015</v>
      </c>
      <c r="D6" s="415" t="str">
        <f>OPEN!O4</f>
        <v>2015-2016</v>
      </c>
      <c r="E6" s="416" t="str">
        <f>OPEN!P4</f>
        <v>2016-2017</v>
      </c>
      <c r="F6" s="408"/>
      <c r="G6" s="408"/>
      <c r="H6" s="408"/>
      <c r="I6" s="408"/>
      <c r="J6" s="418"/>
      <c r="K6" s="418"/>
      <c r="L6" s="418"/>
      <c r="M6" s="419"/>
      <c r="N6" s="418"/>
      <c r="O6" s="418"/>
      <c r="P6" s="418"/>
    </row>
    <row r="7" spans="1:16" ht="12.6" customHeight="1">
      <c r="A7" s="420" t="s">
        <v>1365</v>
      </c>
      <c r="B7" s="421">
        <v>7</v>
      </c>
      <c r="C7" s="424" t="s">
        <v>1139</v>
      </c>
      <c r="D7" s="423" t="s">
        <v>1139</v>
      </c>
      <c r="E7" s="424" t="s">
        <v>1215</v>
      </c>
      <c r="F7" s="408"/>
      <c r="G7" s="408"/>
      <c r="H7" s="408"/>
      <c r="I7" s="408"/>
      <c r="M7" s="418"/>
      <c r="N7" s="426"/>
      <c r="O7" s="426"/>
      <c r="P7" s="426"/>
    </row>
    <row r="8" spans="1:16" ht="12.6" customHeight="1">
      <c r="A8" s="427" t="s">
        <v>1368</v>
      </c>
      <c r="B8" s="428" t="s">
        <v>1051</v>
      </c>
      <c r="C8" s="431">
        <v>1</v>
      </c>
      <c r="D8" s="430">
        <v>2</v>
      </c>
      <c r="E8" s="431">
        <v>3</v>
      </c>
      <c r="F8" s="408"/>
      <c r="G8" s="408"/>
      <c r="H8" s="408"/>
      <c r="I8" s="408"/>
      <c r="M8" s="418"/>
      <c r="N8" s="426"/>
      <c r="O8" s="426"/>
      <c r="P8" s="426"/>
    </row>
    <row r="9" spans="1:16" s="438" customFormat="1" ht="11.45" customHeight="1">
      <c r="A9" s="433" t="s">
        <v>1218</v>
      </c>
      <c r="B9" s="434">
        <v>1</v>
      </c>
      <c r="C9" s="2428">
        <v>10587</v>
      </c>
      <c r="D9" s="435">
        <f>C21</f>
        <v>20485</v>
      </c>
      <c r="E9" s="436">
        <f>D21</f>
        <v>28750</v>
      </c>
      <c r="F9" s="437"/>
      <c r="G9" s="437"/>
      <c r="H9" s="437"/>
      <c r="I9" s="437"/>
      <c r="M9" s="439"/>
      <c r="N9" s="440"/>
      <c r="O9" s="440"/>
      <c r="P9" s="440"/>
    </row>
    <row r="10" spans="1:16" s="438" customFormat="1" ht="11.45" customHeight="1">
      <c r="A10" s="433" t="s">
        <v>1219</v>
      </c>
      <c r="B10" s="434">
        <v>3</v>
      </c>
      <c r="C10" s="2428"/>
      <c r="D10" s="441"/>
      <c r="E10" s="442"/>
      <c r="F10" s="437"/>
      <c r="G10" s="437"/>
      <c r="H10" s="437"/>
      <c r="I10" s="437"/>
      <c r="M10" s="439"/>
      <c r="N10" s="440"/>
      <c r="O10" s="440"/>
      <c r="P10" s="440"/>
    </row>
    <row r="11" spans="1:16" s="438" customFormat="1" ht="11.45" customHeight="1">
      <c r="A11" s="443" t="s">
        <v>1221</v>
      </c>
      <c r="B11" s="444"/>
      <c r="C11" s="2429"/>
      <c r="D11" s="445"/>
      <c r="E11" s="2430"/>
      <c r="F11" s="437"/>
      <c r="G11" s="437"/>
      <c r="H11" s="437"/>
      <c r="I11" s="437"/>
      <c r="M11" s="439"/>
      <c r="N11" s="440"/>
      <c r="O11" s="440"/>
      <c r="P11" s="440"/>
    </row>
    <row r="12" spans="1:16" s="438" customFormat="1" ht="11.45" customHeight="1">
      <c r="A12" s="443" t="s">
        <v>1369</v>
      </c>
      <c r="B12" s="444"/>
      <c r="C12" s="2430"/>
      <c r="D12" s="446"/>
      <c r="E12" s="2430"/>
      <c r="F12" s="437"/>
      <c r="G12" s="437"/>
      <c r="H12" s="437"/>
      <c r="I12" s="437"/>
      <c r="M12" s="439"/>
      <c r="N12" s="440"/>
      <c r="O12" s="440"/>
      <c r="P12" s="440"/>
    </row>
    <row r="13" spans="1:16" ht="12.95" customHeight="1">
      <c r="A13" s="447" t="s">
        <v>784</v>
      </c>
      <c r="B13" s="448">
        <v>10</v>
      </c>
      <c r="C13" s="454">
        <v>54500</v>
      </c>
      <c r="D13" s="449">
        <v>54455</v>
      </c>
      <c r="E13" s="454">
        <v>53947</v>
      </c>
      <c r="F13" s="408"/>
      <c r="G13" s="408"/>
      <c r="H13" s="408"/>
      <c r="I13" s="408"/>
      <c r="M13" s="418"/>
      <c r="N13" s="426"/>
      <c r="O13" s="426"/>
      <c r="P13" s="426"/>
    </row>
    <row r="14" spans="1:16" ht="12.95" customHeight="1">
      <c r="A14" s="447" t="s">
        <v>785</v>
      </c>
      <c r="B14" s="448">
        <v>15</v>
      </c>
      <c r="C14" s="2431">
        <v>20339</v>
      </c>
      <c r="D14" s="450">
        <v>20521</v>
      </c>
      <c r="E14" s="2431">
        <v>20192</v>
      </c>
      <c r="F14" s="408"/>
      <c r="G14" s="408"/>
      <c r="H14" s="408"/>
      <c r="I14" s="408"/>
      <c r="M14" s="419"/>
      <c r="N14" s="418"/>
      <c r="O14" s="418"/>
      <c r="P14" s="418"/>
    </row>
    <row r="15" spans="1:16" ht="12.95" customHeight="1">
      <c r="A15" s="451" t="s">
        <v>163</v>
      </c>
      <c r="B15" s="452">
        <v>22</v>
      </c>
      <c r="C15" s="2431"/>
      <c r="D15" s="2431"/>
      <c r="E15" s="454"/>
      <c r="F15" s="408"/>
      <c r="G15" s="408"/>
      <c r="H15" s="408"/>
      <c r="I15" s="408"/>
      <c r="M15" s="418"/>
      <c r="N15" s="453"/>
      <c r="O15" s="453"/>
      <c r="P15" s="453"/>
    </row>
    <row r="16" spans="1:16" ht="14.1" customHeight="1">
      <c r="A16" s="455" t="s">
        <v>786</v>
      </c>
      <c r="B16" s="456">
        <v>60</v>
      </c>
      <c r="C16" s="2440"/>
      <c r="D16" s="454"/>
      <c r="E16" s="3386"/>
      <c r="F16" s="408"/>
      <c r="G16" s="408"/>
      <c r="H16" s="403"/>
      <c r="I16" s="408"/>
      <c r="M16" s="418"/>
      <c r="N16" s="453"/>
      <c r="O16" s="453"/>
      <c r="P16" s="453"/>
    </row>
    <row r="17" spans="1:253" ht="14.1" customHeight="1">
      <c r="A17" s="455" t="s">
        <v>725</v>
      </c>
      <c r="B17" s="456">
        <v>62</v>
      </c>
      <c r="C17" s="454"/>
      <c r="D17" s="449"/>
      <c r="E17" s="454"/>
      <c r="F17" s="408"/>
      <c r="G17" s="408"/>
      <c r="H17" s="408"/>
      <c r="I17" s="408"/>
      <c r="M17" s="418"/>
      <c r="N17" s="453"/>
      <c r="O17" s="453"/>
      <c r="P17" s="453"/>
    </row>
    <row r="18" spans="1:253" ht="12.95" customHeight="1">
      <c r="A18" s="451" t="s">
        <v>1372</v>
      </c>
      <c r="B18" s="456">
        <v>75</v>
      </c>
      <c r="C18" s="454">
        <v>18759</v>
      </c>
      <c r="D18" s="449">
        <v>16193</v>
      </c>
      <c r="E18" s="454">
        <v>17000</v>
      </c>
      <c r="F18" s="408"/>
      <c r="G18" s="408"/>
      <c r="H18" s="408"/>
      <c r="I18" s="408"/>
    </row>
    <row r="19" spans="1:253" s="438" customFormat="1" ht="11.45" customHeight="1">
      <c r="A19" s="457" t="s">
        <v>1245</v>
      </c>
      <c r="B19" s="434">
        <v>170</v>
      </c>
      <c r="C19" s="436">
        <f>SUM(C9:C18)</f>
        <v>104185</v>
      </c>
      <c r="D19" s="435">
        <f>SUM(D9:D18)</f>
        <v>111654</v>
      </c>
      <c r="E19" s="436">
        <f>SUM(E9:E18)</f>
        <v>119889</v>
      </c>
      <c r="F19" s="437"/>
      <c r="G19" s="458"/>
      <c r="H19" s="459"/>
      <c r="I19" s="460"/>
    </row>
    <row r="20" spans="1:253" s="438" customFormat="1" ht="11.45" customHeight="1">
      <c r="A20" s="433" t="s">
        <v>1248</v>
      </c>
      <c r="B20" s="434">
        <v>175</v>
      </c>
      <c r="C20" s="436">
        <f>C245</f>
        <v>83700</v>
      </c>
      <c r="D20" s="435">
        <f>D245</f>
        <v>82904</v>
      </c>
      <c r="E20" s="436">
        <f>E245</f>
        <v>98000</v>
      </c>
      <c r="F20" s="437"/>
      <c r="G20" s="458"/>
      <c r="H20" s="459"/>
      <c r="I20" s="460"/>
    </row>
    <row r="21" spans="1:253" s="438" customFormat="1" ht="11.45" customHeight="1">
      <c r="A21" s="433" t="s">
        <v>1250</v>
      </c>
      <c r="B21" s="434">
        <v>190</v>
      </c>
      <c r="C21" s="436">
        <f>C19-C20</f>
        <v>20485</v>
      </c>
      <c r="D21" s="435">
        <f>D19-D20</f>
        <v>28750</v>
      </c>
      <c r="E21" s="436">
        <f>IF(E19&lt;E20,"ERROR",E19-E20)</f>
        <v>21889</v>
      </c>
      <c r="F21" s="437"/>
      <c r="G21" s="3096" t="str">
        <f>IF(E21="ERROR","Expenditures must be less than or equal to the Resources Available","")</f>
        <v/>
      </c>
      <c r="H21" s="461"/>
      <c r="I21" s="437"/>
      <c r="J21" s="437"/>
      <c r="K21" s="437"/>
    </row>
    <row r="22" spans="1:253" ht="24" customHeight="1">
      <c r="A22" s="5280" t="s">
        <v>2657</v>
      </c>
      <c r="B22" s="5280"/>
      <c r="C22" s="5280"/>
      <c r="D22" s="5280"/>
      <c r="E22" s="5280"/>
      <c r="F22" s="408"/>
      <c r="G22" s="408"/>
      <c r="H22" s="403"/>
      <c r="I22" s="408"/>
      <c r="J22" s="408"/>
      <c r="K22" s="408"/>
    </row>
    <row r="23" spans="1:253" ht="24" customHeight="1">
      <c r="A23" s="5281" t="s">
        <v>2656</v>
      </c>
      <c r="B23" s="5281"/>
      <c r="C23" s="5281"/>
      <c r="D23" s="5281"/>
      <c r="E23" s="5281"/>
      <c r="F23" s="408"/>
      <c r="G23" s="408"/>
      <c r="H23" s="403"/>
      <c r="I23" s="408"/>
      <c r="J23" s="408"/>
      <c r="K23" s="408"/>
    </row>
    <row r="24" spans="1:253" ht="12" customHeight="1">
      <c r="A24" s="406"/>
      <c r="B24" s="462"/>
      <c r="C24" s="464"/>
      <c r="D24" s="464"/>
      <c r="E24" s="464"/>
      <c r="F24" s="408"/>
      <c r="G24" s="408"/>
      <c r="H24" s="408"/>
      <c r="I24" s="408"/>
    </row>
    <row r="25" spans="1:253" ht="12" customHeight="1">
      <c r="A25" s="403"/>
      <c r="B25" s="404" t="s">
        <v>1019</v>
      </c>
      <c r="C25" s="502">
        <f>OPEN!$B$4</f>
        <v>270</v>
      </c>
      <c r="E25" s="407" t="s">
        <v>1020</v>
      </c>
      <c r="F25" s="403"/>
      <c r="G25" s="404"/>
      <c r="H25" s="404"/>
      <c r="I25" s="405"/>
      <c r="J25" s="405"/>
      <c r="M25" s="407"/>
      <c r="N25" s="403"/>
      <c r="O25" s="404"/>
      <c r="P25" s="404"/>
      <c r="Q25" s="405"/>
      <c r="R25" s="405"/>
      <c r="U25" s="407"/>
      <c r="V25" s="403"/>
      <c r="W25" s="404"/>
      <c r="X25" s="404"/>
      <c r="Y25" s="405"/>
      <c r="Z25" s="405"/>
      <c r="AC25" s="407"/>
      <c r="AD25" s="403"/>
      <c r="AE25" s="404"/>
      <c r="AF25" s="404"/>
      <c r="AG25" s="405"/>
      <c r="AH25" s="405"/>
      <c r="AK25" s="407"/>
      <c r="AL25" s="403"/>
      <c r="AM25" s="404"/>
      <c r="AN25" s="404"/>
      <c r="AO25" s="405"/>
      <c r="AP25" s="405"/>
      <c r="AS25" s="407"/>
      <c r="AT25" s="403"/>
      <c r="AU25" s="404"/>
      <c r="AV25" s="404"/>
      <c r="AW25" s="405"/>
      <c r="AX25" s="405"/>
      <c r="BA25" s="407"/>
      <c r="BB25" s="403"/>
      <c r="BC25" s="404"/>
      <c r="BD25" s="404"/>
      <c r="BE25" s="405"/>
      <c r="BF25" s="405"/>
      <c r="BI25" s="407"/>
      <c r="BJ25" s="403"/>
      <c r="BK25" s="404"/>
      <c r="BL25" s="404"/>
      <c r="BM25" s="405"/>
      <c r="BN25" s="405"/>
      <c r="BQ25" s="407"/>
      <c r="BR25" s="403"/>
      <c r="BS25" s="404"/>
      <c r="BT25" s="404"/>
      <c r="BU25" s="405"/>
      <c r="BV25" s="405"/>
      <c r="BY25" s="407"/>
      <c r="BZ25" s="403"/>
      <c r="CA25" s="404"/>
      <c r="CB25" s="404"/>
      <c r="CC25" s="405"/>
      <c r="CD25" s="405"/>
      <c r="CG25" s="407"/>
      <c r="CH25" s="403"/>
      <c r="CI25" s="404"/>
      <c r="CJ25" s="404"/>
      <c r="CK25" s="405"/>
      <c r="CL25" s="405"/>
      <c r="CO25" s="407"/>
      <c r="CP25" s="403"/>
      <c r="CQ25" s="404"/>
      <c r="CR25" s="404"/>
      <c r="CS25" s="405"/>
      <c r="CT25" s="405"/>
      <c r="CW25" s="407"/>
      <c r="CX25" s="403"/>
      <c r="CY25" s="404"/>
      <c r="CZ25" s="404"/>
      <c r="DA25" s="405"/>
      <c r="DB25" s="405"/>
      <c r="DE25" s="407"/>
      <c r="DF25" s="403"/>
      <c r="DG25" s="404"/>
      <c r="DH25" s="404"/>
      <c r="DI25" s="405"/>
      <c r="DJ25" s="405"/>
      <c r="DM25" s="407"/>
      <c r="DN25" s="403"/>
      <c r="DO25" s="404"/>
      <c r="DP25" s="404"/>
      <c r="DQ25" s="405"/>
      <c r="DR25" s="405"/>
      <c r="DU25" s="407"/>
      <c r="DV25" s="403"/>
      <c r="DW25" s="404"/>
      <c r="DX25" s="404"/>
      <c r="DY25" s="405"/>
      <c r="DZ25" s="405"/>
      <c r="EC25" s="407"/>
      <c r="ED25" s="403"/>
      <c r="EE25" s="404"/>
      <c r="EF25" s="404"/>
      <c r="EG25" s="405"/>
      <c r="EH25" s="405"/>
      <c r="EK25" s="407"/>
      <c r="EL25" s="403"/>
      <c r="EM25" s="404"/>
      <c r="EN25" s="404"/>
      <c r="EO25" s="405"/>
      <c r="EP25" s="405"/>
      <c r="ES25" s="407"/>
      <c r="ET25" s="403"/>
      <c r="EU25" s="404"/>
      <c r="EV25" s="404"/>
      <c r="EW25" s="405"/>
      <c r="EX25" s="405"/>
      <c r="FA25" s="407"/>
      <c r="FB25" s="403"/>
      <c r="FC25" s="404"/>
      <c r="FD25" s="404"/>
      <c r="FE25" s="405"/>
      <c r="FF25" s="405"/>
      <c r="FI25" s="407"/>
      <c r="FJ25" s="403"/>
      <c r="FK25" s="404"/>
      <c r="FL25" s="404"/>
      <c r="FM25" s="405"/>
      <c r="FN25" s="405"/>
      <c r="FQ25" s="407"/>
      <c r="FR25" s="403"/>
      <c r="FS25" s="404"/>
      <c r="FT25" s="404"/>
      <c r="FU25" s="405"/>
      <c r="FV25" s="405"/>
      <c r="FY25" s="407"/>
      <c r="FZ25" s="403"/>
      <c r="GA25" s="404"/>
      <c r="GB25" s="404"/>
      <c r="GC25" s="405"/>
      <c r="GD25" s="405"/>
      <c r="GG25" s="407"/>
      <c r="GH25" s="403"/>
      <c r="GI25" s="404"/>
      <c r="GJ25" s="404"/>
      <c r="GK25" s="405"/>
      <c r="GL25" s="405"/>
      <c r="GO25" s="407"/>
      <c r="GP25" s="403"/>
      <c r="GQ25" s="404"/>
      <c r="GR25" s="404"/>
      <c r="GS25" s="405"/>
      <c r="GT25" s="405"/>
      <c r="GW25" s="407"/>
      <c r="GX25" s="403"/>
      <c r="GY25" s="404"/>
      <c r="GZ25" s="404"/>
      <c r="HA25" s="405"/>
      <c r="HB25" s="405"/>
      <c r="HE25" s="407"/>
      <c r="HF25" s="403"/>
      <c r="HG25" s="404"/>
      <c r="HH25" s="404"/>
      <c r="HI25" s="405"/>
      <c r="HJ25" s="405"/>
      <c r="HM25" s="407"/>
      <c r="HN25" s="403"/>
      <c r="HO25" s="404"/>
      <c r="HP25" s="404"/>
      <c r="HQ25" s="405"/>
      <c r="HR25" s="405"/>
      <c r="HU25" s="407"/>
      <c r="HV25" s="403"/>
      <c r="HW25" s="404"/>
      <c r="HX25" s="404"/>
      <c r="HY25" s="405"/>
      <c r="HZ25" s="405"/>
      <c r="IC25" s="407"/>
      <c r="ID25" s="403"/>
      <c r="IE25" s="404"/>
      <c r="IF25" s="404"/>
      <c r="IG25" s="405"/>
      <c r="IH25" s="405"/>
      <c r="IK25" s="407"/>
      <c r="IL25" s="403"/>
      <c r="IM25" s="404"/>
      <c r="IN25" s="404"/>
      <c r="IO25" s="405"/>
      <c r="IP25" s="405"/>
      <c r="IS25" s="407"/>
    </row>
    <row r="26" spans="1:253" ht="12" customHeight="1">
      <c r="A26" s="403"/>
      <c r="B26" s="404"/>
      <c r="C26" s="409"/>
      <c r="E26" s="407" t="s">
        <v>1212</v>
      </c>
      <c r="F26" s="403"/>
      <c r="G26" s="404"/>
      <c r="H26" s="404"/>
      <c r="I26" s="409"/>
      <c r="J26" s="409"/>
      <c r="M26" s="407"/>
      <c r="N26" s="403"/>
      <c r="O26" s="404"/>
      <c r="P26" s="404"/>
      <c r="Q26" s="409"/>
      <c r="R26" s="409"/>
      <c r="U26" s="407"/>
      <c r="V26" s="403"/>
      <c r="W26" s="404"/>
      <c r="X26" s="404"/>
      <c r="Y26" s="409"/>
      <c r="Z26" s="409"/>
      <c r="AC26" s="407"/>
      <c r="AD26" s="403"/>
      <c r="AE26" s="404"/>
      <c r="AF26" s="404"/>
      <c r="AG26" s="409"/>
      <c r="AH26" s="409"/>
      <c r="AK26" s="407"/>
      <c r="AL26" s="403"/>
      <c r="AM26" s="404"/>
      <c r="AN26" s="404"/>
      <c r="AO26" s="409"/>
      <c r="AP26" s="409"/>
      <c r="AS26" s="407"/>
      <c r="AT26" s="403"/>
      <c r="AU26" s="404"/>
      <c r="AV26" s="404"/>
      <c r="AW26" s="409"/>
      <c r="AX26" s="409"/>
      <c r="BA26" s="407"/>
      <c r="BB26" s="403"/>
      <c r="BC26" s="404"/>
      <c r="BD26" s="404"/>
      <c r="BE26" s="409"/>
      <c r="BF26" s="409"/>
      <c r="BI26" s="407"/>
      <c r="BJ26" s="403"/>
      <c r="BK26" s="404"/>
      <c r="BL26" s="404"/>
      <c r="BM26" s="409"/>
      <c r="BN26" s="409"/>
      <c r="BQ26" s="407"/>
      <c r="BR26" s="403"/>
      <c r="BS26" s="404"/>
      <c r="BT26" s="404"/>
      <c r="BU26" s="409"/>
      <c r="BV26" s="409"/>
      <c r="BY26" s="407"/>
      <c r="BZ26" s="403"/>
      <c r="CA26" s="404"/>
      <c r="CB26" s="404"/>
      <c r="CC26" s="409"/>
      <c r="CD26" s="409"/>
      <c r="CG26" s="407"/>
      <c r="CH26" s="403"/>
      <c r="CI26" s="404"/>
      <c r="CJ26" s="404"/>
      <c r="CK26" s="409"/>
      <c r="CL26" s="409"/>
      <c r="CO26" s="407"/>
      <c r="CP26" s="403"/>
      <c r="CQ26" s="404"/>
      <c r="CR26" s="404"/>
      <c r="CS26" s="409"/>
      <c r="CT26" s="409"/>
      <c r="CW26" s="407"/>
      <c r="CX26" s="403"/>
      <c r="CY26" s="404"/>
      <c r="CZ26" s="404"/>
      <c r="DA26" s="409"/>
      <c r="DB26" s="409"/>
      <c r="DE26" s="407"/>
      <c r="DF26" s="403"/>
      <c r="DG26" s="404"/>
      <c r="DH26" s="404"/>
      <c r="DI26" s="409"/>
      <c r="DJ26" s="409"/>
      <c r="DM26" s="407"/>
      <c r="DN26" s="403"/>
      <c r="DO26" s="404"/>
      <c r="DP26" s="404"/>
      <c r="DQ26" s="409"/>
      <c r="DR26" s="409"/>
      <c r="DU26" s="407"/>
      <c r="DV26" s="403"/>
      <c r="DW26" s="404"/>
      <c r="DX26" s="404"/>
      <c r="DY26" s="409"/>
      <c r="DZ26" s="409"/>
      <c r="EC26" s="407"/>
      <c r="ED26" s="403"/>
      <c r="EE26" s="404"/>
      <c r="EF26" s="404"/>
      <c r="EG26" s="409"/>
      <c r="EH26" s="409"/>
      <c r="EK26" s="407"/>
      <c r="EL26" s="403"/>
      <c r="EM26" s="404"/>
      <c r="EN26" s="404"/>
      <c r="EO26" s="409"/>
      <c r="EP26" s="409"/>
      <c r="ES26" s="407"/>
      <c r="ET26" s="403"/>
      <c r="EU26" s="404"/>
      <c r="EV26" s="404"/>
      <c r="EW26" s="409"/>
      <c r="EX26" s="409"/>
      <c r="FA26" s="407"/>
      <c r="FB26" s="403"/>
      <c r="FC26" s="404"/>
      <c r="FD26" s="404"/>
      <c r="FE26" s="409"/>
      <c r="FF26" s="409"/>
      <c r="FI26" s="407"/>
      <c r="FJ26" s="403"/>
      <c r="FK26" s="404"/>
      <c r="FL26" s="404"/>
      <c r="FM26" s="409"/>
      <c r="FN26" s="409"/>
      <c r="FQ26" s="407"/>
      <c r="FR26" s="403"/>
      <c r="FS26" s="404"/>
      <c r="FT26" s="404"/>
      <c r="FU26" s="409"/>
      <c r="FV26" s="409"/>
      <c r="FY26" s="407"/>
      <c r="FZ26" s="403"/>
      <c r="GA26" s="404"/>
      <c r="GB26" s="404"/>
      <c r="GC26" s="409"/>
      <c r="GD26" s="409"/>
      <c r="GG26" s="407"/>
      <c r="GH26" s="403"/>
      <c r="GI26" s="404"/>
      <c r="GJ26" s="404"/>
      <c r="GK26" s="409"/>
      <c r="GL26" s="409"/>
      <c r="GO26" s="407"/>
      <c r="GP26" s="403"/>
      <c r="GQ26" s="404"/>
      <c r="GR26" s="404"/>
      <c r="GS26" s="409"/>
      <c r="GT26" s="409"/>
      <c r="GW26" s="407"/>
      <c r="GX26" s="403"/>
      <c r="GY26" s="404"/>
      <c r="GZ26" s="404"/>
      <c r="HA26" s="409"/>
      <c r="HB26" s="409"/>
      <c r="HE26" s="407"/>
      <c r="HF26" s="403"/>
      <c r="HG26" s="404"/>
      <c r="HH26" s="404"/>
      <c r="HI26" s="409"/>
      <c r="HJ26" s="409"/>
      <c r="HM26" s="407"/>
      <c r="HN26" s="403"/>
      <c r="HO26" s="404"/>
      <c r="HP26" s="404"/>
      <c r="HQ26" s="409"/>
      <c r="HR26" s="409"/>
      <c r="HU26" s="407"/>
      <c r="HV26" s="403"/>
      <c r="HW26" s="404"/>
      <c r="HX26" s="404"/>
      <c r="HY26" s="409"/>
      <c r="HZ26" s="409"/>
      <c r="IC26" s="407"/>
      <c r="ID26" s="403"/>
      <c r="IE26" s="404"/>
      <c r="IF26" s="404"/>
      <c r="IG26" s="409"/>
      <c r="IH26" s="409"/>
      <c r="IK26" s="407"/>
      <c r="IL26" s="403"/>
      <c r="IM26" s="404"/>
      <c r="IN26" s="404"/>
      <c r="IO26" s="409"/>
      <c r="IP26" s="409"/>
      <c r="IS26" s="407"/>
    </row>
    <row r="27" spans="1:253" ht="12" customHeight="1">
      <c r="A27" s="403"/>
      <c r="B27" s="404"/>
      <c r="C27" s="403"/>
      <c r="D27" s="407"/>
      <c r="E27" s="407" t="str">
        <f>E3</f>
        <v>2016-2017</v>
      </c>
      <c r="F27" s="403"/>
      <c r="G27" s="404"/>
      <c r="H27" s="404"/>
      <c r="I27" s="403"/>
      <c r="J27" s="403"/>
      <c r="K27" s="407"/>
      <c r="L27" s="407"/>
      <c r="M27" s="410"/>
      <c r="N27" s="403"/>
      <c r="O27" s="404"/>
      <c r="P27" s="404"/>
      <c r="Q27" s="403"/>
      <c r="R27" s="403"/>
      <c r="S27" s="407"/>
      <c r="T27" s="407"/>
      <c r="U27" s="410"/>
      <c r="V27" s="403"/>
      <c r="W27" s="404"/>
      <c r="X27" s="404"/>
      <c r="Y27" s="403"/>
      <c r="Z27" s="403"/>
      <c r="AA27" s="407"/>
      <c r="AB27" s="407"/>
      <c r="AC27" s="410"/>
      <c r="AD27" s="403"/>
      <c r="AE27" s="404"/>
      <c r="AF27" s="404"/>
      <c r="AG27" s="403"/>
      <c r="AH27" s="403"/>
      <c r="AI27" s="407"/>
      <c r="AJ27" s="407"/>
      <c r="AK27" s="410"/>
      <c r="AL27" s="403"/>
      <c r="AM27" s="404"/>
      <c r="AN27" s="404"/>
      <c r="AO27" s="403"/>
      <c r="AP27" s="403"/>
      <c r="AQ27" s="407"/>
      <c r="AR27" s="407"/>
      <c r="AS27" s="410"/>
      <c r="AT27" s="403"/>
      <c r="AU27" s="404"/>
      <c r="AV27" s="404"/>
      <c r="AW27" s="403"/>
      <c r="AX27" s="403"/>
      <c r="AY27" s="407"/>
      <c r="AZ27" s="407"/>
      <c r="BA27" s="410"/>
      <c r="BB27" s="403"/>
      <c r="BC27" s="404"/>
      <c r="BD27" s="404"/>
      <c r="BE27" s="403"/>
      <c r="BF27" s="403"/>
      <c r="BG27" s="407"/>
      <c r="BH27" s="407"/>
      <c r="BI27" s="410"/>
      <c r="BJ27" s="403"/>
      <c r="BK27" s="404"/>
      <c r="BL27" s="404"/>
      <c r="BM27" s="403"/>
      <c r="BN27" s="403"/>
      <c r="BO27" s="407"/>
      <c r="BP27" s="407"/>
      <c r="BQ27" s="410"/>
      <c r="BR27" s="403"/>
      <c r="BS27" s="404"/>
      <c r="BT27" s="404"/>
      <c r="BU27" s="403"/>
      <c r="BV27" s="403"/>
      <c r="BW27" s="407"/>
      <c r="BX27" s="407"/>
      <c r="BY27" s="410"/>
      <c r="BZ27" s="403"/>
      <c r="CA27" s="404"/>
      <c r="CB27" s="404"/>
      <c r="CC27" s="403"/>
      <c r="CD27" s="403"/>
      <c r="CE27" s="407"/>
      <c r="CF27" s="407"/>
      <c r="CG27" s="410"/>
      <c r="CH27" s="403"/>
      <c r="CI27" s="404"/>
      <c r="CJ27" s="404"/>
      <c r="CK27" s="403"/>
      <c r="CL27" s="403"/>
      <c r="CM27" s="407"/>
      <c r="CN27" s="407"/>
      <c r="CO27" s="410"/>
      <c r="CP27" s="403"/>
      <c r="CQ27" s="404"/>
      <c r="CR27" s="404"/>
      <c r="CS27" s="403"/>
      <c r="CT27" s="403"/>
      <c r="CU27" s="407"/>
      <c r="CV27" s="407"/>
      <c r="CW27" s="410"/>
      <c r="CX27" s="403"/>
      <c r="CY27" s="404"/>
      <c r="CZ27" s="404"/>
      <c r="DA27" s="403"/>
      <c r="DB27" s="403"/>
      <c r="DC27" s="407"/>
      <c r="DD27" s="407"/>
      <c r="DE27" s="410"/>
      <c r="DF27" s="403"/>
      <c r="DG27" s="404"/>
      <c r="DH27" s="404"/>
      <c r="DI27" s="403"/>
      <c r="DJ27" s="403"/>
      <c r="DK27" s="407"/>
      <c r="DL27" s="407"/>
      <c r="DM27" s="410"/>
      <c r="DN27" s="403"/>
      <c r="DO27" s="404"/>
      <c r="DP27" s="404"/>
      <c r="DQ27" s="403"/>
      <c r="DR27" s="403"/>
      <c r="DS27" s="407"/>
      <c r="DT27" s="407"/>
      <c r="DU27" s="410"/>
      <c r="DV27" s="403"/>
      <c r="DW27" s="404"/>
      <c r="DX27" s="404"/>
      <c r="DY27" s="403"/>
      <c r="DZ27" s="403"/>
      <c r="EA27" s="407"/>
      <c r="EB27" s="407"/>
      <c r="EC27" s="410"/>
      <c r="ED27" s="403"/>
      <c r="EE27" s="404"/>
      <c r="EF27" s="404"/>
      <c r="EG27" s="403"/>
      <c r="EH27" s="403"/>
      <c r="EI27" s="407"/>
      <c r="EJ27" s="407"/>
      <c r="EK27" s="410"/>
      <c r="EL27" s="403"/>
      <c r="EM27" s="404"/>
      <c r="EN27" s="404"/>
      <c r="EO27" s="403"/>
      <c r="EP27" s="403"/>
      <c r="EQ27" s="407"/>
      <c r="ER27" s="407"/>
      <c r="ES27" s="410"/>
      <c r="ET27" s="403"/>
      <c r="EU27" s="404"/>
      <c r="EV27" s="404"/>
      <c r="EW27" s="403"/>
      <c r="EX27" s="403"/>
      <c r="EY27" s="407"/>
      <c r="EZ27" s="407"/>
      <c r="FA27" s="410"/>
      <c r="FB27" s="403"/>
      <c r="FC27" s="404"/>
      <c r="FD27" s="404"/>
      <c r="FE27" s="403"/>
      <c r="FF27" s="403"/>
      <c r="FG27" s="407"/>
      <c r="FH27" s="407"/>
      <c r="FI27" s="410"/>
      <c r="FJ27" s="403"/>
      <c r="FK27" s="404"/>
      <c r="FL27" s="404"/>
      <c r="FM27" s="403"/>
      <c r="FN27" s="403"/>
      <c r="FO27" s="407"/>
      <c r="FP27" s="407"/>
      <c r="FQ27" s="410"/>
      <c r="FR27" s="403"/>
      <c r="FS27" s="404"/>
      <c r="FT27" s="404"/>
      <c r="FU27" s="403"/>
      <c r="FV27" s="403"/>
      <c r="FW27" s="407"/>
      <c r="FX27" s="407"/>
      <c r="FY27" s="410"/>
      <c r="FZ27" s="403"/>
      <c r="GA27" s="404"/>
      <c r="GB27" s="404"/>
      <c r="GC27" s="403"/>
      <c r="GD27" s="403"/>
      <c r="GE27" s="407"/>
      <c r="GF27" s="407"/>
      <c r="GG27" s="410"/>
      <c r="GH27" s="403"/>
      <c r="GI27" s="404"/>
      <c r="GJ27" s="404"/>
      <c r="GK27" s="403"/>
      <c r="GL27" s="403"/>
      <c r="GM27" s="407"/>
      <c r="GN27" s="407"/>
      <c r="GO27" s="410"/>
      <c r="GP27" s="403"/>
      <c r="GQ27" s="404"/>
      <c r="GR27" s="404"/>
      <c r="GS27" s="403"/>
      <c r="GT27" s="403"/>
      <c r="GU27" s="407"/>
      <c r="GV27" s="407"/>
      <c r="GW27" s="410"/>
      <c r="GX27" s="403"/>
      <c r="GY27" s="404"/>
      <c r="GZ27" s="404"/>
      <c r="HA27" s="403"/>
      <c r="HB27" s="403"/>
      <c r="HC27" s="407"/>
      <c r="HD27" s="407"/>
      <c r="HE27" s="410"/>
      <c r="HF27" s="403"/>
      <c r="HG27" s="404"/>
      <c r="HH27" s="404"/>
      <c r="HI27" s="403"/>
      <c r="HJ27" s="403"/>
      <c r="HK27" s="407"/>
      <c r="HL27" s="407"/>
      <c r="HM27" s="410"/>
      <c r="HN27" s="403"/>
      <c r="HO27" s="404"/>
      <c r="HP27" s="404"/>
      <c r="HQ27" s="403"/>
      <c r="HR27" s="403"/>
      <c r="HS27" s="407"/>
      <c r="HT27" s="407"/>
      <c r="HU27" s="410"/>
      <c r="HV27" s="403"/>
      <c r="HW27" s="404"/>
      <c r="HX27" s="404"/>
      <c r="HY27" s="403"/>
      <c r="HZ27" s="403"/>
      <c r="IA27" s="407"/>
      <c r="IB27" s="407"/>
      <c r="IC27" s="410"/>
      <c r="ID27" s="403"/>
      <c r="IE27" s="404"/>
      <c r="IF27" s="404"/>
      <c r="IG27" s="403"/>
      <c r="IH27" s="403"/>
      <c r="II27" s="407"/>
      <c r="IJ27" s="407"/>
      <c r="IK27" s="410"/>
      <c r="IL27" s="403"/>
      <c r="IM27" s="404"/>
      <c r="IN27" s="404"/>
      <c r="IO27" s="403"/>
      <c r="IP27" s="403"/>
      <c r="IQ27" s="407"/>
      <c r="IR27" s="407"/>
      <c r="IS27" s="410"/>
    </row>
    <row r="28" spans="1:253" ht="12" customHeight="1">
      <c r="A28" s="403"/>
      <c r="B28" s="404"/>
      <c r="C28" s="403"/>
      <c r="D28" s="403"/>
      <c r="E28" s="408"/>
      <c r="F28" s="403"/>
      <c r="G28" s="404"/>
      <c r="H28" s="404"/>
      <c r="I28" s="403"/>
      <c r="J28" s="403"/>
      <c r="K28" s="403"/>
      <c r="L28" s="403"/>
      <c r="M28" s="408"/>
      <c r="N28" s="403"/>
      <c r="O28" s="404"/>
      <c r="P28" s="404"/>
      <c r="Q28" s="403"/>
      <c r="R28" s="403"/>
      <c r="S28" s="403"/>
      <c r="T28" s="403"/>
      <c r="U28" s="408"/>
      <c r="V28" s="403"/>
      <c r="W28" s="404"/>
      <c r="X28" s="404"/>
      <c r="Y28" s="403"/>
      <c r="Z28" s="403"/>
      <c r="AA28" s="403"/>
      <c r="AB28" s="403"/>
      <c r="AC28" s="408"/>
      <c r="AD28" s="403"/>
      <c r="AE28" s="404"/>
      <c r="AF28" s="404"/>
      <c r="AG28" s="403"/>
      <c r="AH28" s="403"/>
      <c r="AI28" s="403"/>
      <c r="AJ28" s="403"/>
      <c r="AK28" s="408"/>
      <c r="AL28" s="403"/>
      <c r="AM28" s="404"/>
      <c r="AN28" s="404"/>
      <c r="AO28" s="403"/>
      <c r="AP28" s="403"/>
      <c r="AQ28" s="403"/>
      <c r="AR28" s="403"/>
      <c r="AS28" s="408"/>
      <c r="AT28" s="403"/>
      <c r="AU28" s="404"/>
      <c r="AV28" s="404"/>
      <c r="AW28" s="403"/>
      <c r="AX28" s="403"/>
      <c r="AY28" s="403"/>
      <c r="AZ28" s="403"/>
      <c r="BA28" s="408"/>
      <c r="BB28" s="403"/>
      <c r="BC28" s="404"/>
      <c r="BD28" s="404"/>
      <c r="BE28" s="403"/>
      <c r="BF28" s="403"/>
      <c r="BG28" s="403"/>
      <c r="BH28" s="403"/>
      <c r="BI28" s="408"/>
      <c r="BJ28" s="403"/>
      <c r="BK28" s="404"/>
      <c r="BL28" s="404"/>
      <c r="BM28" s="403"/>
      <c r="BN28" s="403"/>
      <c r="BO28" s="403"/>
      <c r="BP28" s="403"/>
      <c r="BQ28" s="408"/>
      <c r="BR28" s="403"/>
      <c r="BS28" s="404"/>
      <c r="BT28" s="404"/>
      <c r="BU28" s="403"/>
      <c r="BV28" s="403"/>
      <c r="BW28" s="403"/>
      <c r="BX28" s="403"/>
      <c r="BY28" s="408"/>
      <c r="BZ28" s="403"/>
      <c r="CA28" s="404"/>
      <c r="CB28" s="404"/>
      <c r="CC28" s="403"/>
      <c r="CD28" s="403"/>
      <c r="CE28" s="403"/>
      <c r="CF28" s="403"/>
      <c r="CG28" s="408"/>
      <c r="CH28" s="403"/>
      <c r="CI28" s="404"/>
      <c r="CJ28" s="404"/>
      <c r="CK28" s="403"/>
      <c r="CL28" s="403"/>
      <c r="CM28" s="403"/>
      <c r="CN28" s="403"/>
      <c r="CO28" s="408"/>
      <c r="CP28" s="403"/>
      <c r="CQ28" s="404"/>
      <c r="CR28" s="404"/>
      <c r="CS28" s="403"/>
      <c r="CT28" s="403"/>
      <c r="CU28" s="403"/>
      <c r="CV28" s="403"/>
      <c r="CW28" s="408"/>
      <c r="CX28" s="403"/>
      <c r="CY28" s="404"/>
      <c r="CZ28" s="404"/>
      <c r="DA28" s="403"/>
      <c r="DB28" s="403"/>
      <c r="DC28" s="403"/>
      <c r="DD28" s="403"/>
      <c r="DE28" s="408"/>
      <c r="DF28" s="403"/>
      <c r="DG28" s="404"/>
      <c r="DH28" s="404"/>
      <c r="DI28" s="403"/>
      <c r="DJ28" s="403"/>
      <c r="DK28" s="403"/>
      <c r="DL28" s="403"/>
      <c r="DM28" s="408"/>
      <c r="DN28" s="403"/>
      <c r="DO28" s="404"/>
      <c r="DP28" s="404"/>
      <c r="DQ28" s="403"/>
      <c r="DR28" s="403"/>
      <c r="DS28" s="403"/>
      <c r="DT28" s="403"/>
      <c r="DU28" s="408"/>
      <c r="DV28" s="403"/>
      <c r="DW28" s="404"/>
      <c r="DX28" s="404"/>
      <c r="DY28" s="403"/>
      <c r="DZ28" s="403"/>
      <c r="EA28" s="403"/>
      <c r="EB28" s="403"/>
      <c r="EC28" s="408"/>
      <c r="ED28" s="403"/>
      <c r="EE28" s="404"/>
      <c r="EF28" s="404"/>
      <c r="EG28" s="403"/>
      <c r="EH28" s="403"/>
      <c r="EI28" s="403"/>
      <c r="EJ28" s="403"/>
      <c r="EK28" s="408"/>
      <c r="EL28" s="403"/>
      <c r="EM28" s="404"/>
      <c r="EN28" s="404"/>
      <c r="EO28" s="403"/>
      <c r="EP28" s="403"/>
      <c r="EQ28" s="403"/>
      <c r="ER28" s="403"/>
      <c r="ES28" s="408"/>
      <c r="ET28" s="403"/>
      <c r="EU28" s="404"/>
      <c r="EV28" s="404"/>
      <c r="EW28" s="403"/>
      <c r="EX28" s="403"/>
      <c r="EY28" s="403"/>
      <c r="EZ28" s="403"/>
      <c r="FA28" s="408"/>
      <c r="FB28" s="403"/>
      <c r="FC28" s="404"/>
      <c r="FD28" s="404"/>
      <c r="FE28" s="403"/>
      <c r="FF28" s="403"/>
      <c r="FG28" s="403"/>
      <c r="FH28" s="403"/>
      <c r="FI28" s="408"/>
      <c r="FJ28" s="403"/>
      <c r="FK28" s="404"/>
      <c r="FL28" s="404"/>
      <c r="FM28" s="403"/>
      <c r="FN28" s="403"/>
      <c r="FO28" s="403"/>
      <c r="FP28" s="403"/>
      <c r="FQ28" s="408"/>
      <c r="FR28" s="403"/>
      <c r="FS28" s="404"/>
      <c r="FT28" s="404"/>
      <c r="FU28" s="403"/>
      <c r="FV28" s="403"/>
      <c r="FW28" s="403"/>
      <c r="FX28" s="403"/>
      <c r="FY28" s="408"/>
      <c r="FZ28" s="403"/>
      <c r="GA28" s="404"/>
      <c r="GB28" s="404"/>
      <c r="GC28" s="403"/>
      <c r="GD28" s="403"/>
      <c r="GE28" s="403"/>
      <c r="GF28" s="403"/>
      <c r="GG28" s="408"/>
      <c r="GH28" s="403"/>
      <c r="GI28" s="404"/>
      <c r="GJ28" s="404"/>
      <c r="GK28" s="403"/>
      <c r="GL28" s="403"/>
      <c r="GM28" s="403"/>
      <c r="GN28" s="403"/>
      <c r="GO28" s="408"/>
      <c r="GP28" s="403"/>
      <c r="GQ28" s="404"/>
      <c r="GR28" s="404"/>
      <c r="GS28" s="403"/>
      <c r="GT28" s="403"/>
      <c r="GU28" s="403"/>
      <c r="GV28" s="403"/>
      <c r="GW28" s="408"/>
      <c r="GX28" s="403"/>
      <c r="GY28" s="404"/>
      <c r="GZ28" s="404"/>
      <c r="HA28" s="403"/>
      <c r="HB28" s="403"/>
      <c r="HC28" s="403"/>
      <c r="HD28" s="403"/>
      <c r="HE28" s="408"/>
      <c r="HF28" s="403"/>
      <c r="HG28" s="404"/>
      <c r="HH28" s="404"/>
      <c r="HI28" s="403"/>
      <c r="HJ28" s="403"/>
      <c r="HK28" s="403"/>
      <c r="HL28" s="403"/>
      <c r="HM28" s="408"/>
      <c r="HN28" s="403"/>
      <c r="HO28" s="404"/>
      <c r="HP28" s="404"/>
      <c r="HQ28" s="403"/>
      <c r="HR28" s="403"/>
      <c r="HS28" s="403"/>
      <c r="HT28" s="403"/>
      <c r="HU28" s="408"/>
      <c r="HV28" s="403"/>
      <c r="HW28" s="404"/>
      <c r="HX28" s="404"/>
      <c r="HY28" s="403"/>
      <c r="HZ28" s="403"/>
      <c r="IA28" s="403"/>
      <c r="IB28" s="403"/>
      <c r="IC28" s="408"/>
      <c r="ID28" s="403"/>
      <c r="IE28" s="404"/>
      <c r="IF28" s="404"/>
      <c r="IG28" s="403"/>
      <c r="IH28" s="403"/>
      <c r="II28" s="403"/>
      <c r="IJ28" s="403"/>
      <c r="IK28" s="408"/>
      <c r="IL28" s="403"/>
      <c r="IM28" s="404"/>
      <c r="IN28" s="404"/>
      <c r="IO28" s="403"/>
      <c r="IP28" s="403"/>
      <c r="IQ28" s="403"/>
      <c r="IR28" s="403"/>
      <c r="IS28" s="408"/>
    </row>
    <row r="29" spans="1:253" ht="12.6" customHeight="1">
      <c r="A29" s="403"/>
      <c r="B29" s="404"/>
      <c r="C29" s="411" t="s">
        <v>1213</v>
      </c>
      <c r="D29" s="411" t="s">
        <v>1213</v>
      </c>
      <c r="E29" s="411" t="s">
        <v>1213</v>
      </c>
      <c r="F29" s="408"/>
      <c r="G29" s="408"/>
      <c r="H29" s="408"/>
      <c r="I29" s="408"/>
    </row>
    <row r="30" spans="1:253" ht="12.6" customHeight="1">
      <c r="A30" s="403"/>
      <c r="B30" s="413" t="s">
        <v>1045</v>
      </c>
      <c r="C30" s="416" t="str">
        <f>C6</f>
        <v>2014-2015</v>
      </c>
      <c r="D30" s="415" t="str">
        <f>D6</f>
        <v>2015-2016</v>
      </c>
      <c r="E30" s="416" t="str">
        <f>E6</f>
        <v>2016-2017</v>
      </c>
      <c r="F30" s="408"/>
      <c r="G30" s="408"/>
      <c r="H30" s="408"/>
      <c r="I30" s="408"/>
    </row>
    <row r="31" spans="1:253" ht="12.6" customHeight="1">
      <c r="A31" s="420" t="s">
        <v>1373</v>
      </c>
      <c r="B31" s="421">
        <v>7</v>
      </c>
      <c r="C31" s="424" t="s">
        <v>1139</v>
      </c>
      <c r="D31" s="423" t="s">
        <v>1139</v>
      </c>
      <c r="E31" s="424" t="s">
        <v>1374</v>
      </c>
      <c r="F31" s="408"/>
      <c r="G31" s="408"/>
      <c r="H31" s="408"/>
      <c r="I31" s="408"/>
    </row>
    <row r="32" spans="1:253" ht="12.6" customHeight="1">
      <c r="A32" s="427" t="s">
        <v>1368</v>
      </c>
      <c r="B32" s="428" t="s">
        <v>1051</v>
      </c>
      <c r="C32" s="431">
        <v>1</v>
      </c>
      <c r="D32" s="430">
        <v>2</v>
      </c>
      <c r="E32" s="431">
        <v>3</v>
      </c>
      <c r="F32" s="408"/>
      <c r="G32" s="408"/>
      <c r="H32" s="408"/>
      <c r="I32" s="408"/>
    </row>
    <row r="33" spans="1:9" ht="12.6" customHeight="1">
      <c r="A33" s="465" t="s">
        <v>1267</v>
      </c>
      <c r="B33" s="413"/>
      <c r="C33" s="467"/>
      <c r="D33" s="478"/>
      <c r="E33" s="467"/>
      <c r="F33" s="408"/>
      <c r="G33" s="408"/>
      <c r="H33" s="408"/>
      <c r="I33" s="408"/>
    </row>
    <row r="34" spans="1:9" ht="12.6" customHeight="1">
      <c r="A34" s="468" t="s">
        <v>1268</v>
      </c>
      <c r="B34" s="421"/>
      <c r="C34" s="470"/>
      <c r="D34" s="483"/>
      <c r="E34" s="470"/>
      <c r="F34" s="408"/>
      <c r="G34" s="408"/>
      <c r="H34" s="408"/>
      <c r="I34" s="408"/>
    </row>
    <row r="35" spans="1:9" ht="12.6" customHeight="1">
      <c r="A35" s="471" t="s">
        <v>1269</v>
      </c>
      <c r="B35" s="428">
        <v>210</v>
      </c>
      <c r="C35" s="473">
        <v>49202</v>
      </c>
      <c r="D35" s="479">
        <v>56920</v>
      </c>
      <c r="E35" s="473">
        <v>60000</v>
      </c>
      <c r="F35" s="408"/>
      <c r="G35" s="408"/>
      <c r="H35" s="408"/>
      <c r="I35" s="408"/>
    </row>
    <row r="36" spans="1:9" ht="12.6" customHeight="1">
      <c r="A36" s="474" t="s">
        <v>1270</v>
      </c>
      <c r="B36" s="475">
        <v>215</v>
      </c>
      <c r="C36" s="477"/>
      <c r="D36" s="480"/>
      <c r="E36" s="477"/>
      <c r="F36" s="408"/>
      <c r="G36" s="408"/>
      <c r="H36" s="408"/>
      <c r="I36" s="408"/>
    </row>
    <row r="37" spans="1:9" ht="12.6" customHeight="1">
      <c r="A37" s="465" t="s">
        <v>1271</v>
      </c>
      <c r="B37" s="413"/>
      <c r="C37" s="467"/>
      <c r="D37" s="478"/>
      <c r="E37" s="467"/>
      <c r="F37" s="408"/>
      <c r="G37" s="408"/>
      <c r="H37" s="408"/>
      <c r="I37" s="408"/>
    </row>
    <row r="38" spans="1:9" ht="12.6" customHeight="1">
      <c r="A38" s="471" t="s">
        <v>1272</v>
      </c>
      <c r="B38" s="428">
        <v>220</v>
      </c>
      <c r="C38" s="473"/>
      <c r="D38" s="479"/>
      <c r="E38" s="473"/>
      <c r="F38" s="408"/>
      <c r="G38" s="408"/>
      <c r="H38" s="408"/>
      <c r="I38" s="408"/>
    </row>
    <row r="39" spans="1:9" ht="12.6" customHeight="1">
      <c r="A39" s="474" t="s">
        <v>1273</v>
      </c>
      <c r="B39" s="475">
        <v>225</v>
      </c>
      <c r="C39" s="477">
        <v>2834</v>
      </c>
      <c r="D39" s="480">
        <v>1805</v>
      </c>
      <c r="E39" s="477">
        <v>5000</v>
      </c>
      <c r="F39" s="408"/>
      <c r="G39" s="408"/>
      <c r="H39" s="408"/>
      <c r="I39" s="408"/>
    </row>
    <row r="40" spans="1:9" ht="12.6" customHeight="1">
      <c r="A40" s="474" t="s">
        <v>1276</v>
      </c>
      <c r="B40" s="475">
        <v>230</v>
      </c>
      <c r="C40" s="477">
        <v>879</v>
      </c>
      <c r="D40" s="480">
        <v>72</v>
      </c>
      <c r="E40" s="477"/>
      <c r="F40" s="408"/>
      <c r="G40" s="408"/>
      <c r="H40" s="408"/>
      <c r="I40" s="408"/>
    </row>
    <row r="41" spans="1:9" ht="12.6" customHeight="1">
      <c r="A41" s="465" t="s">
        <v>1281</v>
      </c>
      <c r="B41" s="428">
        <v>235</v>
      </c>
      <c r="C41" s="2435">
        <v>8650</v>
      </c>
      <c r="D41" s="481">
        <v>3981</v>
      </c>
      <c r="E41" s="2435">
        <v>10000</v>
      </c>
      <c r="F41" s="408"/>
      <c r="G41" s="408"/>
      <c r="H41" s="408"/>
      <c r="I41" s="408"/>
    </row>
    <row r="42" spans="1:9" ht="12.6" customHeight="1">
      <c r="A42" s="2906" t="s">
        <v>711</v>
      </c>
      <c r="B42" s="496">
        <v>237</v>
      </c>
      <c r="C42" s="2435"/>
      <c r="D42" s="481"/>
      <c r="E42" s="2435"/>
      <c r="F42" s="408"/>
      <c r="G42" s="408"/>
      <c r="H42" s="408"/>
      <c r="I42" s="408"/>
    </row>
    <row r="43" spans="1:9" ht="12.6" customHeight="1">
      <c r="A43" s="465" t="s">
        <v>1282</v>
      </c>
      <c r="B43" s="413"/>
      <c r="C43" s="467"/>
      <c r="D43" s="478"/>
      <c r="E43" s="467"/>
      <c r="F43" s="408"/>
      <c r="G43" s="408"/>
      <c r="H43" s="408"/>
      <c r="I43" s="408"/>
    </row>
    <row r="44" spans="1:9" ht="12.6" customHeight="1">
      <c r="A44" s="468" t="s">
        <v>1283</v>
      </c>
      <c r="B44" s="421"/>
      <c r="C44" s="470"/>
      <c r="D44" s="483"/>
      <c r="E44" s="470"/>
      <c r="F44" s="408"/>
      <c r="G44" s="408"/>
      <c r="H44" s="408"/>
      <c r="I44" s="408"/>
    </row>
    <row r="45" spans="1:9" ht="12.6" customHeight="1">
      <c r="A45" s="471" t="s">
        <v>1284</v>
      </c>
      <c r="B45" s="428">
        <v>240</v>
      </c>
      <c r="C45" s="473"/>
      <c r="D45" s="479"/>
      <c r="E45" s="473"/>
      <c r="F45" s="408"/>
      <c r="G45" s="408"/>
      <c r="H45" s="408"/>
      <c r="I45" s="408"/>
    </row>
    <row r="46" spans="1:9" ht="12.6" customHeight="1">
      <c r="A46" s="465" t="s">
        <v>1285</v>
      </c>
      <c r="B46" s="413">
        <v>245</v>
      </c>
      <c r="C46" s="2435"/>
      <c r="D46" s="481"/>
      <c r="E46" s="2435"/>
      <c r="F46" s="408"/>
      <c r="G46" s="408"/>
      <c r="H46" s="408"/>
      <c r="I46" s="408"/>
    </row>
    <row r="47" spans="1:9" ht="12.6" customHeight="1">
      <c r="A47" s="474" t="s">
        <v>1286</v>
      </c>
      <c r="B47" s="475">
        <v>250</v>
      </c>
      <c r="C47" s="477"/>
      <c r="D47" s="480"/>
      <c r="E47" s="477"/>
      <c r="F47" s="408"/>
      <c r="G47" s="408"/>
      <c r="H47" s="408"/>
      <c r="I47" s="408"/>
    </row>
    <row r="48" spans="1:9" ht="12.6" customHeight="1">
      <c r="A48" s="474" t="s">
        <v>1287</v>
      </c>
      <c r="B48" s="475">
        <v>255</v>
      </c>
      <c r="C48" s="477">
        <v>2826</v>
      </c>
      <c r="D48" s="480">
        <v>3306</v>
      </c>
      <c r="E48" s="477">
        <v>5000</v>
      </c>
      <c r="F48" s="408"/>
      <c r="H48" s="408"/>
      <c r="I48" s="408"/>
    </row>
    <row r="49" spans="1:9" ht="12.6" customHeight="1">
      <c r="A49" s="468" t="s">
        <v>1288</v>
      </c>
      <c r="B49" s="421"/>
      <c r="C49" s="470"/>
      <c r="D49" s="483"/>
      <c r="E49" s="470"/>
      <c r="F49" s="408"/>
      <c r="G49" s="408"/>
      <c r="H49" s="408"/>
      <c r="I49" s="408"/>
    </row>
    <row r="50" spans="1:9" ht="12.6" customHeight="1">
      <c r="A50" s="471" t="s">
        <v>1289</v>
      </c>
      <c r="B50" s="428">
        <v>260</v>
      </c>
      <c r="C50" s="473">
        <v>194</v>
      </c>
      <c r="D50" s="479">
        <v>627</v>
      </c>
      <c r="E50" s="473"/>
      <c r="F50" s="408"/>
      <c r="G50" s="408"/>
      <c r="H50" s="408"/>
      <c r="I50" s="408"/>
    </row>
    <row r="51" spans="1:9" ht="12.6" customHeight="1">
      <c r="A51" s="474" t="s">
        <v>1290</v>
      </c>
      <c r="B51" s="475">
        <v>265</v>
      </c>
      <c r="C51" s="477"/>
      <c r="D51" s="480"/>
      <c r="E51" s="477"/>
      <c r="F51" s="408"/>
      <c r="G51" s="408"/>
      <c r="H51" s="408"/>
      <c r="I51" s="408"/>
    </row>
    <row r="52" spans="1:9" ht="12.6" customHeight="1">
      <c r="A52" s="2907" t="s">
        <v>1256</v>
      </c>
      <c r="B52" s="500">
        <v>267</v>
      </c>
      <c r="C52" s="477"/>
      <c r="D52" s="480"/>
      <c r="E52" s="477"/>
      <c r="F52" s="408"/>
      <c r="G52" s="408"/>
      <c r="H52" s="408"/>
      <c r="I52" s="408"/>
    </row>
    <row r="53" spans="1:9" ht="12.6" customHeight="1">
      <c r="A53" s="474" t="s">
        <v>1291</v>
      </c>
      <c r="B53" s="475">
        <v>270</v>
      </c>
      <c r="C53" s="477"/>
      <c r="D53" s="480"/>
      <c r="E53" s="477"/>
      <c r="F53" s="408"/>
      <c r="G53" s="408"/>
      <c r="H53" s="408"/>
      <c r="I53" s="408"/>
    </row>
    <row r="54" spans="1:9" ht="12.6" customHeight="1">
      <c r="A54" s="471" t="s">
        <v>1292</v>
      </c>
      <c r="B54" s="428">
        <v>275</v>
      </c>
      <c r="C54" s="473">
        <v>18759</v>
      </c>
      <c r="D54" s="479">
        <v>16193</v>
      </c>
      <c r="E54" s="473">
        <v>17000</v>
      </c>
      <c r="F54" s="408"/>
      <c r="G54" s="408"/>
      <c r="H54" s="408"/>
      <c r="I54" s="408"/>
    </row>
    <row r="55" spans="1:9" ht="12.6" customHeight="1">
      <c r="A55" s="474" t="s">
        <v>1293</v>
      </c>
      <c r="B55" s="475">
        <v>280</v>
      </c>
      <c r="C55" s="477">
        <v>356</v>
      </c>
      <c r="D55" s="480"/>
      <c r="E55" s="477">
        <v>1000</v>
      </c>
      <c r="F55" s="408"/>
      <c r="G55" s="408"/>
      <c r="H55" s="408"/>
      <c r="I55" s="408"/>
    </row>
    <row r="56" spans="1:9" ht="12.6" customHeight="1">
      <c r="A56" s="468" t="s">
        <v>1294</v>
      </c>
      <c r="B56" s="421"/>
      <c r="C56" s="470"/>
      <c r="D56" s="483"/>
      <c r="E56" s="470"/>
      <c r="F56" s="408"/>
      <c r="G56" s="408"/>
      <c r="H56" s="408"/>
      <c r="I56" s="408"/>
    </row>
    <row r="57" spans="1:9" ht="12.6" customHeight="1">
      <c r="A57" s="468" t="s">
        <v>1295</v>
      </c>
      <c r="B57" s="421"/>
      <c r="C57" s="470"/>
      <c r="D57" s="483"/>
      <c r="E57" s="470"/>
      <c r="F57" s="408"/>
      <c r="G57" s="408"/>
      <c r="H57" s="408"/>
      <c r="I57" s="408"/>
    </row>
    <row r="58" spans="1:9" ht="12.6" customHeight="1">
      <c r="A58" s="468" t="s">
        <v>1268</v>
      </c>
      <c r="B58" s="421"/>
      <c r="C58" s="470"/>
      <c r="D58" s="483"/>
      <c r="E58" s="470"/>
      <c r="F58" s="408"/>
      <c r="G58" s="408"/>
      <c r="H58" s="408"/>
      <c r="I58" s="408"/>
    </row>
    <row r="59" spans="1:9" ht="12.6" customHeight="1">
      <c r="A59" s="471" t="s">
        <v>1269</v>
      </c>
      <c r="B59" s="428">
        <v>285</v>
      </c>
      <c r="C59" s="473"/>
      <c r="D59" s="479"/>
      <c r="E59" s="473"/>
      <c r="F59" s="408"/>
      <c r="G59" s="408"/>
      <c r="H59" s="408"/>
      <c r="I59" s="408"/>
    </row>
    <row r="60" spans="1:9" ht="12.6" customHeight="1">
      <c r="A60" s="474" t="s">
        <v>1270</v>
      </c>
      <c r="B60" s="475">
        <v>290</v>
      </c>
      <c r="C60" s="477"/>
      <c r="D60" s="480"/>
      <c r="E60" s="477"/>
      <c r="F60" s="408"/>
      <c r="G60" s="408"/>
      <c r="H60" s="408"/>
      <c r="I60" s="408"/>
    </row>
    <row r="61" spans="1:9" ht="12.6" customHeight="1">
      <c r="A61" s="403"/>
      <c r="B61" s="404" t="s">
        <v>1019</v>
      </c>
      <c r="C61" s="502">
        <f>C1</f>
        <v>270</v>
      </c>
      <c r="E61" s="407" t="s">
        <v>1020</v>
      </c>
      <c r="F61" s="408"/>
      <c r="G61" s="408"/>
      <c r="H61" s="408"/>
      <c r="I61" s="408"/>
    </row>
    <row r="62" spans="1:9" ht="12.6" customHeight="1">
      <c r="A62" s="403"/>
      <c r="B62" s="404"/>
      <c r="C62" s="409"/>
      <c r="E62" s="407" t="s">
        <v>1212</v>
      </c>
      <c r="F62" s="408"/>
      <c r="G62" s="408"/>
      <c r="H62" s="408"/>
      <c r="I62" s="408"/>
    </row>
    <row r="63" spans="1:9" ht="12.6" customHeight="1">
      <c r="A63" s="403"/>
      <c r="B63" s="404"/>
      <c r="C63" s="403"/>
      <c r="D63" s="407"/>
      <c r="E63" s="407" t="str">
        <f>E3</f>
        <v>2016-2017</v>
      </c>
      <c r="F63" s="408"/>
      <c r="G63" s="408"/>
      <c r="H63" s="408"/>
      <c r="I63" s="408"/>
    </row>
    <row r="64" spans="1:9" ht="12.6" customHeight="1">
      <c r="A64" s="403"/>
      <c r="B64" s="404"/>
      <c r="C64" s="403"/>
      <c r="D64" s="403"/>
      <c r="E64" s="408"/>
      <c r="F64" s="408"/>
      <c r="G64" s="408"/>
      <c r="H64" s="408"/>
      <c r="I64" s="408"/>
    </row>
    <row r="65" spans="1:9" ht="12.6" customHeight="1">
      <c r="A65" s="403"/>
      <c r="B65" s="404"/>
      <c r="C65" s="411" t="s">
        <v>1213</v>
      </c>
      <c r="D65" s="411" t="s">
        <v>1213</v>
      </c>
      <c r="E65" s="411" t="s">
        <v>1213</v>
      </c>
      <c r="F65" s="408"/>
      <c r="G65" s="408"/>
      <c r="H65" s="408"/>
      <c r="I65" s="408"/>
    </row>
    <row r="66" spans="1:9" ht="12.6" customHeight="1">
      <c r="A66" s="403"/>
      <c r="B66" s="414" t="s">
        <v>1045</v>
      </c>
      <c r="C66" s="416" t="str">
        <f>C6</f>
        <v>2014-2015</v>
      </c>
      <c r="D66" s="416" t="str">
        <f>D6</f>
        <v>2015-2016</v>
      </c>
      <c r="E66" s="416" t="str">
        <f>E6</f>
        <v>2016-2017</v>
      </c>
      <c r="F66" s="408"/>
      <c r="G66" s="408"/>
      <c r="H66" s="408"/>
      <c r="I66" s="408"/>
    </row>
    <row r="67" spans="1:9" ht="12.6" customHeight="1">
      <c r="A67" s="420" t="s">
        <v>1373</v>
      </c>
      <c r="B67" s="422">
        <v>7</v>
      </c>
      <c r="C67" s="424" t="s">
        <v>1139</v>
      </c>
      <c r="D67" s="424" t="s">
        <v>1139</v>
      </c>
      <c r="E67" s="424" t="s">
        <v>1215</v>
      </c>
      <c r="F67" s="408"/>
      <c r="G67" s="408"/>
      <c r="H67" s="408"/>
      <c r="I67" s="408"/>
    </row>
    <row r="68" spans="1:9" ht="12.6" customHeight="1">
      <c r="A68" s="427" t="s">
        <v>1368</v>
      </c>
      <c r="B68" s="429" t="s">
        <v>1051</v>
      </c>
      <c r="C68" s="431">
        <v>1</v>
      </c>
      <c r="D68" s="431">
        <v>2</v>
      </c>
      <c r="E68" s="431">
        <v>3</v>
      </c>
      <c r="F68" s="408"/>
      <c r="G68" s="408"/>
      <c r="H68" s="408"/>
      <c r="I68" s="408"/>
    </row>
    <row r="69" spans="1:9" s="418" customFormat="1" ht="12.6" customHeight="1">
      <c r="A69" s="465" t="s">
        <v>1271</v>
      </c>
      <c r="B69" s="413"/>
      <c r="C69" s="467"/>
      <c r="D69" s="478"/>
      <c r="E69" s="467"/>
      <c r="F69" s="403"/>
      <c r="G69" s="403"/>
      <c r="H69" s="403"/>
      <c r="I69" s="403"/>
    </row>
    <row r="70" spans="1:9" s="418" customFormat="1" ht="12.6" customHeight="1">
      <c r="A70" s="471" t="s">
        <v>1272</v>
      </c>
      <c r="B70" s="428">
        <v>295</v>
      </c>
      <c r="C70" s="473"/>
      <c r="D70" s="479"/>
      <c r="E70" s="473"/>
      <c r="F70" s="403"/>
      <c r="G70" s="403"/>
      <c r="H70" s="403"/>
      <c r="I70" s="403"/>
    </row>
    <row r="71" spans="1:9" s="418" customFormat="1" ht="12.6" customHeight="1">
      <c r="A71" s="471" t="s">
        <v>1273</v>
      </c>
      <c r="B71" s="428">
        <v>300</v>
      </c>
      <c r="C71" s="473"/>
      <c r="D71" s="479"/>
      <c r="E71" s="473"/>
      <c r="F71" s="403"/>
      <c r="G71" s="403"/>
      <c r="H71" s="403"/>
      <c r="I71" s="403"/>
    </row>
    <row r="72" spans="1:9" s="418" customFormat="1" ht="12.6" customHeight="1">
      <c r="A72" s="474" t="s">
        <v>1276</v>
      </c>
      <c r="B72" s="475">
        <v>305</v>
      </c>
      <c r="C72" s="477"/>
      <c r="D72" s="480"/>
      <c r="E72" s="477"/>
      <c r="F72" s="403"/>
      <c r="G72" s="403"/>
      <c r="H72" s="403"/>
      <c r="I72" s="403"/>
    </row>
    <row r="73" spans="1:9" s="418" customFormat="1" ht="12.6" customHeight="1">
      <c r="A73" s="465" t="s">
        <v>1281</v>
      </c>
      <c r="B73" s="428">
        <v>310</v>
      </c>
      <c r="C73" s="2435"/>
      <c r="D73" s="481"/>
      <c r="E73" s="2435"/>
      <c r="F73" s="403"/>
      <c r="G73" s="403"/>
      <c r="H73" s="403"/>
      <c r="I73" s="403"/>
    </row>
    <row r="74" spans="1:9" s="418" customFormat="1" ht="12.6" customHeight="1">
      <c r="A74" s="2906" t="s">
        <v>711</v>
      </c>
      <c r="B74" s="504">
        <v>313</v>
      </c>
      <c r="C74" s="2435"/>
      <c r="D74" s="481"/>
      <c r="E74" s="2435"/>
      <c r="F74" s="403"/>
      <c r="G74" s="403"/>
      <c r="H74" s="403"/>
      <c r="I74" s="403"/>
    </row>
    <row r="75" spans="1:9" s="418" customFormat="1" ht="12.6" customHeight="1">
      <c r="A75" s="474" t="s">
        <v>1282</v>
      </c>
      <c r="B75" s="475">
        <v>315</v>
      </c>
      <c r="C75" s="477"/>
      <c r="D75" s="480"/>
      <c r="E75" s="477"/>
      <c r="F75" s="403"/>
      <c r="G75" s="403"/>
      <c r="H75" s="403"/>
      <c r="I75" s="403"/>
    </row>
    <row r="76" spans="1:9" s="418" customFormat="1" ht="12.6" customHeight="1">
      <c r="A76" s="471" t="s">
        <v>1288</v>
      </c>
      <c r="B76" s="428">
        <v>320</v>
      </c>
      <c r="C76" s="473"/>
      <c r="D76" s="479"/>
      <c r="E76" s="473"/>
      <c r="F76" s="403"/>
      <c r="G76" s="403"/>
      <c r="H76" s="403"/>
      <c r="I76" s="403"/>
    </row>
    <row r="77" spans="1:9" s="418" customFormat="1" ht="12.6" customHeight="1">
      <c r="A77" s="465" t="s">
        <v>1292</v>
      </c>
      <c r="B77" s="413">
        <v>325</v>
      </c>
      <c r="C77" s="2435"/>
      <c r="D77" s="481"/>
      <c r="E77" s="2435"/>
      <c r="F77" s="403"/>
      <c r="G77" s="403"/>
      <c r="H77" s="403"/>
      <c r="I77" s="403"/>
    </row>
    <row r="78" spans="1:9" s="418" customFormat="1" ht="12.6" customHeight="1">
      <c r="A78" s="474" t="s">
        <v>1293</v>
      </c>
      <c r="B78" s="475">
        <v>330</v>
      </c>
      <c r="C78" s="477"/>
      <c r="D78" s="480"/>
      <c r="E78" s="477"/>
      <c r="F78" s="403"/>
      <c r="G78" s="403"/>
      <c r="H78" s="403"/>
      <c r="I78" s="403"/>
    </row>
    <row r="79" spans="1:9" s="418" customFormat="1" ht="12.6" customHeight="1">
      <c r="A79" s="465" t="s">
        <v>1296</v>
      </c>
      <c r="B79" s="413"/>
      <c r="C79" s="467"/>
      <c r="D79" s="478"/>
      <c r="E79" s="467"/>
      <c r="F79" s="403"/>
      <c r="G79" s="403"/>
      <c r="H79" s="403"/>
      <c r="I79" s="403"/>
    </row>
    <row r="80" spans="1:9" s="418" customFormat="1" ht="12.6" customHeight="1">
      <c r="A80" s="468" t="s">
        <v>1268</v>
      </c>
      <c r="B80" s="421"/>
      <c r="C80" s="470"/>
      <c r="D80" s="483"/>
      <c r="E80" s="470"/>
      <c r="F80" s="403"/>
      <c r="G80" s="403"/>
      <c r="H80" s="403"/>
      <c r="I80" s="403"/>
    </row>
    <row r="81" spans="1:9" s="418" customFormat="1" ht="12.6" customHeight="1">
      <c r="A81" s="471" t="s">
        <v>1269</v>
      </c>
      <c r="B81" s="428">
        <v>335</v>
      </c>
      <c r="C81" s="473"/>
      <c r="D81" s="479"/>
      <c r="E81" s="473"/>
      <c r="F81" s="403"/>
      <c r="G81" s="403"/>
      <c r="H81" s="403"/>
      <c r="I81" s="403"/>
    </row>
    <row r="82" spans="1:9" s="418" customFormat="1" ht="12.6" customHeight="1">
      <c r="A82" s="474" t="s">
        <v>1270</v>
      </c>
      <c r="B82" s="475">
        <v>340</v>
      </c>
      <c r="C82" s="477"/>
      <c r="D82" s="480"/>
      <c r="E82" s="477"/>
      <c r="F82" s="403"/>
      <c r="G82" s="403"/>
      <c r="H82" s="403"/>
      <c r="I82" s="403"/>
    </row>
    <row r="83" spans="1:9" s="418" customFormat="1" ht="12.6" customHeight="1">
      <c r="A83" s="465" t="s">
        <v>1271</v>
      </c>
      <c r="B83" s="413"/>
      <c r="C83" s="467"/>
      <c r="D83" s="478"/>
      <c r="E83" s="467"/>
      <c r="F83" s="403"/>
      <c r="G83" s="403"/>
      <c r="H83" s="403"/>
      <c r="I83" s="403"/>
    </row>
    <row r="84" spans="1:9" s="418" customFormat="1" ht="12.6" customHeight="1">
      <c r="A84" s="471" t="s">
        <v>1272</v>
      </c>
      <c r="B84" s="428">
        <v>345</v>
      </c>
      <c r="C84" s="473"/>
      <c r="D84" s="479"/>
      <c r="E84" s="473"/>
      <c r="F84" s="403"/>
      <c r="G84" s="403"/>
      <c r="H84" s="403"/>
      <c r="I84" s="403"/>
    </row>
    <row r="85" spans="1:9" ht="12.6" customHeight="1">
      <c r="A85" s="474" t="s">
        <v>1273</v>
      </c>
      <c r="B85" s="475">
        <v>350</v>
      </c>
      <c r="C85" s="477"/>
      <c r="D85" s="480"/>
      <c r="E85" s="477"/>
      <c r="F85" s="408"/>
      <c r="G85" s="408"/>
      <c r="H85" s="408"/>
      <c r="I85" s="408"/>
    </row>
    <row r="86" spans="1:9" ht="12.6" customHeight="1">
      <c r="A86" s="474" t="s">
        <v>1276</v>
      </c>
      <c r="B86" s="475">
        <v>355</v>
      </c>
      <c r="C86" s="477"/>
      <c r="D86" s="480"/>
      <c r="E86" s="477"/>
      <c r="F86" s="408"/>
      <c r="G86" s="408"/>
      <c r="H86" s="408"/>
      <c r="I86" s="408"/>
    </row>
    <row r="87" spans="1:9" ht="12.6" customHeight="1">
      <c r="A87" s="465" t="s">
        <v>1297</v>
      </c>
      <c r="B87" s="413"/>
      <c r="C87" s="467"/>
      <c r="D87" s="478"/>
      <c r="E87" s="467"/>
      <c r="F87" s="408"/>
      <c r="G87" s="408"/>
      <c r="H87" s="408"/>
      <c r="I87" s="408"/>
    </row>
    <row r="88" spans="1:9" ht="12.6" customHeight="1">
      <c r="A88" s="471" t="s">
        <v>1299</v>
      </c>
      <c r="B88" s="428">
        <v>360</v>
      </c>
      <c r="C88" s="473"/>
      <c r="D88" s="479"/>
      <c r="E88" s="473"/>
      <c r="F88" s="408"/>
      <c r="G88" s="408"/>
      <c r="H88" s="408"/>
      <c r="I88" s="408"/>
    </row>
    <row r="89" spans="1:9" ht="12.6" customHeight="1">
      <c r="A89" s="2908" t="s">
        <v>711</v>
      </c>
      <c r="B89" s="504">
        <v>363</v>
      </c>
      <c r="C89" s="473"/>
      <c r="D89" s="479"/>
      <c r="E89" s="473"/>
      <c r="F89" s="408"/>
      <c r="G89" s="408"/>
      <c r="H89" s="408"/>
      <c r="I89" s="408"/>
    </row>
    <row r="90" spans="1:9" ht="12.6" customHeight="1">
      <c r="A90" s="474" t="s">
        <v>1282</v>
      </c>
      <c r="B90" s="475">
        <v>365</v>
      </c>
      <c r="C90" s="477"/>
      <c r="D90" s="480"/>
      <c r="E90" s="477"/>
      <c r="F90" s="408"/>
      <c r="G90" s="408"/>
      <c r="H90" s="408"/>
      <c r="I90" s="408"/>
    </row>
    <row r="91" spans="1:9" ht="12.6" customHeight="1">
      <c r="A91" s="465" t="s">
        <v>1288</v>
      </c>
      <c r="B91" s="413"/>
      <c r="C91" s="467"/>
      <c r="D91" s="478"/>
      <c r="E91" s="467"/>
      <c r="F91" s="408"/>
      <c r="G91" s="408"/>
      <c r="H91" s="408"/>
      <c r="I91" s="408"/>
    </row>
    <row r="92" spans="1:9" ht="12.6" customHeight="1">
      <c r="A92" s="468" t="s">
        <v>1300</v>
      </c>
      <c r="B92" s="421"/>
      <c r="C92" s="470"/>
      <c r="D92" s="483"/>
      <c r="E92" s="470"/>
      <c r="F92" s="408"/>
      <c r="G92" s="408"/>
      <c r="H92" s="408"/>
      <c r="I92" s="408"/>
    </row>
    <row r="93" spans="1:9" ht="12.6" customHeight="1">
      <c r="A93" s="471" t="s">
        <v>1301</v>
      </c>
      <c r="B93" s="428">
        <v>370</v>
      </c>
      <c r="C93" s="473"/>
      <c r="D93" s="479"/>
      <c r="E93" s="473"/>
      <c r="F93" s="408"/>
      <c r="G93" s="408"/>
      <c r="H93" s="408"/>
      <c r="I93" s="408"/>
    </row>
    <row r="94" spans="1:9" ht="12.6" customHeight="1">
      <c r="A94" s="471" t="s">
        <v>790</v>
      </c>
      <c r="B94" s="428">
        <v>375</v>
      </c>
      <c r="C94" s="473"/>
      <c r="D94" s="479"/>
      <c r="E94" s="473"/>
      <c r="F94" s="408"/>
      <c r="G94" s="408"/>
      <c r="H94" s="408"/>
      <c r="I94" s="408"/>
    </row>
    <row r="95" spans="1:9" ht="12.6" customHeight="1">
      <c r="A95" s="474" t="s">
        <v>1291</v>
      </c>
      <c r="B95" s="475">
        <v>380</v>
      </c>
      <c r="C95" s="477"/>
      <c r="D95" s="480"/>
      <c r="E95" s="477"/>
      <c r="F95" s="408"/>
      <c r="G95" s="408"/>
      <c r="H95" s="408"/>
      <c r="I95" s="408"/>
    </row>
    <row r="96" spans="1:9" ht="12.6" customHeight="1">
      <c r="A96" s="474" t="s">
        <v>1292</v>
      </c>
      <c r="B96" s="475">
        <v>385</v>
      </c>
      <c r="C96" s="477"/>
      <c r="D96" s="480"/>
      <c r="E96" s="477"/>
      <c r="F96" s="408"/>
      <c r="G96" s="408"/>
      <c r="H96" s="408"/>
      <c r="I96" s="408"/>
    </row>
    <row r="97" spans="1:9" ht="12.6" customHeight="1">
      <c r="A97" s="474" t="s">
        <v>1293</v>
      </c>
      <c r="B97" s="475">
        <v>390</v>
      </c>
      <c r="C97" s="477"/>
      <c r="D97" s="480"/>
      <c r="E97" s="477"/>
      <c r="F97" s="408"/>
      <c r="G97" s="408"/>
      <c r="H97" s="408"/>
      <c r="I97" s="408"/>
    </row>
    <row r="98" spans="1:9" ht="12.6" customHeight="1">
      <c r="A98" s="465" t="s">
        <v>1302</v>
      </c>
      <c r="B98" s="413"/>
      <c r="C98" s="467"/>
      <c r="D98" s="478"/>
      <c r="E98" s="467"/>
      <c r="F98" s="408"/>
      <c r="G98" s="408"/>
      <c r="H98" s="408"/>
      <c r="I98" s="408"/>
    </row>
    <row r="99" spans="1:9" ht="12.6" customHeight="1">
      <c r="A99" s="468" t="s">
        <v>1268</v>
      </c>
      <c r="B99" s="421"/>
      <c r="C99" s="470"/>
      <c r="D99" s="483"/>
      <c r="E99" s="470"/>
      <c r="F99" s="408"/>
      <c r="G99" s="408"/>
      <c r="H99" s="408"/>
      <c r="I99" s="408"/>
    </row>
    <row r="100" spans="1:9" ht="12.6" customHeight="1">
      <c r="A100" s="471" t="s">
        <v>1269</v>
      </c>
      <c r="B100" s="428">
        <v>395</v>
      </c>
      <c r="C100" s="473"/>
      <c r="D100" s="479"/>
      <c r="E100" s="473"/>
      <c r="F100" s="408"/>
      <c r="G100" s="408"/>
      <c r="H100" s="408"/>
      <c r="I100" s="408"/>
    </row>
    <row r="101" spans="1:9" ht="12.6" customHeight="1">
      <c r="A101" s="474" t="s">
        <v>1270</v>
      </c>
      <c r="B101" s="475">
        <v>400</v>
      </c>
      <c r="C101" s="477"/>
      <c r="D101" s="480"/>
      <c r="E101" s="477"/>
      <c r="F101" s="408"/>
      <c r="G101" s="408"/>
      <c r="H101" s="408"/>
      <c r="I101" s="408"/>
    </row>
    <row r="102" spans="1:9" ht="12.6" customHeight="1">
      <c r="A102" s="465" t="s">
        <v>1271</v>
      </c>
      <c r="B102" s="413"/>
      <c r="C102" s="467"/>
      <c r="D102" s="478"/>
      <c r="E102" s="467"/>
      <c r="F102" s="408"/>
      <c r="G102" s="408"/>
      <c r="H102" s="408"/>
      <c r="I102" s="408"/>
    </row>
    <row r="103" spans="1:9" ht="12.6" customHeight="1">
      <c r="A103" s="471" t="s">
        <v>1272</v>
      </c>
      <c r="B103" s="428">
        <v>405</v>
      </c>
      <c r="C103" s="473"/>
      <c r="D103" s="479"/>
      <c r="E103" s="473"/>
      <c r="F103" s="408"/>
      <c r="G103" s="408"/>
      <c r="H103" s="408"/>
      <c r="I103" s="408"/>
    </row>
    <row r="104" spans="1:9" ht="12.6" customHeight="1">
      <c r="A104" s="474" t="s">
        <v>1273</v>
      </c>
      <c r="B104" s="475">
        <v>410</v>
      </c>
      <c r="C104" s="477"/>
      <c r="D104" s="480"/>
      <c r="E104" s="477"/>
      <c r="F104" s="408"/>
      <c r="G104" s="408"/>
      <c r="H104" s="408"/>
      <c r="I104" s="408"/>
    </row>
    <row r="105" spans="1:9" ht="12.6" customHeight="1">
      <c r="A105" s="474" t="s">
        <v>1276</v>
      </c>
      <c r="B105" s="475">
        <v>415</v>
      </c>
      <c r="C105" s="477"/>
      <c r="D105" s="480"/>
      <c r="E105" s="477"/>
      <c r="F105" s="408"/>
      <c r="G105" s="408"/>
      <c r="H105" s="408"/>
      <c r="I105" s="408"/>
    </row>
    <row r="106" spans="1:9" ht="12" customHeight="1">
      <c r="A106" s="465" t="s">
        <v>1297</v>
      </c>
      <c r="B106" s="413"/>
      <c r="C106" s="467"/>
      <c r="D106" s="478"/>
      <c r="E106" s="467"/>
      <c r="F106" s="408"/>
      <c r="G106" s="408"/>
      <c r="H106" s="408"/>
      <c r="I106" s="408"/>
    </row>
    <row r="107" spans="1:9" ht="12.6" customHeight="1">
      <c r="A107" s="471" t="s">
        <v>1299</v>
      </c>
      <c r="B107" s="428">
        <v>420</v>
      </c>
      <c r="C107" s="473"/>
      <c r="D107" s="479"/>
      <c r="E107" s="473"/>
      <c r="F107" s="408"/>
      <c r="G107" s="408"/>
      <c r="H107" s="408"/>
      <c r="I107" s="408"/>
    </row>
    <row r="108" spans="1:9" ht="12.6" customHeight="1">
      <c r="A108" s="474" t="s">
        <v>1303</v>
      </c>
      <c r="B108" s="475">
        <v>425</v>
      </c>
      <c r="C108" s="477"/>
      <c r="D108" s="480"/>
      <c r="E108" s="477"/>
      <c r="F108" s="408"/>
      <c r="G108" s="408"/>
      <c r="H108" s="408"/>
      <c r="I108" s="408"/>
    </row>
    <row r="109" spans="1:9" ht="12.6" customHeight="1">
      <c r="A109" s="468" t="s">
        <v>1282</v>
      </c>
      <c r="B109" s="421"/>
      <c r="C109" s="470"/>
      <c r="D109" s="483"/>
      <c r="E109" s="470"/>
      <c r="F109" s="408"/>
      <c r="G109" s="408"/>
      <c r="H109" s="408"/>
      <c r="I109" s="408"/>
    </row>
    <row r="110" spans="1:9" ht="12.6" customHeight="1">
      <c r="A110" s="471" t="s">
        <v>1304</v>
      </c>
      <c r="B110" s="428">
        <v>430</v>
      </c>
      <c r="C110" s="473"/>
      <c r="D110" s="479"/>
      <c r="E110" s="473"/>
      <c r="F110" s="408"/>
      <c r="G110" s="408"/>
      <c r="H110" s="408"/>
      <c r="I110" s="408"/>
    </row>
    <row r="111" spans="1:9" ht="12.6" customHeight="1">
      <c r="A111" s="465" t="s">
        <v>1305</v>
      </c>
      <c r="B111" s="413"/>
      <c r="C111" s="467"/>
      <c r="D111" s="478"/>
      <c r="E111" s="467"/>
      <c r="F111" s="408"/>
      <c r="G111" s="408"/>
      <c r="H111" s="408"/>
      <c r="I111" s="408"/>
    </row>
    <row r="112" spans="1:9" ht="12.6" customHeight="1">
      <c r="A112" s="471" t="s">
        <v>1306</v>
      </c>
      <c r="B112" s="428">
        <v>435</v>
      </c>
      <c r="C112" s="473"/>
      <c r="D112" s="479"/>
      <c r="E112" s="473"/>
      <c r="F112" s="408"/>
      <c r="G112" s="408"/>
      <c r="H112" s="408"/>
      <c r="I112" s="408"/>
    </row>
    <row r="113" spans="1:9" ht="12.6" customHeight="1">
      <c r="A113" s="474" t="s">
        <v>1287</v>
      </c>
      <c r="B113" s="475">
        <v>440</v>
      </c>
      <c r="C113" s="477"/>
      <c r="D113" s="480"/>
      <c r="E113" s="477"/>
      <c r="F113" s="408"/>
      <c r="G113" s="408"/>
      <c r="H113" s="408"/>
      <c r="I113" s="408"/>
    </row>
    <row r="114" spans="1:9" s="418" customFormat="1" ht="12.6" customHeight="1">
      <c r="A114" s="474" t="s">
        <v>1288</v>
      </c>
      <c r="B114" s="475">
        <v>445</v>
      </c>
      <c r="C114" s="477"/>
      <c r="D114" s="480"/>
      <c r="E114" s="477"/>
      <c r="F114" s="403"/>
      <c r="G114" s="403"/>
      <c r="H114" s="403"/>
      <c r="I114" s="403"/>
    </row>
    <row r="115" spans="1:9" s="418" customFormat="1" ht="12.6" customHeight="1">
      <c r="A115" s="474" t="s">
        <v>1292</v>
      </c>
      <c r="B115" s="475">
        <v>450</v>
      </c>
      <c r="C115" s="477"/>
      <c r="D115" s="480"/>
      <c r="E115" s="477"/>
      <c r="F115" s="403"/>
      <c r="G115" s="403"/>
      <c r="H115" s="403"/>
      <c r="I115" s="403"/>
    </row>
    <row r="116" spans="1:9" s="418" customFormat="1" ht="12.6" customHeight="1">
      <c r="A116" s="474" t="s">
        <v>1293</v>
      </c>
      <c r="B116" s="475">
        <v>455</v>
      </c>
      <c r="C116" s="477"/>
      <c r="D116" s="480"/>
      <c r="E116" s="477"/>
      <c r="F116" s="403"/>
      <c r="G116" s="403"/>
      <c r="H116" s="403"/>
      <c r="I116" s="403"/>
    </row>
    <row r="117" spans="1:9" s="418" customFormat="1" ht="11.25" customHeight="1">
      <c r="A117" s="465" t="s">
        <v>1307</v>
      </c>
      <c r="B117" s="413"/>
      <c r="C117" s="467"/>
      <c r="D117" s="478"/>
      <c r="E117" s="467"/>
      <c r="F117" s="403"/>
      <c r="G117" s="403"/>
      <c r="H117" s="403"/>
      <c r="I117" s="403"/>
    </row>
    <row r="118" spans="1:9" s="418" customFormat="1" ht="12.6" customHeight="1">
      <c r="A118" s="468" t="s">
        <v>1268</v>
      </c>
      <c r="B118" s="421"/>
      <c r="C118" s="470"/>
      <c r="D118" s="483"/>
      <c r="E118" s="470"/>
      <c r="F118" s="403"/>
      <c r="G118" s="403"/>
      <c r="H118" s="403"/>
      <c r="I118" s="403"/>
    </row>
    <row r="119" spans="1:9" s="418" customFormat="1" ht="12.6" customHeight="1">
      <c r="A119" s="471" t="s">
        <v>1269</v>
      </c>
      <c r="B119" s="428">
        <v>460</v>
      </c>
      <c r="C119" s="473"/>
      <c r="D119" s="479"/>
      <c r="E119" s="473"/>
      <c r="F119" s="403"/>
      <c r="G119" s="403"/>
      <c r="H119" s="403"/>
      <c r="I119" s="403"/>
    </row>
    <row r="120" spans="1:9" s="418" customFormat="1" ht="12.6" customHeight="1">
      <c r="A120" s="474" t="s">
        <v>1270</v>
      </c>
      <c r="B120" s="475">
        <v>465</v>
      </c>
      <c r="C120" s="477"/>
      <c r="D120" s="480"/>
      <c r="E120" s="477"/>
      <c r="F120" s="403"/>
      <c r="G120" s="403"/>
      <c r="H120" s="403"/>
      <c r="I120" s="403"/>
    </row>
    <row r="121" spans="1:9" s="418" customFormat="1" ht="12.6" customHeight="1">
      <c r="A121" s="465" t="s">
        <v>1271</v>
      </c>
      <c r="B121" s="413"/>
      <c r="C121" s="467"/>
      <c r="D121" s="478"/>
      <c r="E121" s="467"/>
      <c r="F121" s="403"/>
      <c r="G121" s="403"/>
      <c r="H121" s="403"/>
      <c r="I121" s="403"/>
    </row>
    <row r="122" spans="1:9" s="418" customFormat="1" ht="12.6" customHeight="1">
      <c r="A122" s="471" t="s">
        <v>1272</v>
      </c>
      <c r="B122" s="428">
        <v>470</v>
      </c>
      <c r="C122" s="473"/>
      <c r="D122" s="479"/>
      <c r="E122" s="473"/>
      <c r="F122" s="403"/>
      <c r="G122" s="403"/>
      <c r="H122" s="403"/>
      <c r="I122" s="403"/>
    </row>
    <row r="123" spans="1:9" s="418" customFormat="1" ht="12.6" customHeight="1">
      <c r="A123" s="474" t="s">
        <v>1273</v>
      </c>
      <c r="B123" s="475">
        <v>475</v>
      </c>
      <c r="C123" s="477"/>
      <c r="D123" s="480"/>
      <c r="E123" s="477"/>
      <c r="F123" s="403"/>
      <c r="G123" s="403"/>
      <c r="H123" s="403"/>
      <c r="I123" s="403"/>
    </row>
    <row r="124" spans="1:9" s="418" customFormat="1" ht="12.6" customHeight="1">
      <c r="A124" s="403"/>
      <c r="B124" s="404" t="s">
        <v>1019</v>
      </c>
      <c r="C124" s="502">
        <f>C1</f>
        <v>270</v>
      </c>
      <c r="D124" s="406"/>
      <c r="E124" s="407" t="s">
        <v>1020</v>
      </c>
      <c r="F124" s="403"/>
      <c r="G124" s="403"/>
      <c r="H124" s="403"/>
      <c r="I124" s="403"/>
    </row>
    <row r="125" spans="1:9" s="418" customFormat="1" ht="12.6" customHeight="1">
      <c r="A125" s="403"/>
      <c r="B125" s="404"/>
      <c r="C125" s="409"/>
      <c r="D125" s="406"/>
      <c r="E125" s="407" t="s">
        <v>1212</v>
      </c>
      <c r="F125" s="403"/>
      <c r="G125" s="403"/>
      <c r="H125" s="403"/>
      <c r="I125" s="403"/>
    </row>
    <row r="126" spans="1:9" s="418" customFormat="1" ht="12.6" customHeight="1">
      <c r="A126" s="403"/>
      <c r="B126" s="404"/>
      <c r="C126" s="403"/>
      <c r="D126" s="407"/>
      <c r="E126" s="407" t="str">
        <f>E3</f>
        <v>2016-2017</v>
      </c>
      <c r="F126" s="403"/>
      <c r="G126" s="403"/>
      <c r="H126" s="403"/>
      <c r="I126" s="403"/>
    </row>
    <row r="127" spans="1:9" s="418" customFormat="1" ht="12.6" customHeight="1">
      <c r="A127" s="403"/>
      <c r="B127" s="404"/>
      <c r="C127" s="403"/>
      <c r="D127" s="403"/>
      <c r="E127" s="408"/>
      <c r="F127" s="403"/>
      <c r="G127" s="403"/>
      <c r="H127" s="403"/>
      <c r="I127" s="403"/>
    </row>
    <row r="128" spans="1:9" s="418" customFormat="1" ht="12.6" customHeight="1">
      <c r="A128" s="403"/>
      <c r="B128" s="404"/>
      <c r="C128" s="411" t="s">
        <v>1213</v>
      </c>
      <c r="D128" s="411" t="s">
        <v>1213</v>
      </c>
      <c r="E128" s="411" t="s">
        <v>1213</v>
      </c>
      <c r="F128" s="403"/>
      <c r="G128" s="403"/>
      <c r="H128" s="403"/>
      <c r="I128" s="403"/>
    </row>
    <row r="129" spans="1:9" s="418" customFormat="1" ht="12.6" customHeight="1">
      <c r="A129" s="403"/>
      <c r="B129" s="414" t="s">
        <v>1045</v>
      </c>
      <c r="C129" s="416" t="str">
        <f>C6</f>
        <v>2014-2015</v>
      </c>
      <c r="D129" s="416" t="str">
        <f>D6</f>
        <v>2015-2016</v>
      </c>
      <c r="E129" s="416" t="str">
        <f>E6</f>
        <v>2016-2017</v>
      </c>
      <c r="F129" s="403"/>
      <c r="G129" s="403"/>
      <c r="H129" s="403"/>
      <c r="I129" s="403"/>
    </row>
    <row r="130" spans="1:9" s="418" customFormat="1" ht="12.6" customHeight="1">
      <c r="A130" s="420" t="s">
        <v>1373</v>
      </c>
      <c r="B130" s="422">
        <v>7</v>
      </c>
      <c r="C130" s="424" t="s">
        <v>1139</v>
      </c>
      <c r="D130" s="424" t="s">
        <v>1139</v>
      </c>
      <c r="E130" s="424" t="s">
        <v>1215</v>
      </c>
      <c r="F130" s="403"/>
      <c r="G130" s="403"/>
      <c r="H130" s="403"/>
      <c r="I130" s="403"/>
    </row>
    <row r="131" spans="1:9" s="418" customFormat="1" ht="12.6" customHeight="1">
      <c r="A131" s="427" t="s">
        <v>1368</v>
      </c>
      <c r="B131" s="429" t="s">
        <v>1051</v>
      </c>
      <c r="C131" s="431">
        <v>1</v>
      </c>
      <c r="D131" s="431">
        <v>2</v>
      </c>
      <c r="E131" s="431">
        <v>3</v>
      </c>
      <c r="F131" s="403"/>
      <c r="G131" s="403"/>
      <c r="H131" s="403"/>
      <c r="I131" s="403"/>
    </row>
    <row r="132" spans="1:9" s="418" customFormat="1" ht="12.6" customHeight="1">
      <c r="A132" s="474" t="s">
        <v>1276</v>
      </c>
      <c r="B132" s="475">
        <v>480</v>
      </c>
      <c r="C132" s="477"/>
      <c r="D132" s="480"/>
      <c r="E132" s="477"/>
      <c r="F132" s="403"/>
      <c r="G132" s="403"/>
      <c r="H132" s="403"/>
      <c r="I132" s="403"/>
    </row>
    <row r="133" spans="1:9" s="418" customFormat="1" ht="12.6" customHeight="1">
      <c r="A133" s="465" t="s">
        <v>1297</v>
      </c>
      <c r="B133" s="413"/>
      <c r="C133" s="467"/>
      <c r="D133" s="478"/>
      <c r="E133" s="467"/>
      <c r="F133" s="403"/>
      <c r="G133" s="403"/>
      <c r="H133" s="403"/>
      <c r="I133" s="403"/>
    </row>
    <row r="134" spans="1:9" s="418" customFormat="1" ht="12.6" customHeight="1">
      <c r="A134" s="471" t="s">
        <v>1299</v>
      </c>
      <c r="B134" s="428">
        <v>485</v>
      </c>
      <c r="C134" s="473"/>
      <c r="D134" s="479"/>
      <c r="E134" s="473"/>
      <c r="F134" s="403"/>
      <c r="G134" s="403"/>
      <c r="H134" s="403"/>
      <c r="I134" s="403"/>
    </row>
    <row r="135" spans="1:9" ht="12.6" customHeight="1">
      <c r="A135" s="474" t="s">
        <v>1303</v>
      </c>
      <c r="B135" s="475">
        <v>490</v>
      </c>
      <c r="C135" s="477"/>
      <c r="D135" s="480"/>
      <c r="E135" s="477"/>
      <c r="F135" s="408"/>
      <c r="G135" s="408"/>
      <c r="H135" s="408"/>
      <c r="I135" s="408"/>
    </row>
    <row r="136" spans="1:9" ht="12.6" customHeight="1">
      <c r="A136" s="465" t="s">
        <v>1282</v>
      </c>
      <c r="B136" s="413"/>
      <c r="C136" s="467"/>
      <c r="D136" s="478"/>
      <c r="E136" s="467"/>
      <c r="F136" s="408"/>
      <c r="G136" s="408"/>
      <c r="H136" s="408"/>
      <c r="I136" s="408"/>
    </row>
    <row r="137" spans="1:9" ht="12.6" customHeight="1">
      <c r="A137" s="468" t="s">
        <v>1305</v>
      </c>
      <c r="B137" s="421"/>
      <c r="C137" s="470"/>
      <c r="D137" s="483"/>
      <c r="E137" s="470"/>
      <c r="F137" s="408"/>
      <c r="G137" s="408"/>
      <c r="H137" s="408"/>
      <c r="I137" s="408"/>
    </row>
    <row r="138" spans="1:9" ht="12.6" customHeight="1">
      <c r="A138" s="471" t="s">
        <v>1306</v>
      </c>
      <c r="B138" s="428">
        <v>495</v>
      </c>
      <c r="C138" s="473"/>
      <c r="D138" s="479"/>
      <c r="E138" s="473"/>
      <c r="F138" s="408"/>
      <c r="G138" s="408"/>
      <c r="H138" s="408"/>
      <c r="I138" s="408"/>
    </row>
    <row r="139" spans="1:9" ht="12.6" customHeight="1">
      <c r="A139" s="474" t="s">
        <v>1287</v>
      </c>
      <c r="B139" s="475">
        <v>500</v>
      </c>
      <c r="C139" s="477"/>
      <c r="D139" s="480"/>
      <c r="E139" s="477"/>
      <c r="F139" s="408"/>
      <c r="G139" s="408"/>
      <c r="H139" s="408"/>
      <c r="I139" s="408"/>
    </row>
    <row r="140" spans="1:9" ht="12.6" customHeight="1">
      <c r="A140" s="474" t="s">
        <v>1288</v>
      </c>
      <c r="B140" s="475">
        <v>505</v>
      </c>
      <c r="C140" s="477"/>
      <c r="D140" s="480"/>
      <c r="E140" s="477"/>
      <c r="F140" s="408"/>
      <c r="G140" s="408"/>
      <c r="H140" s="408"/>
      <c r="I140" s="408"/>
    </row>
    <row r="141" spans="1:9" ht="12.6" customHeight="1">
      <c r="A141" s="474" t="s">
        <v>1292</v>
      </c>
      <c r="B141" s="475">
        <v>510</v>
      </c>
      <c r="C141" s="477"/>
      <c r="D141" s="480"/>
      <c r="E141" s="477"/>
      <c r="F141" s="408"/>
      <c r="G141" s="408"/>
      <c r="H141" s="408"/>
      <c r="I141" s="408"/>
    </row>
    <row r="142" spans="1:9" ht="12.6" customHeight="1">
      <c r="A142" s="474" t="s">
        <v>1293</v>
      </c>
      <c r="B142" s="475">
        <v>515</v>
      </c>
      <c r="C142" s="477"/>
      <c r="D142" s="480"/>
      <c r="E142" s="477"/>
      <c r="F142" s="408"/>
      <c r="G142" s="408"/>
      <c r="H142" s="408"/>
      <c r="I142" s="408"/>
    </row>
    <row r="143" spans="1:9" ht="12.6" customHeight="1">
      <c r="A143" s="375" t="s">
        <v>1745</v>
      </c>
      <c r="B143" s="379"/>
      <c r="C143" s="3852"/>
      <c r="D143" s="3851"/>
      <c r="E143" s="3854"/>
      <c r="F143" s="408"/>
      <c r="G143" s="408"/>
      <c r="H143" s="408"/>
      <c r="I143" s="408"/>
    </row>
    <row r="144" spans="1:9" ht="12.6" customHeight="1">
      <c r="A144" s="378" t="s">
        <v>1544</v>
      </c>
      <c r="B144" s="379"/>
      <c r="C144" s="3853"/>
      <c r="D144" s="2635"/>
      <c r="E144" s="3854"/>
      <c r="F144" s="408"/>
      <c r="G144" s="408"/>
      <c r="H144" s="408"/>
      <c r="I144" s="408"/>
    </row>
    <row r="145" spans="1:9" ht="12.6" customHeight="1">
      <c r="A145" s="381" t="s">
        <v>1746</v>
      </c>
      <c r="B145" s="2903">
        <v>680</v>
      </c>
      <c r="C145" s="3959"/>
      <c r="D145" s="3951"/>
      <c r="E145" s="3958"/>
      <c r="F145" s="408"/>
      <c r="G145" s="408"/>
      <c r="H145" s="408"/>
      <c r="I145" s="408"/>
    </row>
    <row r="146" spans="1:9" ht="12.6" customHeight="1">
      <c r="A146" s="384" t="s">
        <v>1732</v>
      </c>
      <c r="B146" s="2902">
        <v>685</v>
      </c>
      <c r="C146" s="3954"/>
      <c r="D146" s="3954"/>
      <c r="E146" s="3960"/>
      <c r="F146" s="408"/>
      <c r="G146" s="408"/>
      <c r="H146" s="408"/>
      <c r="I146" s="408"/>
    </row>
    <row r="147" spans="1:9" ht="12.6" customHeight="1">
      <c r="A147" s="378" t="s">
        <v>944</v>
      </c>
      <c r="B147" s="2900"/>
      <c r="C147" s="3961"/>
      <c r="D147" s="3955"/>
      <c r="E147" s="3962"/>
      <c r="F147" s="408"/>
      <c r="G147" s="408"/>
      <c r="H147" s="408"/>
      <c r="I147" s="408"/>
    </row>
    <row r="148" spans="1:9" ht="12.6" customHeight="1">
      <c r="A148" s="381" t="s">
        <v>1748</v>
      </c>
      <c r="B148" s="2900">
        <v>690</v>
      </c>
      <c r="C148" s="3959"/>
      <c r="D148" s="3951"/>
      <c r="E148" s="3963"/>
      <c r="F148" s="408"/>
      <c r="G148" s="408"/>
      <c r="H148" s="408"/>
      <c r="I148" s="408"/>
    </row>
    <row r="149" spans="1:9" ht="12.6" customHeight="1">
      <c r="A149" s="384" t="s">
        <v>1747</v>
      </c>
      <c r="B149" s="2902">
        <v>695</v>
      </c>
      <c r="C149" s="3954"/>
      <c r="D149" s="3954"/>
      <c r="E149" s="3960"/>
      <c r="F149" s="408"/>
      <c r="G149" s="408"/>
      <c r="H149" s="408"/>
      <c r="I149" s="408"/>
    </row>
    <row r="150" spans="1:9" ht="12.6" customHeight="1">
      <c r="A150" s="384" t="s">
        <v>1749</v>
      </c>
      <c r="B150" s="2902">
        <v>700</v>
      </c>
      <c r="C150" s="3954"/>
      <c r="D150" s="3954"/>
      <c r="E150" s="3960"/>
      <c r="F150" s="408"/>
      <c r="G150" s="408"/>
      <c r="H150" s="408"/>
      <c r="I150" s="408"/>
    </row>
    <row r="151" spans="1:9" ht="12.6" customHeight="1">
      <c r="A151" s="384" t="s">
        <v>1439</v>
      </c>
      <c r="B151" s="2902">
        <v>705</v>
      </c>
      <c r="C151" s="3954"/>
      <c r="D151" s="3954"/>
      <c r="E151" s="3960"/>
      <c r="F151" s="408"/>
      <c r="G151" s="408"/>
      <c r="H151" s="408"/>
      <c r="I151" s="408"/>
    </row>
    <row r="152" spans="1:9" ht="12.6" customHeight="1">
      <c r="A152" s="384" t="s">
        <v>711</v>
      </c>
      <c r="B152" s="2902">
        <v>710</v>
      </c>
      <c r="C152" s="3954"/>
      <c r="D152" s="3954"/>
      <c r="E152" s="3960"/>
      <c r="F152" s="408"/>
      <c r="G152" s="408"/>
      <c r="H152" s="408"/>
      <c r="I152" s="408"/>
    </row>
    <row r="153" spans="1:9" ht="12.6" customHeight="1">
      <c r="A153" s="384" t="s">
        <v>683</v>
      </c>
      <c r="B153" s="2902">
        <v>715</v>
      </c>
      <c r="C153" s="3954"/>
      <c r="D153" s="3954"/>
      <c r="E153" s="3960"/>
      <c r="F153" s="408"/>
      <c r="G153" s="408"/>
      <c r="H153" s="408"/>
      <c r="I153" s="408"/>
    </row>
    <row r="154" spans="1:9" ht="12.6" customHeight="1">
      <c r="A154" s="384" t="s">
        <v>1738</v>
      </c>
      <c r="B154" s="2902">
        <v>720</v>
      </c>
      <c r="C154" s="3954"/>
      <c r="D154" s="3954"/>
      <c r="E154" s="3960"/>
      <c r="F154" s="408"/>
      <c r="G154" s="408"/>
      <c r="H154" s="408"/>
      <c r="I154" s="408"/>
    </row>
    <row r="155" spans="1:9" ht="12.6" customHeight="1">
      <c r="A155" s="384" t="s">
        <v>1739</v>
      </c>
      <c r="B155" s="2902">
        <v>725</v>
      </c>
      <c r="C155" s="3954"/>
      <c r="D155" s="3954"/>
      <c r="E155" s="3960"/>
      <c r="F155" s="408"/>
      <c r="G155" s="408"/>
      <c r="H155" s="408"/>
      <c r="I155" s="408"/>
    </row>
    <row r="156" spans="1:9" ht="12.6" customHeight="1">
      <c r="A156" s="384" t="s">
        <v>943</v>
      </c>
      <c r="B156" s="3970">
        <v>730</v>
      </c>
      <c r="C156" s="4009"/>
      <c r="D156" s="3953"/>
      <c r="E156" s="3954"/>
      <c r="F156" s="408"/>
      <c r="G156" s="408"/>
      <c r="H156" s="408"/>
      <c r="I156" s="408"/>
    </row>
    <row r="157" spans="1:9" ht="12.6" customHeight="1">
      <c r="A157" s="484" t="s">
        <v>1308</v>
      </c>
      <c r="B157" s="413"/>
      <c r="C157" s="467"/>
      <c r="D157" s="478"/>
      <c r="E157" s="467"/>
      <c r="F157" s="408"/>
      <c r="G157" s="408"/>
      <c r="H157" s="408"/>
      <c r="I157" s="408"/>
    </row>
    <row r="158" spans="1:9" ht="12.6" customHeight="1">
      <c r="A158" s="485" t="s">
        <v>1309</v>
      </c>
      <c r="B158" s="421"/>
      <c r="C158" s="470"/>
      <c r="D158" s="483"/>
      <c r="E158" s="470"/>
      <c r="F158" s="408"/>
      <c r="G158" s="408"/>
      <c r="H158" s="408"/>
      <c r="I158" s="408"/>
    </row>
    <row r="159" spans="1:9" ht="12.6" customHeight="1">
      <c r="A159" s="486" t="s">
        <v>1270</v>
      </c>
      <c r="B159" s="428">
        <v>520</v>
      </c>
      <c r="C159" s="473"/>
      <c r="D159" s="479"/>
      <c r="E159" s="473"/>
      <c r="F159" s="408"/>
      <c r="G159" s="408"/>
      <c r="H159" s="408"/>
      <c r="I159" s="408"/>
    </row>
    <row r="160" spans="1:9" ht="12.6" customHeight="1">
      <c r="A160" s="484" t="s">
        <v>1310</v>
      </c>
      <c r="B160" s="413"/>
      <c r="C160" s="467"/>
      <c r="D160" s="478"/>
      <c r="E160" s="467"/>
      <c r="F160" s="408"/>
      <c r="G160" s="408"/>
      <c r="H160" s="408"/>
      <c r="I160" s="408"/>
    </row>
    <row r="161" spans="1:9" ht="12.6" customHeight="1">
      <c r="A161" s="486" t="s">
        <v>1311</v>
      </c>
      <c r="B161" s="428">
        <v>525</v>
      </c>
      <c r="C161" s="473"/>
      <c r="D161" s="479"/>
      <c r="E161" s="473"/>
      <c r="F161" s="408"/>
      <c r="G161" s="408"/>
      <c r="H161" s="408"/>
      <c r="I161" s="408"/>
    </row>
    <row r="162" spans="1:9" ht="12.6" customHeight="1">
      <c r="A162" s="487" t="s">
        <v>1314</v>
      </c>
      <c r="B162" s="475">
        <v>530</v>
      </c>
      <c r="C162" s="477"/>
      <c r="D162" s="480"/>
      <c r="E162" s="477"/>
      <c r="F162" s="408"/>
      <c r="G162" s="408"/>
      <c r="H162" s="408"/>
      <c r="I162" s="408"/>
    </row>
    <row r="163" spans="1:9" ht="12.6" customHeight="1">
      <c r="A163" s="487" t="s">
        <v>1315</v>
      </c>
      <c r="B163" s="475">
        <v>535</v>
      </c>
      <c r="C163" s="477"/>
      <c r="D163" s="480"/>
      <c r="E163" s="477"/>
      <c r="F163" s="408"/>
      <c r="G163" s="408"/>
      <c r="H163" s="408"/>
      <c r="I163" s="408"/>
    </row>
    <row r="164" spans="1:9" ht="12.6" customHeight="1">
      <c r="A164" s="484" t="s">
        <v>1316</v>
      </c>
      <c r="B164" s="413"/>
      <c r="C164" s="467"/>
      <c r="D164" s="478"/>
      <c r="E164" s="467"/>
      <c r="F164" s="408"/>
      <c r="G164" s="408"/>
      <c r="H164" s="408"/>
      <c r="I164" s="408"/>
    </row>
    <row r="165" spans="1:9" ht="12.6" customHeight="1">
      <c r="A165" s="486" t="s">
        <v>1317</v>
      </c>
      <c r="B165" s="428">
        <v>540</v>
      </c>
      <c r="C165" s="473"/>
      <c r="D165" s="479"/>
      <c r="E165" s="473"/>
      <c r="F165" s="408"/>
      <c r="G165" s="408"/>
      <c r="H165" s="408"/>
      <c r="I165" s="408"/>
    </row>
    <row r="166" spans="1:9" ht="12.6" customHeight="1">
      <c r="A166" s="484" t="s">
        <v>1318</v>
      </c>
      <c r="B166" s="413"/>
      <c r="C166" s="467"/>
      <c r="D166" s="478"/>
      <c r="E166" s="467"/>
      <c r="F166" s="408"/>
      <c r="G166" s="408"/>
      <c r="H166" s="408"/>
      <c r="I166" s="408"/>
    </row>
    <row r="167" spans="1:9" ht="12.6" customHeight="1">
      <c r="A167" s="486" t="s">
        <v>1319</v>
      </c>
      <c r="B167" s="428">
        <v>545</v>
      </c>
      <c r="C167" s="473"/>
      <c r="D167" s="479"/>
      <c r="E167" s="473"/>
      <c r="F167" s="408"/>
      <c r="G167" s="408"/>
      <c r="H167" s="408"/>
      <c r="I167" s="408"/>
    </row>
    <row r="168" spans="1:9" ht="12.6" customHeight="1">
      <c r="A168" s="487" t="s">
        <v>1320</v>
      </c>
      <c r="B168" s="475">
        <v>550</v>
      </c>
      <c r="C168" s="477"/>
      <c r="D168" s="480"/>
      <c r="E168" s="477"/>
      <c r="F168" s="408"/>
      <c r="G168" s="408"/>
      <c r="H168" s="408"/>
      <c r="I168" s="408"/>
    </row>
    <row r="169" spans="1:9" ht="12.6" customHeight="1">
      <c r="A169" s="487" t="s">
        <v>1321</v>
      </c>
      <c r="B169" s="475">
        <v>555</v>
      </c>
      <c r="C169" s="477"/>
      <c r="D169" s="480"/>
      <c r="E169" s="477"/>
      <c r="F169" s="408"/>
      <c r="G169" s="408"/>
      <c r="H169" s="408"/>
      <c r="I169" s="408"/>
    </row>
    <row r="170" spans="1:9" ht="12.6" customHeight="1">
      <c r="A170" s="487" t="s">
        <v>1322</v>
      </c>
      <c r="B170" s="475">
        <v>560</v>
      </c>
      <c r="C170" s="477"/>
      <c r="D170" s="480"/>
      <c r="E170" s="477"/>
      <c r="F170" s="408"/>
      <c r="G170" s="408"/>
      <c r="H170" s="408"/>
      <c r="I170" s="408"/>
    </row>
    <row r="171" spans="1:9" ht="12.6" customHeight="1">
      <c r="A171" s="487" t="s">
        <v>1323</v>
      </c>
      <c r="B171" s="475">
        <v>565</v>
      </c>
      <c r="C171" s="477"/>
      <c r="D171" s="480"/>
      <c r="E171" s="477"/>
      <c r="F171" s="408"/>
      <c r="G171" s="408"/>
      <c r="H171" s="408"/>
      <c r="I171" s="408"/>
    </row>
    <row r="172" spans="1:9" ht="12.6" customHeight="1">
      <c r="A172" s="487" t="s">
        <v>1326</v>
      </c>
      <c r="B172" s="475">
        <v>570</v>
      </c>
      <c r="C172" s="477"/>
      <c r="D172" s="480"/>
      <c r="E172" s="477"/>
      <c r="F172" s="408"/>
      <c r="G172" s="408"/>
      <c r="H172" s="408"/>
      <c r="I172" s="408"/>
    </row>
    <row r="173" spans="1:9" ht="12.6" customHeight="1">
      <c r="A173" s="484" t="s">
        <v>1327</v>
      </c>
      <c r="B173" s="413"/>
      <c r="C173" s="467"/>
      <c r="D173" s="478"/>
      <c r="E173" s="467"/>
      <c r="F173" s="408"/>
      <c r="G173" s="408"/>
      <c r="H173" s="408"/>
      <c r="I173" s="408"/>
    </row>
    <row r="174" spans="1:9" ht="12.6" customHeight="1">
      <c r="A174" s="486" t="s">
        <v>1335</v>
      </c>
      <c r="B174" s="428">
        <v>575</v>
      </c>
      <c r="C174" s="473"/>
      <c r="D174" s="479"/>
      <c r="E174" s="473"/>
      <c r="F174" s="408"/>
      <c r="G174" s="408"/>
      <c r="H174" s="408"/>
      <c r="I174" s="408"/>
    </row>
    <row r="175" spans="1:9" ht="12.6" customHeight="1">
      <c r="A175" s="487" t="s">
        <v>1336</v>
      </c>
      <c r="B175" s="475">
        <v>580</v>
      </c>
      <c r="C175" s="477"/>
      <c r="D175" s="480"/>
      <c r="E175" s="477"/>
      <c r="F175" s="408"/>
      <c r="G175" s="408"/>
      <c r="H175" s="408"/>
      <c r="I175" s="408"/>
    </row>
    <row r="176" spans="1:9" ht="12.6" customHeight="1">
      <c r="A176" s="485" t="s">
        <v>1337</v>
      </c>
      <c r="B176" s="421"/>
      <c r="C176" s="470"/>
      <c r="D176" s="483"/>
      <c r="E176" s="470"/>
      <c r="F176" s="408"/>
      <c r="G176" s="408"/>
      <c r="H176" s="408"/>
      <c r="I176" s="408"/>
    </row>
    <row r="177" spans="1:9" ht="12.6" customHeight="1">
      <c r="A177" s="486" t="s">
        <v>1338</v>
      </c>
      <c r="B177" s="428">
        <v>585</v>
      </c>
      <c r="C177" s="473"/>
      <c r="D177" s="479"/>
      <c r="E177" s="473"/>
      <c r="F177" s="408"/>
      <c r="G177" s="408"/>
      <c r="H177" s="408"/>
      <c r="I177" s="408"/>
    </row>
    <row r="178" spans="1:9" ht="12.6" customHeight="1">
      <c r="A178" s="484" t="s">
        <v>1339</v>
      </c>
      <c r="B178" s="413"/>
      <c r="C178" s="467"/>
      <c r="D178" s="478"/>
      <c r="E178" s="467"/>
      <c r="F178" s="408"/>
      <c r="G178" s="408"/>
      <c r="H178" s="408"/>
      <c r="I178" s="408"/>
    </row>
    <row r="179" spans="1:9" ht="12.6" customHeight="1">
      <c r="A179" s="486" t="s">
        <v>1340</v>
      </c>
      <c r="B179" s="428">
        <v>590</v>
      </c>
      <c r="C179" s="473"/>
      <c r="D179" s="479"/>
      <c r="E179" s="473"/>
      <c r="F179" s="408"/>
      <c r="G179" s="408"/>
      <c r="H179" s="408"/>
      <c r="I179" s="408"/>
    </row>
    <row r="180" spans="1:9" ht="12.6" customHeight="1">
      <c r="A180" s="487" t="s">
        <v>1341</v>
      </c>
      <c r="B180" s="475">
        <v>595</v>
      </c>
      <c r="C180" s="477"/>
      <c r="D180" s="480"/>
      <c r="E180" s="477"/>
      <c r="F180" s="408"/>
      <c r="G180" s="408"/>
      <c r="H180" s="408"/>
      <c r="I180" s="408"/>
    </row>
    <row r="181" spans="1:9" ht="12.6" customHeight="1">
      <c r="A181" s="487" t="s">
        <v>1342</v>
      </c>
      <c r="B181" s="475">
        <v>600</v>
      </c>
      <c r="C181" s="477"/>
      <c r="D181" s="480"/>
      <c r="E181" s="477"/>
      <c r="F181" s="408"/>
      <c r="G181" s="408"/>
      <c r="H181" s="408"/>
      <c r="I181" s="408"/>
    </row>
    <row r="182" spans="1:9" s="488" customFormat="1" ht="12.6" customHeight="1">
      <c r="A182" s="487" t="s">
        <v>1343</v>
      </c>
      <c r="B182" s="475">
        <v>605</v>
      </c>
      <c r="C182" s="477"/>
      <c r="D182" s="480"/>
      <c r="E182" s="477"/>
      <c r="F182" s="409"/>
      <c r="G182" s="409"/>
      <c r="H182" s="409"/>
      <c r="I182" s="409"/>
    </row>
    <row r="183" spans="1:9" s="488" customFormat="1" ht="12.6" customHeight="1">
      <c r="A183" s="487" t="s">
        <v>1344</v>
      </c>
      <c r="B183" s="475">
        <v>610</v>
      </c>
      <c r="C183" s="477"/>
      <c r="D183" s="480"/>
      <c r="E183" s="477"/>
      <c r="F183" s="409"/>
      <c r="G183" s="409"/>
      <c r="H183" s="409"/>
      <c r="I183" s="409"/>
    </row>
    <row r="184" spans="1:9" s="488" customFormat="1" ht="12.6" customHeight="1">
      <c r="A184" s="487" t="s">
        <v>1345</v>
      </c>
      <c r="B184" s="475">
        <v>615</v>
      </c>
      <c r="C184" s="477"/>
      <c r="D184" s="480"/>
      <c r="E184" s="477"/>
      <c r="F184" s="409"/>
      <c r="G184" s="409"/>
      <c r="H184" s="409"/>
      <c r="I184" s="409"/>
    </row>
    <row r="185" spans="1:9" s="488" customFormat="1" ht="12.6" customHeight="1">
      <c r="A185" s="484" t="s">
        <v>1346</v>
      </c>
      <c r="B185" s="413">
        <v>620</v>
      </c>
      <c r="C185" s="2435"/>
      <c r="D185" s="481"/>
      <c r="E185" s="2435"/>
      <c r="F185" s="409"/>
      <c r="G185" s="409"/>
      <c r="H185" s="409"/>
      <c r="I185" s="409"/>
    </row>
    <row r="186" spans="1:9" s="488" customFormat="1" ht="12.6" customHeight="1">
      <c r="A186" s="3857"/>
      <c r="B186" s="489"/>
      <c r="C186" s="3856"/>
      <c r="D186" s="3856"/>
      <c r="E186" s="3856"/>
      <c r="F186" s="409"/>
      <c r="G186" s="409"/>
      <c r="H186" s="409"/>
      <c r="I186" s="409"/>
    </row>
    <row r="187" spans="1:9" s="488" customFormat="1" ht="12.6" customHeight="1">
      <c r="A187" s="403"/>
      <c r="B187" s="404" t="s">
        <v>1019</v>
      </c>
      <c r="C187" s="502">
        <f>C1</f>
        <v>270</v>
      </c>
      <c r="D187" s="418"/>
      <c r="E187" s="407" t="s">
        <v>1020</v>
      </c>
      <c r="F187" s="409"/>
      <c r="G187" s="409"/>
      <c r="H187" s="409"/>
      <c r="I187" s="409"/>
    </row>
    <row r="188" spans="1:9" s="488" customFormat="1" ht="12.6" customHeight="1">
      <c r="A188" s="403"/>
      <c r="B188" s="404"/>
      <c r="C188" s="409"/>
      <c r="D188" s="418"/>
      <c r="E188" s="407" t="s">
        <v>1212</v>
      </c>
      <c r="F188" s="409"/>
      <c r="G188" s="409"/>
      <c r="H188" s="409"/>
      <c r="I188" s="409"/>
    </row>
    <row r="189" spans="1:9" s="488" customFormat="1" ht="12.6" customHeight="1">
      <c r="A189" s="403"/>
      <c r="B189" s="404"/>
      <c r="C189" s="403"/>
      <c r="D189" s="407"/>
      <c r="E189" s="503" t="str">
        <f>E3</f>
        <v>2016-2017</v>
      </c>
      <c r="F189" s="409"/>
      <c r="G189" s="409"/>
      <c r="H189" s="409"/>
      <c r="I189" s="409"/>
    </row>
    <row r="190" spans="1:9" s="488" customFormat="1" ht="12.6" customHeight="1">
      <c r="A190" s="403"/>
      <c r="B190" s="404"/>
      <c r="C190" s="403"/>
      <c r="D190" s="403"/>
      <c r="E190" s="403"/>
      <c r="F190" s="409"/>
      <c r="G190" s="409"/>
      <c r="H190" s="409"/>
      <c r="I190" s="409"/>
    </row>
    <row r="191" spans="1:9" s="488" customFormat="1" ht="12.6" customHeight="1">
      <c r="A191" s="403"/>
      <c r="B191" s="404"/>
      <c r="C191" s="411" t="s">
        <v>1213</v>
      </c>
      <c r="D191" s="411" t="s">
        <v>1213</v>
      </c>
      <c r="E191" s="411" t="s">
        <v>1213</v>
      </c>
      <c r="F191" s="409"/>
      <c r="G191" s="409"/>
      <c r="H191" s="409"/>
      <c r="I191" s="409"/>
    </row>
    <row r="192" spans="1:9" s="488" customFormat="1" ht="12.6" customHeight="1">
      <c r="A192" s="403"/>
      <c r="B192" s="414" t="s">
        <v>1045</v>
      </c>
      <c r="C192" s="416" t="str">
        <f>C6</f>
        <v>2014-2015</v>
      </c>
      <c r="D192" s="416" t="str">
        <f>D6</f>
        <v>2015-2016</v>
      </c>
      <c r="E192" s="416" t="str">
        <f>E6</f>
        <v>2016-2017</v>
      </c>
      <c r="F192" s="409"/>
      <c r="G192" s="409"/>
      <c r="H192" s="409"/>
      <c r="I192" s="409"/>
    </row>
    <row r="193" spans="1:9" s="488" customFormat="1" ht="12.6" customHeight="1">
      <c r="A193" s="420" t="s">
        <v>1373</v>
      </c>
      <c r="B193" s="422">
        <v>7</v>
      </c>
      <c r="C193" s="424" t="s">
        <v>1139</v>
      </c>
      <c r="D193" s="424" t="s">
        <v>1139</v>
      </c>
      <c r="E193" s="424" t="s">
        <v>1215</v>
      </c>
      <c r="F193" s="409"/>
      <c r="G193" s="409"/>
      <c r="H193" s="409"/>
      <c r="I193" s="409"/>
    </row>
    <row r="194" spans="1:9" s="488" customFormat="1" ht="12.6" customHeight="1">
      <c r="A194" s="427" t="s">
        <v>1368</v>
      </c>
      <c r="B194" s="429" t="s">
        <v>1051</v>
      </c>
      <c r="C194" s="431">
        <v>1</v>
      </c>
      <c r="D194" s="431">
        <v>2</v>
      </c>
      <c r="E194" s="431">
        <v>3</v>
      </c>
      <c r="F194" s="409"/>
      <c r="G194" s="409"/>
      <c r="H194" s="409"/>
      <c r="I194" s="409"/>
    </row>
    <row r="195" spans="1:9" s="488" customFormat="1" ht="12.6" customHeight="1">
      <c r="A195" s="484" t="s">
        <v>1385</v>
      </c>
      <c r="B195" s="489"/>
      <c r="C195" s="491"/>
      <c r="D195" s="2441"/>
      <c r="E195" s="491"/>
      <c r="F195" s="409"/>
      <c r="G195" s="409"/>
      <c r="H195" s="409"/>
      <c r="I195" s="409"/>
    </row>
    <row r="196" spans="1:9" s="488" customFormat="1" ht="12.6" customHeight="1">
      <c r="A196" s="485" t="s">
        <v>794</v>
      </c>
      <c r="B196" s="492"/>
      <c r="C196" s="493"/>
      <c r="D196" s="501"/>
      <c r="E196" s="493"/>
      <c r="F196" s="409"/>
      <c r="G196" s="409"/>
      <c r="H196" s="409"/>
      <c r="I196" s="409"/>
    </row>
    <row r="197" spans="1:9" s="488" customFormat="1" ht="12.6" customHeight="1">
      <c r="A197" s="485" t="s">
        <v>1309</v>
      </c>
      <c r="B197" s="492"/>
      <c r="C197" s="493"/>
      <c r="D197" s="501"/>
      <c r="E197" s="493"/>
      <c r="F197" s="409"/>
      <c r="G197" s="409"/>
      <c r="H197" s="409"/>
      <c r="I197" s="409"/>
    </row>
    <row r="198" spans="1:9" s="488" customFormat="1" ht="12.6" customHeight="1">
      <c r="A198" s="486" t="s">
        <v>1386</v>
      </c>
      <c r="B198" s="492">
        <v>625</v>
      </c>
      <c r="C198" s="495"/>
      <c r="D198" s="497"/>
      <c r="E198" s="495"/>
      <c r="F198" s="409"/>
      <c r="G198" s="409"/>
      <c r="H198" s="409"/>
      <c r="I198" s="409"/>
    </row>
    <row r="199" spans="1:9" s="488" customFormat="1" ht="12.6" customHeight="1">
      <c r="A199" s="485" t="s">
        <v>1310</v>
      </c>
      <c r="B199" s="489"/>
      <c r="C199" s="491"/>
      <c r="D199" s="2441"/>
      <c r="E199" s="491"/>
      <c r="F199" s="409"/>
      <c r="G199" s="409"/>
      <c r="H199" s="409"/>
      <c r="I199" s="409"/>
    </row>
    <row r="200" spans="1:9" s="488" customFormat="1" ht="12.6" customHeight="1">
      <c r="A200" s="486" t="s">
        <v>1387</v>
      </c>
      <c r="B200" s="499">
        <v>630</v>
      </c>
      <c r="C200" s="473"/>
      <c r="D200" s="479"/>
      <c r="E200" s="473"/>
      <c r="F200" s="409"/>
      <c r="G200" s="409"/>
      <c r="H200" s="409"/>
      <c r="I200" s="409"/>
    </row>
    <row r="201" spans="1:9" s="488" customFormat="1" ht="12.6" customHeight="1">
      <c r="A201" s="485" t="s">
        <v>1314</v>
      </c>
      <c r="B201" s="496">
        <v>635</v>
      </c>
      <c r="C201" s="495"/>
      <c r="D201" s="497"/>
      <c r="E201" s="495"/>
      <c r="F201" s="409"/>
      <c r="G201" s="409"/>
      <c r="H201" s="409"/>
      <c r="I201" s="409"/>
    </row>
    <row r="202" spans="1:9" s="488" customFormat="1" ht="12.6" customHeight="1">
      <c r="A202" s="484" t="s">
        <v>1315</v>
      </c>
      <c r="B202" s="498">
        <v>640</v>
      </c>
      <c r="C202" s="2435"/>
      <c r="D202" s="481"/>
      <c r="E202" s="2435"/>
      <c r="F202" s="409"/>
      <c r="G202" s="409"/>
      <c r="H202" s="409"/>
      <c r="I202" s="409"/>
    </row>
    <row r="203" spans="1:9" s="488" customFormat="1" ht="12.6" customHeight="1">
      <c r="A203" s="484" t="s">
        <v>1388</v>
      </c>
      <c r="B203" s="498">
        <v>645</v>
      </c>
      <c r="C203" s="2435"/>
      <c r="D203" s="481"/>
      <c r="E203" s="2435"/>
      <c r="F203" s="409"/>
      <c r="G203" s="409"/>
      <c r="H203" s="409"/>
      <c r="I203" s="409"/>
    </row>
    <row r="204" spans="1:9" s="488" customFormat="1" ht="12.6" customHeight="1">
      <c r="A204" s="484" t="s">
        <v>1327</v>
      </c>
      <c r="B204" s="489"/>
      <c r="C204" s="491"/>
      <c r="D204" s="2441"/>
      <c r="E204" s="491"/>
      <c r="F204" s="409"/>
      <c r="G204" s="409"/>
      <c r="H204" s="409"/>
      <c r="I204" s="409"/>
    </row>
    <row r="205" spans="1:9" s="488" customFormat="1" ht="12.6" customHeight="1">
      <c r="A205" s="486" t="s">
        <v>1389</v>
      </c>
      <c r="B205" s="499">
        <v>650</v>
      </c>
      <c r="C205" s="473"/>
      <c r="D205" s="479"/>
      <c r="E205" s="473"/>
      <c r="F205" s="409"/>
      <c r="G205" s="409"/>
      <c r="H205" s="409"/>
      <c r="I205" s="409"/>
    </row>
    <row r="206" spans="1:9" s="488" customFormat="1" ht="12.6" customHeight="1">
      <c r="A206" s="485" t="s">
        <v>1390</v>
      </c>
      <c r="B206" s="496">
        <v>655</v>
      </c>
      <c r="C206" s="495"/>
      <c r="D206" s="497"/>
      <c r="E206" s="495"/>
      <c r="F206" s="409"/>
      <c r="G206" s="409"/>
      <c r="H206" s="409"/>
      <c r="I206" s="409"/>
    </row>
    <row r="207" spans="1:9" s="488" customFormat="1" ht="12.6" customHeight="1">
      <c r="A207" s="484" t="s">
        <v>1335</v>
      </c>
      <c r="B207" s="498">
        <v>660</v>
      </c>
      <c r="C207" s="2435"/>
      <c r="D207" s="481"/>
      <c r="E207" s="2435"/>
      <c r="F207" s="409"/>
      <c r="G207" s="409"/>
      <c r="H207" s="409"/>
      <c r="I207" s="409"/>
    </row>
    <row r="208" spans="1:9" s="488" customFormat="1" ht="12.6" customHeight="1">
      <c r="A208" s="484" t="s">
        <v>1391</v>
      </c>
      <c r="B208" s="498">
        <v>665</v>
      </c>
      <c r="C208" s="2435"/>
      <c r="D208" s="481"/>
      <c r="E208" s="2435"/>
      <c r="F208" s="409"/>
      <c r="G208" s="409"/>
      <c r="H208" s="409"/>
      <c r="I208" s="409"/>
    </row>
    <row r="209" spans="1:9" s="488" customFormat="1" ht="12.6" customHeight="1">
      <c r="A209" s="484" t="s">
        <v>1392</v>
      </c>
      <c r="B209" s="498">
        <v>670</v>
      </c>
      <c r="C209" s="2435"/>
      <c r="D209" s="481"/>
      <c r="E209" s="2435"/>
      <c r="F209" s="409"/>
      <c r="G209" s="409"/>
      <c r="H209" s="409"/>
      <c r="I209" s="409"/>
    </row>
    <row r="210" spans="1:9" s="488" customFormat="1" ht="12.6" customHeight="1">
      <c r="A210" s="487" t="s">
        <v>1346</v>
      </c>
      <c r="B210" s="500">
        <v>675</v>
      </c>
      <c r="C210" s="2435"/>
      <c r="D210" s="480"/>
      <c r="E210" s="477"/>
      <c r="F210" s="409"/>
      <c r="G210" s="409"/>
      <c r="H210" s="409"/>
      <c r="I210" s="409"/>
    </row>
    <row r="211" spans="1:9" s="418" customFormat="1" ht="12.6" customHeight="1">
      <c r="A211" s="3858" t="s">
        <v>1751</v>
      </c>
      <c r="B211" s="413"/>
      <c r="C211" s="467"/>
      <c r="D211" s="478"/>
      <c r="E211" s="467"/>
      <c r="F211" s="403"/>
      <c r="G211" s="403"/>
      <c r="H211" s="403"/>
      <c r="I211" s="403"/>
    </row>
    <row r="212" spans="1:9" ht="12.6" customHeight="1">
      <c r="A212" s="485" t="s">
        <v>1309</v>
      </c>
      <c r="B212" s="421"/>
      <c r="C212" s="470"/>
      <c r="D212" s="483"/>
      <c r="E212" s="470"/>
      <c r="F212" s="408"/>
      <c r="G212" s="408"/>
      <c r="H212" s="408"/>
      <c r="I212" s="408"/>
    </row>
    <row r="213" spans="1:9" ht="12.6" customHeight="1">
      <c r="A213" s="486" t="s">
        <v>1347</v>
      </c>
      <c r="B213" s="504">
        <v>805</v>
      </c>
      <c r="C213" s="4021"/>
      <c r="D213" s="479"/>
      <c r="E213" s="473"/>
      <c r="F213" s="408"/>
      <c r="G213" s="408"/>
      <c r="H213" s="408"/>
      <c r="I213" s="408"/>
    </row>
    <row r="214" spans="1:9" ht="12.6" customHeight="1">
      <c r="A214" s="487" t="s">
        <v>1270</v>
      </c>
      <c r="B214" s="500">
        <v>810</v>
      </c>
      <c r="C214" s="4021"/>
      <c r="D214" s="480"/>
      <c r="E214" s="477"/>
      <c r="F214" s="408"/>
      <c r="G214" s="408"/>
      <c r="H214" s="408"/>
      <c r="I214" s="408"/>
    </row>
    <row r="215" spans="1:9" ht="12.6" customHeight="1">
      <c r="A215" s="484" t="s">
        <v>1310</v>
      </c>
      <c r="B215" s="498"/>
      <c r="C215" s="493"/>
      <c r="D215" s="478"/>
      <c r="E215" s="467"/>
      <c r="F215" s="408"/>
      <c r="G215" s="408"/>
      <c r="H215" s="408"/>
      <c r="I215" s="408"/>
    </row>
    <row r="216" spans="1:9" ht="12.6" customHeight="1">
      <c r="A216" s="486" t="s">
        <v>1348</v>
      </c>
      <c r="B216" s="504">
        <v>815</v>
      </c>
      <c r="C216" s="4021"/>
      <c r="D216" s="479"/>
      <c r="E216" s="473"/>
      <c r="F216" s="408"/>
      <c r="G216" s="408"/>
      <c r="H216" s="408"/>
      <c r="I216" s="408"/>
    </row>
    <row r="217" spans="1:9" ht="12.6" customHeight="1">
      <c r="A217" s="487" t="s">
        <v>1314</v>
      </c>
      <c r="B217" s="500">
        <v>820</v>
      </c>
      <c r="C217" s="4021"/>
      <c r="D217" s="480"/>
      <c r="E217" s="477"/>
      <c r="F217" s="408"/>
      <c r="G217" s="408"/>
      <c r="H217" s="408"/>
      <c r="I217" s="408"/>
    </row>
    <row r="218" spans="1:9" ht="12.6" customHeight="1">
      <c r="A218" s="487" t="s">
        <v>1315</v>
      </c>
      <c r="B218" s="500">
        <v>825</v>
      </c>
      <c r="C218" s="4021"/>
      <c r="D218" s="480"/>
      <c r="E218" s="477"/>
      <c r="F218" s="408"/>
      <c r="G218" s="408"/>
      <c r="H218" s="408"/>
      <c r="I218" s="408"/>
    </row>
    <row r="219" spans="1:9" ht="12.6" customHeight="1">
      <c r="A219" s="465" t="s">
        <v>1281</v>
      </c>
      <c r="B219" s="498">
        <v>830</v>
      </c>
      <c r="C219" s="4021"/>
      <c r="D219" s="481"/>
      <c r="E219" s="2435"/>
      <c r="F219" s="408"/>
      <c r="G219" s="408"/>
      <c r="H219" s="408"/>
      <c r="I219" s="408"/>
    </row>
    <row r="220" spans="1:9" ht="12.6" customHeight="1">
      <c r="A220" s="487" t="s">
        <v>1318</v>
      </c>
      <c r="B220" s="500">
        <v>835</v>
      </c>
      <c r="C220" s="4021"/>
      <c r="D220" s="480"/>
      <c r="E220" s="477"/>
      <c r="F220" s="408"/>
      <c r="G220" s="408"/>
      <c r="H220" s="408"/>
      <c r="I220" s="408"/>
    </row>
    <row r="221" spans="1:9" ht="12.6" customHeight="1">
      <c r="A221" s="487" t="s">
        <v>1327</v>
      </c>
      <c r="B221" s="500">
        <v>840</v>
      </c>
      <c r="C221" s="4021"/>
      <c r="D221" s="480"/>
      <c r="E221" s="477"/>
      <c r="F221" s="408"/>
      <c r="G221" s="408"/>
      <c r="H221" s="408"/>
      <c r="I221" s="408"/>
    </row>
    <row r="222" spans="1:9" ht="12.6" customHeight="1">
      <c r="A222" s="487" t="s">
        <v>1337</v>
      </c>
      <c r="B222" s="500">
        <v>845</v>
      </c>
      <c r="C222" s="4021"/>
      <c r="D222" s="480"/>
      <c r="E222" s="477"/>
      <c r="F222" s="408"/>
      <c r="G222" s="408"/>
      <c r="H222" s="408"/>
      <c r="I222" s="408"/>
    </row>
    <row r="223" spans="1:9" ht="12.6" customHeight="1">
      <c r="A223" s="487" t="s">
        <v>1345</v>
      </c>
      <c r="B223" s="500">
        <v>850</v>
      </c>
      <c r="C223" s="4021"/>
      <c r="D223" s="480"/>
      <c r="E223" s="477"/>
      <c r="F223" s="408"/>
      <c r="G223" s="408"/>
      <c r="H223" s="408"/>
      <c r="I223" s="408"/>
    </row>
    <row r="224" spans="1:9" ht="12.6" customHeight="1">
      <c r="A224" s="484" t="s">
        <v>1346</v>
      </c>
      <c r="B224" s="498">
        <v>855</v>
      </c>
      <c r="C224" s="4021"/>
      <c r="D224" s="481"/>
      <c r="E224" s="2435"/>
      <c r="F224" s="408"/>
      <c r="G224" s="408"/>
      <c r="H224" s="408"/>
      <c r="I224" s="408"/>
    </row>
    <row r="225" spans="1:9" ht="12.6" customHeight="1">
      <c r="A225" s="484" t="s">
        <v>1393</v>
      </c>
      <c r="B225" s="489"/>
      <c r="C225" s="493"/>
      <c r="D225" s="2441"/>
      <c r="E225" s="491"/>
      <c r="F225" s="408"/>
      <c r="G225" s="408"/>
      <c r="H225" s="408"/>
      <c r="I225" s="408"/>
    </row>
    <row r="226" spans="1:9" ht="12.6" customHeight="1">
      <c r="A226" s="485" t="s">
        <v>1394</v>
      </c>
      <c r="B226" s="492"/>
      <c r="C226" s="493"/>
      <c r="D226" s="501"/>
      <c r="E226" s="493"/>
      <c r="F226" s="408"/>
      <c r="G226" s="408"/>
      <c r="H226" s="408"/>
      <c r="I226" s="408"/>
    </row>
    <row r="227" spans="1:9" ht="12.6" customHeight="1">
      <c r="A227" s="485" t="s">
        <v>1309</v>
      </c>
      <c r="B227" s="492"/>
      <c r="C227" s="493"/>
      <c r="D227" s="501"/>
      <c r="E227" s="493"/>
      <c r="F227" s="408"/>
      <c r="G227" s="408"/>
      <c r="H227" s="408"/>
      <c r="I227" s="408"/>
    </row>
    <row r="228" spans="1:9" ht="12.6" customHeight="1">
      <c r="A228" s="486" t="s">
        <v>1347</v>
      </c>
      <c r="B228" s="499">
        <v>735</v>
      </c>
      <c r="C228" s="473"/>
      <c r="D228" s="479"/>
      <c r="E228" s="473"/>
      <c r="F228" s="408"/>
      <c r="G228" s="408"/>
      <c r="H228" s="408"/>
      <c r="I228" s="408"/>
    </row>
    <row r="229" spans="1:9" ht="12.6" customHeight="1">
      <c r="A229" s="485" t="s">
        <v>1270</v>
      </c>
      <c r="B229" s="496">
        <v>740</v>
      </c>
      <c r="C229" s="495"/>
      <c r="D229" s="497"/>
      <c r="E229" s="495"/>
      <c r="F229" s="408"/>
      <c r="G229" s="408"/>
      <c r="H229" s="408"/>
      <c r="I229" s="408"/>
    </row>
    <row r="230" spans="1:9" ht="12.6" customHeight="1">
      <c r="A230" s="484" t="s">
        <v>1310</v>
      </c>
      <c r="B230" s="489"/>
      <c r="C230" s="491"/>
      <c r="D230" s="2441"/>
      <c r="E230" s="491"/>
      <c r="F230" s="408"/>
      <c r="G230" s="408"/>
      <c r="H230" s="408"/>
      <c r="I230" s="408"/>
    </row>
    <row r="231" spans="1:9" ht="12.6" customHeight="1">
      <c r="A231" s="486" t="s">
        <v>1348</v>
      </c>
      <c r="B231" s="499">
        <v>745</v>
      </c>
      <c r="C231" s="473"/>
      <c r="D231" s="479"/>
      <c r="E231" s="473"/>
      <c r="F231" s="408"/>
      <c r="G231" s="408"/>
      <c r="H231" s="408"/>
      <c r="I231" s="408"/>
    </row>
    <row r="232" spans="1:9" ht="12.6" customHeight="1">
      <c r="A232" s="486" t="s">
        <v>1314</v>
      </c>
      <c r="B232" s="504">
        <v>750</v>
      </c>
      <c r="C232" s="473"/>
      <c r="D232" s="479"/>
      <c r="E232" s="473"/>
      <c r="F232" s="408"/>
      <c r="G232" s="408"/>
      <c r="H232" s="408"/>
      <c r="I232" s="408"/>
    </row>
    <row r="233" spans="1:9" ht="12.6" customHeight="1">
      <c r="A233" s="484" t="s">
        <v>1315</v>
      </c>
      <c r="B233" s="498">
        <v>755</v>
      </c>
      <c r="C233" s="2435"/>
      <c r="D233" s="481"/>
      <c r="E233" s="2435"/>
      <c r="F233" s="408"/>
      <c r="G233" s="408"/>
      <c r="H233" s="408"/>
      <c r="I233" s="408"/>
    </row>
    <row r="234" spans="1:9" ht="12.6" customHeight="1">
      <c r="A234" s="484" t="s">
        <v>1327</v>
      </c>
      <c r="B234" s="489"/>
      <c r="C234" s="491"/>
      <c r="D234" s="2441"/>
      <c r="E234" s="491"/>
      <c r="F234" s="408"/>
      <c r="G234" s="408"/>
      <c r="H234" s="408"/>
      <c r="I234" s="408"/>
    </row>
    <row r="235" spans="1:9" ht="12.6" customHeight="1">
      <c r="A235" s="486" t="s">
        <v>1395</v>
      </c>
      <c r="B235" s="499">
        <v>760</v>
      </c>
      <c r="C235" s="473"/>
      <c r="D235" s="479"/>
      <c r="E235" s="473"/>
      <c r="F235" s="408"/>
      <c r="G235" s="408"/>
      <c r="H235" s="408"/>
      <c r="I235" s="408"/>
    </row>
    <row r="236" spans="1:9" ht="12.6" customHeight="1">
      <c r="A236" s="486" t="s">
        <v>1396</v>
      </c>
      <c r="B236" s="504">
        <v>765</v>
      </c>
      <c r="C236" s="473"/>
      <c r="D236" s="479"/>
      <c r="E236" s="473"/>
      <c r="F236" s="408"/>
      <c r="G236" s="408"/>
      <c r="H236" s="408"/>
      <c r="I236" s="408"/>
    </row>
    <row r="237" spans="1:9" ht="12.6" customHeight="1">
      <c r="A237" s="484" t="s">
        <v>1397</v>
      </c>
      <c r="B237" s="498">
        <v>770</v>
      </c>
      <c r="C237" s="2435"/>
      <c r="D237" s="481"/>
      <c r="E237" s="2435"/>
      <c r="F237" s="408"/>
      <c r="G237" s="408"/>
      <c r="H237" s="408"/>
      <c r="I237" s="408"/>
    </row>
    <row r="238" spans="1:9" ht="12.6" customHeight="1">
      <c r="A238" s="484" t="s">
        <v>1337</v>
      </c>
      <c r="B238" s="489"/>
      <c r="C238" s="491"/>
      <c r="D238" s="2441"/>
      <c r="E238" s="491"/>
      <c r="F238" s="408"/>
      <c r="G238" s="408"/>
      <c r="H238" s="408"/>
      <c r="I238" s="408"/>
    </row>
    <row r="239" spans="1:9" ht="12.6" customHeight="1">
      <c r="A239" s="486" t="s">
        <v>1398</v>
      </c>
      <c r="B239" s="499">
        <v>775</v>
      </c>
      <c r="C239" s="473"/>
      <c r="D239" s="479"/>
      <c r="E239" s="473"/>
      <c r="F239" s="408"/>
      <c r="G239" s="408"/>
      <c r="H239" s="408"/>
      <c r="I239" s="408"/>
    </row>
    <row r="240" spans="1:9" ht="12.6" customHeight="1">
      <c r="A240" s="486" t="s">
        <v>1399</v>
      </c>
      <c r="B240" s="504">
        <v>780</v>
      </c>
      <c r="C240" s="473"/>
      <c r="D240" s="479"/>
      <c r="E240" s="473"/>
      <c r="F240" s="408"/>
      <c r="G240" s="408"/>
      <c r="H240" s="408"/>
      <c r="I240" s="408"/>
    </row>
    <row r="241" spans="1:9" ht="12.6" customHeight="1">
      <c r="A241" s="487" t="s">
        <v>1345</v>
      </c>
      <c r="B241" s="500">
        <v>785</v>
      </c>
      <c r="C241" s="477"/>
      <c r="D241" s="480"/>
      <c r="E241" s="477"/>
      <c r="F241" s="408"/>
      <c r="G241" s="408"/>
      <c r="H241" s="408"/>
      <c r="I241" s="408"/>
    </row>
    <row r="242" spans="1:9" ht="12.6" customHeight="1">
      <c r="A242" s="487" t="s">
        <v>1346</v>
      </c>
      <c r="B242" s="500">
        <v>790</v>
      </c>
      <c r="C242" s="477"/>
      <c r="D242" s="480"/>
      <c r="E242" s="477"/>
      <c r="F242" s="408"/>
      <c r="G242" s="408"/>
      <c r="H242" s="408"/>
      <c r="I242" s="408"/>
    </row>
    <row r="243" spans="1:9" ht="12.6" customHeight="1">
      <c r="A243" s="487" t="s">
        <v>1349</v>
      </c>
      <c r="B243" s="475">
        <v>795</v>
      </c>
      <c r="C243" s="477"/>
      <c r="D243" s="480"/>
      <c r="E243" s="477"/>
      <c r="F243" s="408"/>
      <c r="G243" s="408"/>
      <c r="H243" s="408"/>
      <c r="I243" s="408"/>
    </row>
    <row r="244" spans="1:9" ht="12.6" customHeight="1">
      <c r="A244" s="484" t="s">
        <v>1350</v>
      </c>
      <c r="B244" s="475">
        <v>800</v>
      </c>
      <c r="C244" s="2435"/>
      <c r="D244" s="481"/>
      <c r="E244" s="2435"/>
      <c r="F244" s="408"/>
      <c r="G244" s="408"/>
      <c r="H244" s="408"/>
      <c r="I244" s="408"/>
    </row>
    <row r="245" spans="1:9" ht="12.6" customHeight="1">
      <c r="A245" s="487" t="s">
        <v>1416</v>
      </c>
      <c r="B245" s="505" t="s">
        <v>1364</v>
      </c>
      <c r="C245" s="2436">
        <f>SUM(C33:C60,C69:C123,C132:C185,C195:C244)</f>
        <v>83700</v>
      </c>
      <c r="D245" s="2436">
        <f t="shared" ref="D245:E245" si="0">SUM(D33:D60,D69:D123,D132:D185,D195:D244)</f>
        <v>82904</v>
      </c>
      <c r="E245" s="2436">
        <f t="shared" si="0"/>
        <v>98000</v>
      </c>
      <c r="F245" s="408"/>
      <c r="G245" s="408"/>
      <c r="H245" s="408"/>
      <c r="I245" s="408"/>
    </row>
    <row r="246" spans="1:9" ht="12.6" customHeight="1">
      <c r="A246" s="403"/>
      <c r="B246" s="404"/>
      <c r="C246" s="403"/>
      <c r="D246" s="403"/>
      <c r="E246" s="403"/>
      <c r="F246" s="408"/>
      <c r="G246" s="408"/>
      <c r="H246" s="408"/>
      <c r="I246" s="408"/>
    </row>
    <row r="247" spans="1:9" ht="12.6" customHeight="1">
      <c r="A247" s="403"/>
      <c r="B247" s="404"/>
      <c r="C247" s="403"/>
      <c r="D247" s="403"/>
      <c r="E247" s="403"/>
      <c r="F247" s="408"/>
      <c r="G247" s="408"/>
      <c r="H247" s="408"/>
      <c r="I247" s="408"/>
    </row>
    <row r="248" spans="1:9" ht="12.6" customHeight="1">
      <c r="A248" s="403"/>
      <c r="B248" s="404"/>
      <c r="C248" s="403"/>
      <c r="D248" s="403"/>
      <c r="E248" s="403"/>
      <c r="F248" s="408"/>
      <c r="G248" s="408"/>
      <c r="H248" s="408"/>
      <c r="I248" s="408"/>
    </row>
    <row r="249" spans="1:9" ht="12.6" customHeight="1">
      <c r="A249" s="403"/>
      <c r="B249" s="404"/>
      <c r="C249" s="403"/>
      <c r="D249" s="403"/>
      <c r="E249" s="403"/>
      <c r="F249" s="408"/>
      <c r="G249" s="408"/>
      <c r="H249" s="408"/>
      <c r="I249" s="408"/>
    </row>
    <row r="250" spans="1:9" ht="12.6" customHeight="1">
      <c r="A250" s="403"/>
      <c r="B250" s="404"/>
      <c r="C250" s="403"/>
      <c r="D250" s="403"/>
      <c r="E250" s="408"/>
      <c r="F250" s="408"/>
      <c r="G250" s="408"/>
      <c r="H250" s="408"/>
      <c r="I250" s="408"/>
    </row>
    <row r="251" spans="1:9" ht="12.6" customHeight="1">
      <c r="A251" s="403"/>
      <c r="B251" s="404"/>
      <c r="C251" s="403"/>
      <c r="D251" s="403"/>
      <c r="E251" s="408"/>
      <c r="F251" s="408"/>
      <c r="G251" s="408"/>
      <c r="H251" s="408"/>
      <c r="I251" s="408"/>
    </row>
    <row r="252" spans="1:9" ht="12.6" customHeight="1">
      <c r="A252" s="403"/>
      <c r="B252" s="404"/>
      <c r="C252" s="403"/>
      <c r="D252" s="403"/>
      <c r="E252" s="408"/>
      <c r="F252" s="408"/>
      <c r="G252" s="408"/>
      <c r="H252" s="408"/>
      <c r="I252" s="408"/>
    </row>
    <row r="253" spans="1:9" ht="12.6" customHeight="1">
      <c r="A253" s="403"/>
      <c r="B253" s="404"/>
      <c r="C253" s="403"/>
      <c r="D253" s="403"/>
      <c r="E253" s="408"/>
      <c r="F253" s="408"/>
      <c r="G253" s="408"/>
      <c r="H253" s="408"/>
      <c r="I253" s="408"/>
    </row>
    <row r="254" spans="1:9" ht="12.6" customHeight="1">
      <c r="A254" s="403"/>
      <c r="B254" s="404"/>
      <c r="C254" s="403"/>
      <c r="D254" s="403"/>
      <c r="E254" s="408"/>
      <c r="F254" s="408"/>
      <c r="G254" s="408"/>
      <c r="H254" s="408"/>
      <c r="I254" s="408"/>
    </row>
    <row r="255" spans="1:9" ht="12.6" customHeight="1">
      <c r="A255" s="403"/>
      <c r="B255" s="404"/>
      <c r="C255" s="403"/>
      <c r="D255" s="403"/>
      <c r="E255" s="408"/>
      <c r="F255" s="408"/>
      <c r="G255" s="408"/>
      <c r="H255" s="408"/>
      <c r="I255" s="408"/>
    </row>
    <row r="256" spans="1:9" ht="12.6" customHeight="1">
      <c r="A256" s="403"/>
      <c r="B256" s="404"/>
      <c r="C256" s="403"/>
      <c r="D256" s="403"/>
      <c r="E256" s="408"/>
      <c r="F256" s="408"/>
      <c r="G256" s="408"/>
      <c r="H256" s="408"/>
      <c r="I256" s="408"/>
    </row>
    <row r="257" spans="1:9" ht="12.6" customHeight="1">
      <c r="A257" s="403"/>
      <c r="B257" s="404"/>
      <c r="C257" s="403"/>
      <c r="D257" s="403"/>
      <c r="E257" s="408"/>
      <c r="F257" s="408"/>
      <c r="G257" s="408"/>
      <c r="H257" s="408"/>
      <c r="I257" s="408"/>
    </row>
    <row r="258" spans="1:9" ht="12.6" customHeight="1">
      <c r="A258" s="411"/>
      <c r="B258" s="506"/>
      <c r="C258" s="506"/>
      <c r="D258" s="506"/>
      <c r="E258" s="408"/>
      <c r="F258" s="408"/>
      <c r="H258" s="408"/>
      <c r="I258" s="408"/>
    </row>
    <row r="259" spans="1:9" ht="12.6" customHeight="1">
      <c r="A259" s="403"/>
      <c r="B259" s="507"/>
      <c r="C259" s="403"/>
      <c r="D259" s="403"/>
      <c r="E259" s="408"/>
      <c r="F259" s="408"/>
      <c r="G259" s="408"/>
      <c r="H259" s="408"/>
      <c r="I259" s="408"/>
    </row>
    <row r="260" spans="1:9" ht="12.6" customHeight="1">
      <c r="A260" s="464"/>
      <c r="B260" s="463"/>
      <c r="C260" s="464"/>
      <c r="D260" s="464"/>
      <c r="E260" s="508"/>
      <c r="F260" s="408"/>
      <c r="G260" s="408"/>
      <c r="H260" s="408"/>
      <c r="I260" s="408"/>
    </row>
    <row r="261" spans="1:9" ht="12.6" customHeight="1">
      <c r="A261" s="403"/>
      <c r="B261" s="463"/>
      <c r="C261" s="508"/>
      <c r="D261" s="508"/>
      <c r="E261" s="508"/>
      <c r="F261" s="408"/>
      <c r="G261" s="408"/>
      <c r="H261" s="408"/>
      <c r="I261" s="408"/>
    </row>
    <row r="262" spans="1:9" s="418" customFormat="1" ht="12.6" customHeight="1">
      <c r="B262" s="509"/>
      <c r="C262" s="406"/>
      <c r="D262" s="406"/>
      <c r="E262" s="406"/>
      <c r="F262" s="403"/>
      <c r="G262" s="403"/>
      <c r="H262" s="403"/>
      <c r="I262" s="403"/>
    </row>
    <row r="263" spans="1:9" s="418" customFormat="1" ht="12" customHeight="1">
      <c r="B263" s="509"/>
      <c r="C263" s="406"/>
      <c r="D263" s="406"/>
      <c r="E263" s="406"/>
      <c r="F263" s="403"/>
      <c r="G263" s="403"/>
      <c r="H263" s="403"/>
      <c r="I263" s="403"/>
    </row>
    <row r="264" spans="1:9" s="418" customFormat="1" ht="12" customHeight="1">
      <c r="B264" s="509"/>
      <c r="C264" s="406"/>
      <c r="D264" s="406"/>
      <c r="E264" s="406"/>
      <c r="F264" s="403"/>
      <c r="G264" s="403"/>
      <c r="H264" s="403"/>
      <c r="I264" s="403"/>
    </row>
    <row r="265" spans="1:9" s="418" customFormat="1" ht="12" customHeight="1">
      <c r="B265" s="509"/>
      <c r="C265" s="406"/>
      <c r="D265" s="406"/>
      <c r="E265" s="406"/>
      <c r="F265" s="403"/>
      <c r="G265" s="403"/>
      <c r="H265" s="403"/>
      <c r="I265" s="403"/>
    </row>
    <row r="266" spans="1:9" s="418" customFormat="1" ht="12" customHeight="1">
      <c r="B266" s="509"/>
      <c r="C266" s="406"/>
      <c r="D266" s="406"/>
      <c r="E266" s="406"/>
      <c r="F266" s="403"/>
      <c r="G266" s="403"/>
      <c r="H266" s="403"/>
      <c r="I266" s="403"/>
    </row>
    <row r="267" spans="1:9" ht="12" customHeight="1">
      <c r="F267" s="408"/>
      <c r="G267" s="408"/>
      <c r="H267" s="408"/>
      <c r="I267" s="408"/>
    </row>
    <row r="268" spans="1:9" ht="12" customHeight="1">
      <c r="F268" s="408"/>
      <c r="G268" s="408"/>
      <c r="H268" s="408"/>
      <c r="I268" s="408"/>
    </row>
    <row r="269" spans="1:9" ht="12" customHeight="1">
      <c r="F269" s="408"/>
      <c r="G269" s="408"/>
      <c r="H269" s="408"/>
      <c r="I269" s="408"/>
    </row>
    <row r="270" spans="1:9" ht="12" customHeight="1">
      <c r="F270" s="408"/>
      <c r="G270" s="408"/>
      <c r="H270" s="408"/>
      <c r="I270" s="408"/>
    </row>
    <row r="271" spans="1:9" ht="12" customHeight="1">
      <c r="F271" s="408"/>
      <c r="G271" s="408"/>
      <c r="H271" s="408"/>
      <c r="I271" s="408"/>
    </row>
    <row r="272" spans="1:9" ht="12" customHeight="1">
      <c r="F272" s="408"/>
      <c r="G272" s="408"/>
      <c r="H272" s="408"/>
      <c r="I272" s="408"/>
    </row>
    <row r="273" spans="6:9" ht="12" customHeight="1">
      <c r="F273" s="408"/>
      <c r="G273" s="408"/>
      <c r="H273" s="408"/>
      <c r="I273" s="408"/>
    </row>
    <row r="274" spans="6:9" ht="12" customHeight="1">
      <c r="F274" s="408"/>
      <c r="G274" s="408"/>
      <c r="H274" s="408"/>
      <c r="I274" s="408"/>
    </row>
    <row r="275" spans="6:9" ht="12.6" customHeight="1">
      <c r="F275" s="408"/>
      <c r="G275" s="408"/>
      <c r="H275" s="408"/>
      <c r="I275" s="408"/>
    </row>
    <row r="276" spans="6:9" ht="12.6" customHeight="1">
      <c r="F276" s="408"/>
      <c r="G276" s="408"/>
      <c r="H276" s="408"/>
      <c r="I276" s="408"/>
    </row>
    <row r="277" spans="6:9" ht="12.95" customHeight="1">
      <c r="F277" s="408"/>
      <c r="G277" s="408"/>
      <c r="H277" s="408"/>
      <c r="I277" s="408"/>
    </row>
    <row r="278" spans="6:9" ht="12.6" customHeight="1">
      <c r="F278" s="408"/>
      <c r="G278" s="408"/>
      <c r="H278" s="408"/>
      <c r="I278" s="408"/>
    </row>
  </sheetData>
  <sheetProtection algorithmName="SHA-512" hashValue="Tev1v+PPsx/7njYv53q+LDvPKKjEqHLPGbMSYFVD8WvVfP7WaiXHeyeN6AxisHDu96yRkMX7pYBD9PdrSMYu3Q==" saltValue="B2q2jmqVJThL93980Ea1wA==" spinCount="100000" sheet="1" objects="1" scenarios="1"/>
  <mergeCells count="2">
    <mergeCell ref="A22:E22"/>
    <mergeCell ref="A23:E23"/>
  </mergeCells>
  <phoneticPr fontId="0" type="noConversion"/>
  <dataValidations count="3">
    <dataValidation type="whole" operator="greaterThanOrEqual" showInputMessage="1" showErrorMessage="1" errorTitle="Invalid Data Entry" error="Please enter a positive number or press the delete key or enter zero." sqref="C38:E42 C45:E48 C50:E55 C84:E86 C110:E110 C112:E116 C59:E60 C134:E135 C88:E90 C165:E172 C103:E108 C177:E177 C132:E132 C174:E175 C70:C71 D70:E74 C73:C74 C72:E72 C75:E78 C216:E244 C213:E214 C138:E142 C159:E163 C119:E120 C99:E101 C92:E97 C81:E82 C35:E36 C10:E10 C13:E18 C122:E123 C179:E186 C195:E210">
      <formula1>0</formula1>
    </dataValidation>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a zero." sqref="C145:E146 C148:E156">
      <formula1>0</formula1>
    </dataValidation>
  </dataValidations>
  <hyperlinks>
    <hyperlink ref="G1" location="Contents!F1" display="Return to Contents page"/>
  </hyperlinks>
  <printOptions horizontalCentered="1"/>
  <pageMargins left="0.5" right="0.5" top="0.5" bottom="0.5" header="0.5" footer="0.5"/>
  <pageSetup scale="88" orientation="portrait" blackAndWhite="1" r:id="rId1"/>
  <headerFooter alignWithMargins="0">
    <oddFooter>&amp;L&amp;D    &amp;T&amp;CCode No. 07&amp;RPage &amp;P</oddFooter>
  </headerFooter>
  <rowBreaks count="3" manualBreakCount="3">
    <brk id="60" max="4" man="1"/>
    <brk id="123" max="4" man="1"/>
    <brk id="186" max="4"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4" tint="0.39997558519241921"/>
  </sheetPr>
  <dimension ref="A1:S627"/>
  <sheetViews>
    <sheetView topLeftCell="A17" zoomScaleNormal="100" workbookViewId="0">
      <selection activeCell="G34" sqref="G34"/>
    </sheetView>
  </sheetViews>
  <sheetFormatPr defaultColWidth="10.7109375" defaultRowHeight="12.6" customHeight="1"/>
  <cols>
    <col min="1" max="1" width="44.7109375" style="593" customWidth="1"/>
    <col min="2" max="2" width="4.85546875" style="594" customWidth="1"/>
    <col min="3" max="3" width="16.85546875" style="595" customWidth="1"/>
    <col min="4" max="4" width="17.140625" style="595" customWidth="1"/>
    <col min="5" max="5" width="17.28515625" style="595" customWidth="1"/>
    <col min="6" max="6" width="2.28515625" style="595" customWidth="1"/>
    <col min="7" max="7" width="21.28515625" style="514" customWidth="1"/>
    <col min="8" max="8" width="14.5703125" style="514" customWidth="1"/>
    <col min="9" max="9" width="19.7109375" style="514" customWidth="1"/>
    <col min="10" max="16384" width="10.7109375" style="514"/>
  </cols>
  <sheetData>
    <row r="1" spans="1:19" ht="12.6" customHeight="1">
      <c r="A1" s="510" t="s">
        <v>1019</v>
      </c>
      <c r="B1" s="511">
        <f>OPEN!$B$4</f>
        <v>270</v>
      </c>
      <c r="C1" s="512"/>
      <c r="D1" s="512"/>
      <c r="E1" s="510" t="s">
        <v>1020</v>
      </c>
      <c r="F1" s="513"/>
      <c r="G1" s="3013" t="s">
        <v>866</v>
      </c>
      <c r="H1" s="513"/>
      <c r="I1" s="513"/>
      <c r="J1" s="513"/>
      <c r="K1" s="513"/>
      <c r="L1" s="513"/>
      <c r="M1" s="513"/>
      <c r="N1" s="513"/>
      <c r="O1" s="513"/>
      <c r="P1" s="513"/>
      <c r="Q1" s="513"/>
      <c r="R1" s="513"/>
      <c r="S1" s="513"/>
    </row>
    <row r="2" spans="1:19" ht="12.6" customHeight="1">
      <c r="A2" s="512"/>
      <c r="B2" s="511"/>
      <c r="C2" s="512"/>
      <c r="D2" s="512"/>
      <c r="E2" s="510" t="s">
        <v>1212</v>
      </c>
      <c r="F2" s="513"/>
      <c r="G2" s="513"/>
      <c r="H2" s="513"/>
      <c r="I2" s="513"/>
      <c r="J2" s="513"/>
      <c r="K2" s="513"/>
      <c r="L2" s="513"/>
      <c r="M2" s="513"/>
      <c r="N2" s="513"/>
      <c r="O2" s="513"/>
      <c r="P2" s="513"/>
      <c r="Q2" s="513"/>
      <c r="R2" s="513"/>
      <c r="S2" s="513"/>
    </row>
    <row r="3" spans="1:19" ht="12.6" customHeight="1">
      <c r="A3" s="512"/>
      <c r="B3" s="511"/>
      <c r="C3" s="512"/>
      <c r="D3" s="512"/>
      <c r="E3" s="510" t="str">
        <f>OPEN!N2</f>
        <v>2016-2017</v>
      </c>
      <c r="F3" s="513"/>
      <c r="G3" s="513"/>
      <c r="H3" s="513"/>
      <c r="I3" s="513"/>
      <c r="J3" s="513"/>
      <c r="K3" s="513"/>
      <c r="L3" s="513"/>
      <c r="M3" s="513"/>
      <c r="N3" s="513"/>
      <c r="O3" s="513"/>
      <c r="P3" s="513"/>
      <c r="Q3" s="513"/>
      <c r="R3" s="513"/>
      <c r="S3" s="513"/>
    </row>
    <row r="4" spans="1:19" ht="5.0999999999999996" customHeight="1">
      <c r="A4" s="512"/>
      <c r="B4" s="511"/>
      <c r="C4" s="512"/>
      <c r="D4" s="512"/>
      <c r="E4" s="512"/>
      <c r="F4" s="513"/>
      <c r="G4" s="513"/>
      <c r="H4" s="513"/>
      <c r="I4" s="513"/>
      <c r="J4" s="513"/>
      <c r="K4" s="513"/>
      <c r="L4" s="513"/>
      <c r="M4" s="513"/>
      <c r="N4" s="513"/>
      <c r="O4" s="513"/>
      <c r="P4" s="513"/>
      <c r="Q4" s="513"/>
      <c r="R4" s="513"/>
      <c r="S4" s="513"/>
    </row>
    <row r="5" spans="1:19" ht="13.5" customHeight="1">
      <c r="A5" s="512"/>
      <c r="B5" s="511"/>
      <c r="C5" s="515" t="s">
        <v>1213</v>
      </c>
      <c r="D5" s="515" t="s">
        <v>1213</v>
      </c>
      <c r="E5" s="515" t="s">
        <v>1213</v>
      </c>
      <c r="F5" s="513"/>
      <c r="G5" s="513"/>
      <c r="H5" s="513"/>
      <c r="I5" s="513"/>
      <c r="J5" s="513"/>
      <c r="K5" s="513"/>
      <c r="L5" s="513"/>
      <c r="M5" s="513"/>
      <c r="N5" s="513"/>
      <c r="O5" s="513"/>
      <c r="P5" s="513"/>
      <c r="Q5" s="513"/>
      <c r="R5" s="513"/>
      <c r="S5" s="513"/>
    </row>
    <row r="6" spans="1:19" ht="12.6" customHeight="1">
      <c r="A6" s="516" t="s">
        <v>1400</v>
      </c>
      <c r="B6" s="517" t="s">
        <v>1045</v>
      </c>
      <c r="C6" s="518" t="str">
        <f>OPEN!N4</f>
        <v>2014-2015</v>
      </c>
      <c r="D6" s="518" t="str">
        <f>OPEN!O4</f>
        <v>2015-2016</v>
      </c>
      <c r="E6" s="518" t="str">
        <f>OPEN!P4</f>
        <v>2016-2017</v>
      </c>
      <c r="F6" s="513"/>
      <c r="G6" s="513"/>
      <c r="H6" s="513"/>
      <c r="I6" s="513"/>
      <c r="J6" s="513"/>
      <c r="K6" s="512"/>
      <c r="L6" s="512"/>
      <c r="M6" s="512"/>
      <c r="N6" s="519"/>
      <c r="O6" s="512"/>
      <c r="P6" s="512"/>
      <c r="Q6" s="512"/>
      <c r="R6" s="513"/>
      <c r="S6" s="513"/>
    </row>
    <row r="7" spans="1:19" ht="12.6" customHeight="1">
      <c r="A7" s="515" t="s">
        <v>1401</v>
      </c>
      <c r="B7" s="520">
        <v>8</v>
      </c>
      <c r="C7" s="521" t="s">
        <v>1139</v>
      </c>
      <c r="D7" s="521" t="s">
        <v>1139</v>
      </c>
      <c r="E7" s="521" t="s">
        <v>1215</v>
      </c>
      <c r="F7" s="513"/>
      <c r="G7" s="513"/>
      <c r="H7" s="513"/>
      <c r="I7" s="513"/>
      <c r="J7" s="513"/>
      <c r="K7" s="513"/>
      <c r="L7" s="513"/>
      <c r="M7" s="513"/>
      <c r="N7" s="512"/>
      <c r="O7" s="522"/>
      <c r="P7" s="522"/>
      <c r="Q7" s="522"/>
      <c r="R7" s="513"/>
      <c r="S7" s="513"/>
    </row>
    <row r="8" spans="1:19" ht="12.6" customHeight="1">
      <c r="A8" s="523"/>
      <c r="B8" s="524" t="s">
        <v>1051</v>
      </c>
      <c r="C8" s="525">
        <v>1</v>
      </c>
      <c r="D8" s="525">
        <v>2</v>
      </c>
      <c r="E8" s="525">
        <v>3</v>
      </c>
      <c r="F8" s="513"/>
      <c r="G8" s="513"/>
      <c r="H8" s="513"/>
      <c r="I8" s="513"/>
      <c r="J8" s="513"/>
      <c r="K8" s="513"/>
      <c r="L8" s="513"/>
      <c r="M8" s="513"/>
      <c r="N8" s="512"/>
      <c r="O8" s="522"/>
      <c r="P8" s="522"/>
      <c r="Q8" s="522"/>
      <c r="R8" s="513"/>
      <c r="S8" s="513"/>
    </row>
    <row r="9" spans="1:19" ht="12.6" customHeight="1">
      <c r="A9" s="526" t="s">
        <v>1402</v>
      </c>
      <c r="B9" s="527">
        <v>1</v>
      </c>
      <c r="C9" s="561">
        <v>80081</v>
      </c>
      <c r="D9" s="529">
        <f>C40</f>
        <v>223152</v>
      </c>
      <c r="E9" s="2442">
        <f>IF(G13="x",0,D40)</f>
        <v>275937</v>
      </c>
      <c r="F9" s="513"/>
      <c r="G9" s="513"/>
      <c r="H9" s="513"/>
      <c r="I9" s="513"/>
      <c r="J9" s="513"/>
      <c r="K9" s="513"/>
      <c r="L9" s="513"/>
      <c r="M9" s="513"/>
      <c r="N9" s="512"/>
      <c r="O9" s="522"/>
      <c r="P9" s="522"/>
      <c r="Q9" s="522"/>
      <c r="R9" s="513"/>
      <c r="S9" s="513"/>
    </row>
    <row r="10" spans="1:19" ht="12.6" customHeight="1">
      <c r="A10" s="526" t="s">
        <v>1403</v>
      </c>
      <c r="B10" s="530">
        <v>3</v>
      </c>
      <c r="C10" s="560"/>
      <c r="D10" s="531"/>
      <c r="E10" s="547"/>
      <c r="F10" s="513"/>
      <c r="G10" s="513"/>
      <c r="H10" s="513"/>
      <c r="I10" s="513"/>
      <c r="J10" s="513"/>
      <c r="K10" s="513"/>
      <c r="L10" s="513"/>
      <c r="M10" s="513"/>
      <c r="N10" s="512"/>
      <c r="O10" s="522"/>
      <c r="P10" s="522"/>
      <c r="Q10" s="522"/>
      <c r="R10" s="513"/>
      <c r="S10" s="513"/>
    </row>
    <row r="11" spans="1:19" ht="12.6" customHeight="1">
      <c r="A11" s="532" t="s">
        <v>1404</v>
      </c>
      <c r="B11" s="533"/>
      <c r="C11" s="547"/>
      <c r="D11" s="535"/>
      <c r="E11" s="550"/>
      <c r="F11" s="513"/>
      <c r="G11" s="513"/>
      <c r="H11" s="513"/>
      <c r="I11" s="513"/>
      <c r="J11" s="513"/>
      <c r="K11" s="513"/>
      <c r="L11" s="513"/>
      <c r="M11" s="513"/>
      <c r="N11" s="512"/>
      <c r="O11" s="522"/>
      <c r="P11" s="522"/>
      <c r="Q11" s="522"/>
      <c r="R11" s="513"/>
      <c r="S11" s="513"/>
    </row>
    <row r="12" spans="1:19" ht="12.6" customHeight="1">
      <c r="A12" s="536" t="s">
        <v>1405</v>
      </c>
      <c r="B12" s="533"/>
      <c r="C12" s="550"/>
      <c r="D12" s="535"/>
      <c r="E12" s="550"/>
      <c r="F12" s="513"/>
      <c r="G12" s="513"/>
      <c r="H12" s="513"/>
      <c r="I12" s="513"/>
      <c r="J12" s="513"/>
      <c r="K12" s="513"/>
      <c r="L12" s="513"/>
      <c r="M12" s="513"/>
      <c r="N12" s="512"/>
      <c r="O12" s="522"/>
      <c r="P12" s="522"/>
      <c r="Q12" s="522"/>
      <c r="R12" s="513"/>
      <c r="S12" s="513"/>
    </row>
    <row r="13" spans="1:19" ht="12.6" customHeight="1">
      <c r="A13" s="536" t="s">
        <v>1406</v>
      </c>
      <c r="B13" s="533"/>
      <c r="C13" s="550"/>
      <c r="D13" s="535"/>
      <c r="E13" s="552"/>
      <c r="F13" s="513"/>
      <c r="G13" s="512" t="b">
        <v>0</v>
      </c>
      <c r="H13" s="2841"/>
      <c r="I13" s="513"/>
      <c r="J13" s="513"/>
      <c r="K13" s="513"/>
      <c r="L13" s="513"/>
      <c r="M13" s="513"/>
      <c r="N13" s="512"/>
      <c r="O13" s="512"/>
      <c r="P13" s="512"/>
      <c r="Q13" s="512"/>
      <c r="R13" s="513"/>
      <c r="S13" s="513"/>
    </row>
    <row r="14" spans="1:19" ht="12.6" customHeight="1">
      <c r="A14" s="537" t="str">
        <f>OPEN!N8</f>
        <v xml:space="preserve">    2013  $</v>
      </c>
      <c r="B14" s="533">
        <v>10</v>
      </c>
      <c r="C14" s="560">
        <v>64582</v>
      </c>
      <c r="D14" s="535"/>
      <c r="E14" s="552"/>
      <c r="F14" s="513"/>
      <c r="G14" s="513"/>
      <c r="H14" s="513"/>
      <c r="I14" s="513"/>
      <c r="J14" s="513"/>
      <c r="K14" s="513"/>
      <c r="L14" s="513"/>
      <c r="M14" s="513"/>
      <c r="N14" s="519"/>
      <c r="O14" s="512"/>
      <c r="P14" s="512"/>
      <c r="Q14" s="512"/>
      <c r="R14" s="513"/>
      <c r="S14" s="513"/>
    </row>
    <row r="15" spans="1:19" ht="12.6" customHeight="1">
      <c r="A15" s="537" t="str">
        <f>OPEN!N9</f>
        <v xml:space="preserve">    2014  $</v>
      </c>
      <c r="B15" s="538">
        <v>15</v>
      </c>
      <c r="C15" s="561">
        <v>951035</v>
      </c>
      <c r="D15" s="531">
        <v>10547</v>
      </c>
      <c r="E15" s="550"/>
      <c r="F15" s="513"/>
      <c r="G15" s="2774">
        <f>IF(ISERROR('F110'!$G$33),0,('F110'!$G$33))</f>
        <v>16093</v>
      </c>
      <c r="H15" s="513"/>
      <c r="I15" s="513"/>
      <c r="J15" s="513"/>
      <c r="K15" s="513"/>
      <c r="L15" s="513"/>
      <c r="M15" s="513"/>
      <c r="N15" s="512"/>
      <c r="O15" s="539"/>
      <c r="P15" s="539"/>
      <c r="Q15" s="539"/>
      <c r="R15" s="513"/>
      <c r="S15" s="513"/>
    </row>
    <row r="16" spans="1:19" ht="12.6" customHeight="1">
      <c r="A16" s="537" t="str">
        <f>OPEN!N10</f>
        <v xml:space="preserve">    2015  $</v>
      </c>
      <c r="B16" s="540">
        <v>20</v>
      </c>
      <c r="C16" s="547"/>
      <c r="D16" s="2442">
        <f>'C04'!E12</f>
        <v>321437</v>
      </c>
      <c r="E16" s="556">
        <f>G15</f>
        <v>16093</v>
      </c>
      <c r="F16" s="513"/>
      <c r="G16" s="512"/>
      <c r="H16" s="513"/>
      <c r="I16" s="513"/>
      <c r="J16" s="513"/>
      <c r="K16" s="513"/>
      <c r="L16" s="513"/>
      <c r="M16" s="513"/>
      <c r="N16" s="512"/>
      <c r="O16" s="539"/>
      <c r="P16" s="539"/>
      <c r="Q16" s="539"/>
      <c r="R16" s="513"/>
      <c r="S16" s="513"/>
    </row>
    <row r="17" spans="1:19" ht="12.6" customHeight="1">
      <c r="A17" s="542" t="s">
        <v>1407</v>
      </c>
      <c r="B17" s="540">
        <v>25</v>
      </c>
      <c r="C17" s="4109">
        <v>20425</v>
      </c>
      <c r="D17" s="560">
        <v>11887</v>
      </c>
      <c r="E17" s="4117">
        <f>G17</f>
        <v>822</v>
      </c>
      <c r="F17" s="513"/>
      <c r="G17" s="2774">
        <f>IF(ISERROR('F110'!$G$37*0.667),0,('F110'!$G$37*0.667))</f>
        <v>822</v>
      </c>
      <c r="H17" s="513"/>
      <c r="I17" s="513"/>
      <c r="J17" s="513"/>
      <c r="K17" s="513"/>
      <c r="L17" s="513"/>
      <c r="M17" s="513"/>
      <c r="N17" s="512"/>
      <c r="O17" s="539"/>
      <c r="P17" s="539"/>
      <c r="Q17" s="539"/>
      <c r="R17" s="513"/>
      <c r="S17" s="513"/>
    </row>
    <row r="18" spans="1:19" ht="12.6" customHeight="1">
      <c r="A18" s="2895" t="s">
        <v>1262</v>
      </c>
      <c r="B18" s="2909">
        <v>47</v>
      </c>
      <c r="C18" s="561"/>
      <c r="D18" s="560"/>
      <c r="E18" s="2443"/>
      <c r="F18" s="513"/>
      <c r="G18" s="2774"/>
      <c r="H18" s="513"/>
      <c r="I18" s="513"/>
      <c r="J18" s="513"/>
      <c r="K18" s="513"/>
      <c r="L18" s="513"/>
      <c r="M18" s="513"/>
      <c r="N18" s="512"/>
      <c r="O18" s="539"/>
      <c r="P18" s="539"/>
      <c r="Q18" s="539"/>
      <c r="R18" s="513"/>
      <c r="S18" s="513"/>
    </row>
    <row r="19" spans="1:19" ht="12.6" customHeight="1">
      <c r="A19" s="2895" t="s">
        <v>1263</v>
      </c>
      <c r="B19" s="2909">
        <v>60</v>
      </c>
      <c r="C19" s="561">
        <v>7049</v>
      </c>
      <c r="D19" s="561">
        <v>1617</v>
      </c>
      <c r="E19" s="554"/>
      <c r="F19" s="513"/>
      <c r="G19" s="2774"/>
      <c r="H19" s="513"/>
      <c r="I19" s="513"/>
      <c r="J19" s="513"/>
      <c r="K19" s="513"/>
      <c r="L19" s="513"/>
      <c r="M19" s="513"/>
      <c r="N19" s="512"/>
      <c r="O19" s="539"/>
      <c r="P19" s="539"/>
      <c r="Q19" s="539"/>
      <c r="R19" s="513"/>
      <c r="S19" s="513"/>
    </row>
    <row r="20" spans="1:19" ht="12.6" customHeight="1">
      <c r="A20" s="2895" t="s">
        <v>1711</v>
      </c>
      <c r="B20" s="2909">
        <v>65</v>
      </c>
      <c r="C20" s="2450">
        <v>1468</v>
      </c>
      <c r="D20" s="561">
        <v>2421</v>
      </c>
      <c r="E20" s="3815"/>
      <c r="F20" s="513"/>
      <c r="G20" s="2774"/>
      <c r="H20" s="513"/>
      <c r="I20" s="513"/>
      <c r="J20" s="513"/>
      <c r="K20" s="513"/>
      <c r="L20" s="513"/>
      <c r="M20" s="513"/>
      <c r="N20" s="512"/>
      <c r="O20" s="539"/>
      <c r="P20" s="539"/>
      <c r="Q20" s="539"/>
      <c r="R20" s="513"/>
      <c r="S20" s="513"/>
    </row>
    <row r="21" spans="1:19" ht="12.6" customHeight="1">
      <c r="A21" s="526" t="s">
        <v>1409</v>
      </c>
      <c r="B21" s="540"/>
      <c r="C21" s="547"/>
      <c r="D21" s="535"/>
      <c r="E21" s="552"/>
      <c r="F21" s="513"/>
      <c r="G21" s="512" t="s">
        <v>1325</v>
      </c>
      <c r="H21" s="512" t="s">
        <v>1324</v>
      </c>
      <c r="I21" s="513"/>
      <c r="J21" s="513"/>
      <c r="K21" s="513"/>
      <c r="L21" s="513"/>
      <c r="M21" s="513"/>
      <c r="N21" s="512"/>
      <c r="O21" s="539"/>
      <c r="P21" s="539"/>
      <c r="Q21" s="539"/>
      <c r="R21" s="513"/>
      <c r="S21" s="513"/>
    </row>
    <row r="22" spans="1:19" ht="12.6" customHeight="1">
      <c r="A22" s="2840" t="s">
        <v>286</v>
      </c>
      <c r="B22" s="543">
        <v>70</v>
      </c>
      <c r="C22" s="560">
        <v>59733</v>
      </c>
      <c r="D22" s="531">
        <v>52785</v>
      </c>
      <c r="E22" s="556">
        <f>G22+H22</f>
        <v>38066</v>
      </c>
      <c r="F22" s="513"/>
      <c r="G22" s="535">
        <f>IF(ISERROR('F194'!$H$76+'F194'!$H$18),0,('F194'!$H$76+'F194'!$H$18))</f>
        <v>35096</v>
      </c>
      <c r="H22" s="535">
        <f>IF(ISERROR('F194'!$P$76+'F194'!$P$18),0,('F194'!$P$76+'F194'!$P$18))</f>
        <v>2970</v>
      </c>
      <c r="I22" s="513"/>
      <c r="J22" s="513"/>
      <c r="K22" s="513"/>
      <c r="L22" s="513"/>
      <c r="M22" s="513"/>
      <c r="N22" s="512"/>
      <c r="O22" s="512"/>
      <c r="P22" s="512"/>
      <c r="Q22" s="512"/>
      <c r="R22" s="513"/>
      <c r="S22" s="513"/>
    </row>
    <row r="23" spans="1:19" ht="12.6" customHeight="1">
      <c r="A23" s="2840" t="s">
        <v>1411</v>
      </c>
      <c r="B23" s="543">
        <v>75</v>
      </c>
      <c r="C23" s="2450">
        <v>781</v>
      </c>
      <c r="D23" s="544">
        <v>918</v>
      </c>
      <c r="E23" s="556">
        <f>G23</f>
        <v>774</v>
      </c>
      <c r="F23" s="545"/>
      <c r="G23" s="535">
        <f>IF(ISERROR('F194'!$L$18+'F194'!$L$76),0,('F194'!$L$18+'F194'!$L$76))</f>
        <v>774</v>
      </c>
      <c r="H23" s="513"/>
      <c r="I23" s="513"/>
      <c r="J23" s="513"/>
      <c r="K23" s="513"/>
      <c r="L23" s="513"/>
      <c r="M23" s="513"/>
      <c r="N23" s="512"/>
      <c r="O23" s="539"/>
      <c r="P23" s="539"/>
      <c r="Q23" s="539"/>
      <c r="R23" s="513"/>
      <c r="S23" s="513"/>
    </row>
    <row r="24" spans="1:19" ht="12.6" customHeight="1">
      <c r="A24" s="2840" t="s">
        <v>1870</v>
      </c>
      <c r="B24" s="3976">
        <v>77</v>
      </c>
      <c r="C24" s="4179"/>
      <c r="D24" s="4179"/>
      <c r="E24" s="4277">
        <f>G24</f>
        <v>5008</v>
      </c>
      <c r="F24" s="545"/>
      <c r="G24" s="2446">
        <f>IF(ISERROR('F194'!$R$76+'F194'!$R$18),0,('F194'!$R$76+'F194'!$R$18))</f>
        <v>5008</v>
      </c>
      <c r="H24" s="513"/>
      <c r="I24" s="3746"/>
      <c r="J24" s="513"/>
      <c r="K24" s="513"/>
      <c r="L24" s="513"/>
      <c r="M24" s="513"/>
      <c r="N24" s="512"/>
      <c r="O24" s="539"/>
      <c r="P24" s="539"/>
      <c r="Q24" s="539"/>
      <c r="R24" s="513"/>
      <c r="S24" s="513"/>
    </row>
    <row r="25" spans="1:19" ht="12.6" customHeight="1">
      <c r="A25" s="2840" t="s">
        <v>1936</v>
      </c>
      <c r="B25" s="538">
        <v>85</v>
      </c>
      <c r="C25" s="4109"/>
      <c r="D25" s="560"/>
      <c r="E25" s="4110">
        <f>G25</f>
        <v>0</v>
      </c>
      <c r="F25" s="513"/>
      <c r="G25" s="535">
        <f>IF(ISERROR('F194'!N76+'F194'!$N$18),0,('F194'!N76+'F194'!$N$18))</f>
        <v>0</v>
      </c>
      <c r="H25" s="513"/>
      <c r="I25" s="513"/>
      <c r="J25" s="513"/>
      <c r="K25" s="513"/>
      <c r="L25" s="513"/>
      <c r="M25" s="513"/>
      <c r="N25" s="513"/>
      <c r="O25" s="513"/>
      <c r="P25" s="513"/>
      <c r="Q25" s="513"/>
      <c r="R25" s="513"/>
      <c r="S25" s="513"/>
    </row>
    <row r="26" spans="1:19" ht="12.6" customHeight="1">
      <c r="A26" s="526" t="s">
        <v>1412</v>
      </c>
      <c r="B26" s="540"/>
      <c r="C26" s="550"/>
      <c r="D26" s="535"/>
      <c r="E26" s="547"/>
      <c r="F26" s="513"/>
      <c r="G26" s="513"/>
      <c r="H26" s="513"/>
      <c r="I26" s="513"/>
      <c r="J26" s="513"/>
      <c r="K26" s="513"/>
      <c r="L26" s="513"/>
      <c r="M26" s="513"/>
      <c r="N26" s="513"/>
      <c r="O26" s="513"/>
      <c r="P26" s="513"/>
      <c r="Q26" s="513"/>
      <c r="R26" s="513"/>
      <c r="S26" s="513"/>
    </row>
    <row r="27" spans="1:19" ht="12.6" customHeight="1">
      <c r="A27" s="537" t="s">
        <v>1414</v>
      </c>
      <c r="B27" s="543">
        <v>95</v>
      </c>
      <c r="C27" s="3423">
        <f>VLOOKUP(B1,DATA!A3:AT288,18,FALSE)</f>
        <v>0</v>
      </c>
      <c r="D27" s="5111" t="s">
        <v>2397</v>
      </c>
      <c r="E27" s="556">
        <f>'F239'!I18</f>
        <v>150268</v>
      </c>
      <c r="F27" s="513"/>
      <c r="G27" s="4062"/>
      <c r="H27" s="3746"/>
      <c r="I27" s="513"/>
      <c r="J27" s="513"/>
      <c r="K27" s="513"/>
      <c r="L27" s="513"/>
      <c r="M27" s="513"/>
      <c r="N27" s="513"/>
      <c r="O27" s="513"/>
      <c r="P27" s="513"/>
      <c r="Q27" s="513"/>
      <c r="R27" s="513"/>
      <c r="S27" s="513"/>
    </row>
    <row r="28" spans="1:19" ht="12.6" customHeight="1">
      <c r="A28" s="5053" t="s">
        <v>2600</v>
      </c>
      <c r="B28" s="5054">
        <v>96</v>
      </c>
      <c r="C28" s="5049"/>
      <c r="D28" s="556">
        <f>VLOOKUP($B$1,DATA!A3:BD288,56,FALSE)</f>
        <v>417202</v>
      </c>
      <c r="E28" s="556">
        <f>OPEN!A87</f>
        <v>0</v>
      </c>
      <c r="F28" s="513"/>
      <c r="G28" s="5196"/>
      <c r="H28" s="3746"/>
      <c r="I28" s="513"/>
      <c r="J28" s="513"/>
      <c r="K28" s="513"/>
      <c r="L28" s="513"/>
      <c r="M28" s="513"/>
      <c r="N28" s="513"/>
      <c r="O28" s="513"/>
      <c r="P28" s="513"/>
      <c r="Q28" s="513"/>
      <c r="R28" s="513"/>
      <c r="S28" s="513"/>
    </row>
    <row r="29" spans="1:19" ht="12.6" customHeight="1">
      <c r="A29" s="3330" t="s">
        <v>1744</v>
      </c>
      <c r="B29" s="540"/>
      <c r="C29" s="554"/>
      <c r="D29" s="2446"/>
      <c r="E29" s="554"/>
      <c r="F29" s="513"/>
      <c r="G29" s="513"/>
      <c r="H29" s="513"/>
      <c r="I29" s="359" t="s">
        <v>1241</v>
      </c>
      <c r="J29" s="513"/>
      <c r="K29" s="513"/>
      <c r="L29" s="513"/>
      <c r="M29" s="513"/>
      <c r="N29" s="513"/>
      <c r="O29" s="513"/>
      <c r="P29" s="513"/>
      <c r="Q29" s="513"/>
      <c r="R29" s="513"/>
      <c r="S29" s="513"/>
    </row>
    <row r="30" spans="1:19" ht="12.6" customHeight="1">
      <c r="A30" s="5051" t="s">
        <v>1859</v>
      </c>
      <c r="B30" s="5052">
        <v>97</v>
      </c>
      <c r="C30" s="556">
        <f>'C06'!C336</f>
        <v>0</v>
      </c>
      <c r="D30" s="5050">
        <f>'C06'!D336</f>
        <v>0</v>
      </c>
      <c r="E30" s="556">
        <f>'C06'!E336</f>
        <v>0</v>
      </c>
      <c r="F30" s="513"/>
      <c r="G30" s="513"/>
      <c r="H30" s="513"/>
      <c r="I30" s="359"/>
      <c r="J30" s="513"/>
      <c r="K30" s="513"/>
      <c r="L30" s="513"/>
      <c r="M30" s="513"/>
      <c r="N30" s="513"/>
      <c r="O30" s="513"/>
      <c r="P30" s="513"/>
      <c r="Q30" s="513"/>
      <c r="R30" s="513"/>
      <c r="S30" s="513"/>
    </row>
    <row r="31" spans="1:19" ht="12.6" customHeight="1">
      <c r="A31" s="3331" t="s">
        <v>50</v>
      </c>
      <c r="B31" s="3976">
        <v>145</v>
      </c>
      <c r="C31" s="3423">
        <f>'C053'!C277</f>
        <v>0</v>
      </c>
      <c r="D31" s="3332">
        <f>'C053'!D277</f>
        <v>0</v>
      </c>
      <c r="E31" s="3423">
        <f>'C053'!E277</f>
        <v>0</v>
      </c>
      <c r="F31" s="513"/>
      <c r="G31" s="4060">
        <f>IF($E$324&gt;$H$31,"Expend. &gt; LOB",'F155'!$N$23)</f>
        <v>962024</v>
      </c>
      <c r="H31" s="4061">
        <f>SUM('F155'!$N$23)</f>
        <v>962024</v>
      </c>
      <c r="I31" s="5161">
        <f>'F155'!$N$23</f>
        <v>962024</v>
      </c>
      <c r="J31" s="2843" t="s">
        <v>1865</v>
      </c>
      <c r="K31" s="513"/>
      <c r="L31" s="513"/>
      <c r="M31" s="513"/>
      <c r="N31" s="513"/>
      <c r="O31" s="513"/>
      <c r="P31" s="513"/>
      <c r="Q31" s="513"/>
      <c r="R31" s="513"/>
      <c r="S31" s="513"/>
    </row>
    <row r="32" spans="1:19" ht="12.6" customHeight="1">
      <c r="A32" s="3329" t="s">
        <v>1415</v>
      </c>
      <c r="B32" s="543">
        <v>170</v>
      </c>
      <c r="C32" s="3423">
        <f>SUM(C9:C31)</f>
        <v>1185154</v>
      </c>
      <c r="D32" s="3332">
        <f>SUM(D9:D31)</f>
        <v>1041966</v>
      </c>
      <c r="E32" s="556">
        <f>SUM(E9:E31)</f>
        <v>486968</v>
      </c>
      <c r="F32" s="513"/>
      <c r="G32" s="535">
        <f>IF(E33="Expend. &lt;&gt; LOB",0,IF((E33-E32)&lt;=0,0,E33-E32))</f>
        <v>475056</v>
      </c>
      <c r="H32" s="539">
        <f>IF(G31=E324,G31,"Expend. &lt;&gt; LOB")</f>
        <v>962024</v>
      </c>
      <c r="I32" s="2842">
        <f>E324</f>
        <v>962024</v>
      </c>
      <c r="J32" s="2843" t="s">
        <v>2433</v>
      </c>
      <c r="K32" s="513"/>
      <c r="L32" s="513"/>
      <c r="M32" s="513"/>
      <c r="N32" s="513"/>
      <c r="O32" s="513"/>
      <c r="P32" s="513"/>
      <c r="Q32" s="513"/>
      <c r="R32" s="513"/>
      <c r="S32" s="513"/>
    </row>
    <row r="33" spans="1:19" ht="12.6" customHeight="1" thickBot="1">
      <c r="A33" s="542" t="s">
        <v>1416</v>
      </c>
      <c r="B33" s="538">
        <v>175</v>
      </c>
      <c r="C33" s="2443">
        <f>C324</f>
        <v>962002</v>
      </c>
      <c r="D33" s="546">
        <f>D324</f>
        <v>766029</v>
      </c>
      <c r="E33" s="2442">
        <f>H32</f>
        <v>962024</v>
      </c>
      <c r="F33" s="513"/>
      <c r="G33" s="549">
        <f>IF(ISERROR('F110'!$I$44),0,('F110'!$I$44))</f>
        <v>92</v>
      </c>
      <c r="H33" s="513"/>
      <c r="I33" s="4152">
        <f>I31-I32</f>
        <v>0</v>
      </c>
      <c r="J33" s="2843" t="s">
        <v>13</v>
      </c>
      <c r="K33" s="513"/>
      <c r="L33" s="513"/>
      <c r="M33" s="513"/>
      <c r="N33" s="513"/>
      <c r="O33" s="513"/>
      <c r="P33" s="513"/>
      <c r="Q33" s="513"/>
      <c r="R33" s="513"/>
      <c r="S33" s="513"/>
    </row>
    <row r="34" spans="1:19" ht="12.6" customHeight="1" thickTop="1">
      <c r="A34" s="537" t="s">
        <v>1417</v>
      </c>
      <c r="B34" s="538">
        <v>195</v>
      </c>
      <c r="C34" s="547"/>
      <c r="D34" s="534"/>
      <c r="E34" s="2442">
        <f>G32</f>
        <v>475056</v>
      </c>
      <c r="F34" s="513"/>
      <c r="G34" s="535"/>
      <c r="H34" s="513"/>
      <c r="I34" s="513"/>
      <c r="J34" s="513"/>
      <c r="K34" s="513"/>
      <c r="L34" s="513"/>
      <c r="M34" s="513"/>
      <c r="N34" s="513"/>
      <c r="O34" s="513"/>
      <c r="P34" s="513"/>
      <c r="Q34" s="513"/>
      <c r="R34" s="513"/>
      <c r="S34" s="513"/>
    </row>
    <row r="35" spans="1:19" ht="12.6" customHeight="1">
      <c r="A35" s="542" t="s">
        <v>1418</v>
      </c>
      <c r="B35" s="538">
        <v>196</v>
      </c>
      <c r="C35" s="548"/>
      <c r="D35" s="2444"/>
      <c r="E35" s="2448">
        <f>G33</f>
        <v>92</v>
      </c>
      <c r="F35" s="513" t="s">
        <v>1124</v>
      </c>
      <c r="G35" s="2774">
        <f>IF(ISERROR('C01'!$F$119*E36/100),0,('C01'!$F$119*E36/100))</f>
        <v>36146</v>
      </c>
      <c r="H35" s="551"/>
      <c r="I35" s="513"/>
      <c r="J35" s="513"/>
      <c r="K35" s="513"/>
      <c r="L35" s="513"/>
      <c r="M35" s="513"/>
      <c r="N35" s="513"/>
      <c r="O35" s="513"/>
      <c r="P35" s="513"/>
      <c r="Q35" s="513"/>
      <c r="R35" s="513"/>
      <c r="S35" s="513"/>
    </row>
    <row r="36" spans="1:19" ht="12.6" customHeight="1">
      <c r="A36" s="542" t="str">
        <f>"TOTAL "&amp;OPEN!Q5&amp;" TAX REQUIRED (195÷196)"</f>
        <v>TOTAL 2016 TAX REQUIRED (195÷196)</v>
      </c>
      <c r="B36" s="538">
        <v>197</v>
      </c>
      <c r="C36" s="550"/>
      <c r="D36" s="535"/>
      <c r="E36" s="2442">
        <f>IF(ISERROR(E34/E35*100),"ERROR",(E34/E35*100))</f>
        <v>516365</v>
      </c>
      <c r="F36" s="513"/>
      <c r="G36" s="513"/>
      <c r="H36" s="513"/>
      <c r="I36" s="513"/>
      <c r="J36" s="513"/>
      <c r="K36" s="513"/>
      <c r="L36" s="513"/>
      <c r="M36" s="513"/>
      <c r="N36" s="513"/>
      <c r="O36" s="513"/>
      <c r="P36" s="513"/>
      <c r="Q36" s="513"/>
      <c r="R36" s="513"/>
      <c r="S36" s="553"/>
    </row>
    <row r="37" spans="1:19" ht="12.6" customHeight="1">
      <c r="A37" s="542" t="s">
        <v>1429</v>
      </c>
      <c r="B37" s="538">
        <v>200</v>
      </c>
      <c r="C37" s="550"/>
      <c r="D37" s="535"/>
      <c r="E37" s="2442">
        <f>G35</f>
        <v>36146</v>
      </c>
      <c r="F37" s="513"/>
      <c r="G37" s="2975"/>
      <c r="H37" s="513"/>
      <c r="I37" s="513"/>
      <c r="J37" s="513"/>
      <c r="K37" s="513"/>
      <c r="L37" s="513"/>
      <c r="M37" s="513"/>
      <c r="N37" s="513"/>
      <c r="O37" s="513"/>
      <c r="P37" s="513"/>
      <c r="Q37" s="513"/>
      <c r="R37" s="513"/>
      <c r="S37" s="513"/>
    </row>
    <row r="38" spans="1:19" ht="12" customHeight="1">
      <c r="A38" s="526" t="str">
        <f>"AMOUNT OF "&amp;OPEN!Q5&amp;" TAX TO BE LEVIED "</f>
        <v xml:space="preserve">AMOUNT OF 2016 TAX TO BE LEVIED </v>
      </c>
      <c r="B38" s="540"/>
      <c r="C38" s="552"/>
      <c r="D38" s="2445"/>
      <c r="E38" s="2447"/>
      <c r="F38" s="513"/>
      <c r="G38" s="3149" t="s">
        <v>380</v>
      </c>
      <c r="H38" s="3150">
        <f>IF(ISERROR(E39/OPEN!A14*1000),"See errors below",(E39/OPEN!A14*1000))</f>
        <v>17.466999999999999</v>
      </c>
      <c r="I38" s="3144"/>
      <c r="J38" s="513"/>
      <c r="K38" s="513"/>
      <c r="L38" s="513"/>
      <c r="M38" s="513"/>
      <c r="N38" s="513"/>
      <c r="O38" s="513"/>
      <c r="P38" s="513"/>
      <c r="Q38" s="513"/>
      <c r="R38" s="513"/>
      <c r="S38" s="513"/>
    </row>
    <row r="39" spans="1:19" ht="12.75" customHeight="1">
      <c r="A39" s="537" t="s">
        <v>1430</v>
      </c>
      <c r="B39" s="543">
        <v>205</v>
      </c>
      <c r="C39" s="554"/>
      <c r="D39" s="2446"/>
      <c r="E39" s="556">
        <f>IF(ISERROR(E36+E37),"ERROR",SUM(E36+E37))</f>
        <v>552511</v>
      </c>
      <c r="F39" s="513"/>
      <c r="G39" s="3151"/>
      <c r="H39" s="2717"/>
      <c r="I39" s="3144"/>
      <c r="J39" s="513"/>
      <c r="K39" s="513"/>
      <c r="L39" s="513"/>
      <c r="M39" s="513"/>
      <c r="N39" s="513"/>
      <c r="O39" s="513"/>
      <c r="P39" s="513"/>
      <c r="Q39" s="513"/>
      <c r="R39" s="513"/>
      <c r="S39" s="513"/>
    </row>
    <row r="40" spans="1:19" ht="12.6" customHeight="1">
      <c r="A40" s="542" t="s">
        <v>1250</v>
      </c>
      <c r="B40" s="555">
        <v>207</v>
      </c>
      <c r="C40" s="556">
        <f>C32-C33</f>
        <v>223152</v>
      </c>
      <c r="D40" s="541">
        <f>SUM(D32-D33)</f>
        <v>275937</v>
      </c>
      <c r="E40" s="4016" t="s">
        <v>1251</v>
      </c>
      <c r="F40" s="513"/>
      <c r="G40" s="3151" t="str">
        <f>OPEN!N40</f>
        <v/>
      </c>
      <c r="H40" s="2717"/>
      <c r="I40" s="3144"/>
      <c r="J40" s="513"/>
      <c r="K40" s="513"/>
      <c r="L40" s="513"/>
      <c r="M40" s="513"/>
      <c r="N40" s="513"/>
      <c r="O40" s="513"/>
      <c r="P40" s="513"/>
      <c r="Q40" s="513"/>
      <c r="R40" s="513"/>
      <c r="S40" s="513"/>
    </row>
    <row r="41" spans="1:19" ht="12.6" customHeight="1">
      <c r="A41" s="512" t="s">
        <v>1432</v>
      </c>
      <c r="B41" s="512"/>
      <c r="C41" s="512"/>
      <c r="D41" s="512"/>
      <c r="E41" s="512"/>
      <c r="F41" s="513"/>
      <c r="G41" s="513"/>
      <c r="H41" s="513"/>
      <c r="I41" s="513"/>
      <c r="J41" s="513"/>
      <c r="K41" s="513"/>
      <c r="L41" s="513"/>
      <c r="M41" s="513"/>
      <c r="N41" s="513"/>
      <c r="O41" s="513"/>
      <c r="P41" s="513"/>
      <c r="Q41" s="513"/>
      <c r="R41" s="513"/>
      <c r="S41" s="513"/>
    </row>
    <row r="42" spans="1:19" ht="12.6" customHeight="1">
      <c r="A42" s="512" t="s">
        <v>2493</v>
      </c>
      <c r="B42" s="512"/>
      <c r="C42" s="512"/>
      <c r="D42" s="512"/>
      <c r="E42" s="512"/>
      <c r="F42" s="513"/>
      <c r="G42" s="513"/>
      <c r="H42" s="513"/>
      <c r="I42" s="513"/>
      <c r="J42" s="513"/>
      <c r="K42" s="513"/>
      <c r="L42" s="513"/>
      <c r="M42" s="513"/>
      <c r="N42" s="513"/>
      <c r="O42" s="513"/>
      <c r="P42" s="513"/>
      <c r="Q42" s="513"/>
      <c r="R42" s="513"/>
      <c r="S42" s="513"/>
    </row>
    <row r="43" spans="1:19" ht="12.6" customHeight="1">
      <c r="A43" s="512"/>
      <c r="B43" s="511"/>
      <c r="C43" s="515" t="s">
        <v>1213</v>
      </c>
      <c r="D43" s="515" t="s">
        <v>1213</v>
      </c>
      <c r="E43" s="515" t="s">
        <v>1213</v>
      </c>
      <c r="F43" s="513"/>
      <c r="G43" s="513"/>
      <c r="H43" s="513"/>
      <c r="I43" s="513"/>
      <c r="J43" s="513"/>
      <c r="K43" s="513"/>
      <c r="L43" s="513"/>
      <c r="M43" s="513"/>
      <c r="N43" s="513"/>
      <c r="O43" s="513"/>
      <c r="P43" s="513"/>
      <c r="Q43" s="513"/>
      <c r="R43" s="513"/>
      <c r="S43" s="513"/>
    </row>
    <row r="44" spans="1:19" ht="12.6" customHeight="1">
      <c r="A44" s="512"/>
      <c r="B44" s="517" t="s">
        <v>1045</v>
      </c>
      <c r="C44" s="518" t="str">
        <f>C6</f>
        <v>2014-2015</v>
      </c>
      <c r="D44" s="518" t="str">
        <f>D6</f>
        <v>2015-2016</v>
      </c>
      <c r="E44" s="518" t="str">
        <f>E6</f>
        <v>2016-2017</v>
      </c>
      <c r="F44" s="513"/>
      <c r="G44" s="513"/>
      <c r="H44" s="513"/>
      <c r="I44" s="513"/>
      <c r="J44" s="513"/>
      <c r="K44" s="513"/>
      <c r="L44" s="513"/>
      <c r="M44" s="513"/>
      <c r="N44" s="513"/>
      <c r="O44" s="513"/>
      <c r="P44" s="513"/>
      <c r="Q44" s="513"/>
      <c r="R44" s="513"/>
      <c r="S44" s="513"/>
    </row>
    <row r="45" spans="1:19" ht="12.6" customHeight="1">
      <c r="A45" s="515" t="s">
        <v>1433</v>
      </c>
      <c r="B45" s="520">
        <v>8</v>
      </c>
      <c r="C45" s="521" t="s">
        <v>1139</v>
      </c>
      <c r="D45" s="521" t="s">
        <v>1139</v>
      </c>
      <c r="E45" s="521" t="s">
        <v>1215</v>
      </c>
      <c r="F45" s="513"/>
      <c r="G45" s="513"/>
      <c r="H45" s="513"/>
      <c r="I45" s="513"/>
      <c r="J45" s="513"/>
      <c r="K45" s="513"/>
      <c r="L45" s="513"/>
      <c r="M45" s="513"/>
      <c r="N45" s="513"/>
      <c r="O45" s="513"/>
      <c r="P45" s="513"/>
      <c r="Q45" s="513"/>
      <c r="R45" s="513"/>
      <c r="S45" s="513"/>
    </row>
    <row r="46" spans="1:19" ht="12.6" customHeight="1">
      <c r="A46" s="515" t="s">
        <v>1401</v>
      </c>
      <c r="B46" s="524" t="s">
        <v>1051</v>
      </c>
      <c r="C46" s="525">
        <v>1</v>
      </c>
      <c r="D46" s="525">
        <v>2</v>
      </c>
      <c r="E46" s="525">
        <v>3</v>
      </c>
      <c r="F46" s="513"/>
      <c r="G46" s="513"/>
      <c r="H46" s="513"/>
      <c r="I46" s="513"/>
      <c r="J46" s="513"/>
      <c r="K46" s="513"/>
      <c r="L46" s="513"/>
      <c r="M46" s="513"/>
      <c r="N46" s="513"/>
      <c r="O46" s="513"/>
      <c r="P46" s="513"/>
      <c r="Q46" s="513"/>
      <c r="R46" s="513"/>
      <c r="S46" s="513"/>
    </row>
    <row r="47" spans="1:19" ht="12.6" customHeight="1">
      <c r="A47" s="526" t="s">
        <v>1267</v>
      </c>
      <c r="B47" s="557"/>
      <c r="C47" s="547"/>
      <c r="D47" s="534" t="s">
        <v>1130</v>
      </c>
      <c r="E47" s="547"/>
      <c r="F47" s="513"/>
      <c r="G47" s="513"/>
      <c r="H47" s="513"/>
      <c r="I47" s="513"/>
      <c r="J47" s="513"/>
      <c r="K47" s="513"/>
      <c r="L47" s="513"/>
      <c r="M47" s="513"/>
      <c r="N47" s="513"/>
      <c r="O47" s="513"/>
      <c r="P47" s="513"/>
      <c r="Q47" s="513"/>
      <c r="R47" s="513"/>
      <c r="S47" s="513"/>
    </row>
    <row r="48" spans="1:19" ht="12.6" customHeight="1">
      <c r="A48" s="536" t="s">
        <v>1268</v>
      </c>
      <c r="B48" s="558"/>
      <c r="C48" s="550"/>
      <c r="D48" s="535"/>
      <c r="E48" s="550"/>
      <c r="F48" s="513"/>
      <c r="G48" s="513"/>
      <c r="H48" s="513"/>
      <c r="I48" s="513"/>
      <c r="J48" s="513"/>
      <c r="K48" s="513"/>
      <c r="L48" s="513"/>
      <c r="M48" s="513"/>
      <c r="N48" s="513"/>
      <c r="O48" s="513"/>
      <c r="P48" s="513"/>
      <c r="Q48" s="513"/>
      <c r="R48" s="513"/>
      <c r="S48" s="513"/>
    </row>
    <row r="49" spans="1:19" ht="12.6" customHeight="1">
      <c r="A49" s="537" t="s">
        <v>1269</v>
      </c>
      <c r="B49" s="559">
        <v>210</v>
      </c>
      <c r="C49" s="560">
        <v>22791</v>
      </c>
      <c r="D49" s="531">
        <v>46816</v>
      </c>
      <c r="E49" s="560">
        <v>52000</v>
      </c>
      <c r="F49" s="513"/>
      <c r="G49" s="513"/>
      <c r="H49" s="513"/>
      <c r="I49" s="513"/>
      <c r="J49" s="513"/>
      <c r="K49" s="513"/>
      <c r="L49" s="513"/>
      <c r="M49" s="513"/>
      <c r="N49" s="513"/>
      <c r="O49" s="513"/>
      <c r="P49" s="513"/>
      <c r="Q49" s="513"/>
      <c r="R49" s="513"/>
      <c r="S49" s="513"/>
    </row>
    <row r="50" spans="1:19" ht="12.6" customHeight="1">
      <c r="A50" s="542" t="s">
        <v>1270</v>
      </c>
      <c r="B50" s="555">
        <v>215</v>
      </c>
      <c r="C50" s="561">
        <v>3558</v>
      </c>
      <c r="D50" s="528">
        <v>17115</v>
      </c>
      <c r="E50" s="561">
        <v>20000</v>
      </c>
      <c r="F50" s="513"/>
      <c r="G50" s="513"/>
      <c r="H50" s="513"/>
      <c r="I50" s="513"/>
      <c r="J50" s="513"/>
      <c r="K50" s="513"/>
      <c r="L50" s="513"/>
      <c r="M50" s="513"/>
      <c r="N50" s="513"/>
      <c r="O50" s="513"/>
      <c r="P50" s="513"/>
      <c r="Q50" s="513"/>
      <c r="R50" s="513"/>
      <c r="S50" s="513"/>
    </row>
    <row r="51" spans="1:19" ht="12.6" customHeight="1">
      <c r="A51" s="526" t="s">
        <v>1271</v>
      </c>
      <c r="B51" s="557"/>
      <c r="C51" s="547"/>
      <c r="D51" s="534"/>
      <c r="E51" s="547"/>
      <c r="F51" s="513"/>
      <c r="G51" s="513"/>
      <c r="H51" s="513"/>
      <c r="I51" s="513"/>
      <c r="J51" s="513"/>
      <c r="K51" s="513"/>
      <c r="L51" s="513"/>
      <c r="M51" s="513"/>
      <c r="N51" s="513"/>
      <c r="O51" s="513"/>
      <c r="P51" s="513"/>
      <c r="Q51" s="513"/>
      <c r="R51" s="513"/>
      <c r="S51" s="513"/>
    </row>
    <row r="52" spans="1:19" ht="12.6" customHeight="1">
      <c r="A52" s="537" t="s">
        <v>1272</v>
      </c>
      <c r="B52" s="559">
        <v>220</v>
      </c>
      <c r="C52" s="560">
        <v>4147</v>
      </c>
      <c r="D52" s="531">
        <v>4152</v>
      </c>
      <c r="E52" s="560">
        <v>4200</v>
      </c>
      <c r="F52" s="513"/>
      <c r="G52" s="513"/>
      <c r="H52" s="513"/>
      <c r="I52" s="513"/>
      <c r="J52" s="513"/>
      <c r="K52" s="513"/>
      <c r="L52" s="513"/>
      <c r="M52" s="513"/>
      <c r="N52" s="513"/>
      <c r="O52" s="513"/>
      <c r="P52" s="513"/>
      <c r="Q52" s="513"/>
      <c r="R52" s="513"/>
      <c r="S52" s="513"/>
    </row>
    <row r="53" spans="1:19" ht="12.6" customHeight="1">
      <c r="A53" s="542" t="s">
        <v>1273</v>
      </c>
      <c r="B53" s="555">
        <v>225</v>
      </c>
      <c r="C53" s="561">
        <v>272</v>
      </c>
      <c r="D53" s="528">
        <v>887</v>
      </c>
      <c r="E53" s="561">
        <v>2000</v>
      </c>
      <c r="F53" s="513"/>
      <c r="G53" s="513"/>
      <c r="H53" s="513"/>
      <c r="I53" s="513"/>
      <c r="J53" s="513"/>
      <c r="K53" s="513"/>
      <c r="L53" s="513"/>
      <c r="M53" s="513"/>
      <c r="N53" s="513"/>
      <c r="O53" s="513"/>
      <c r="P53" s="513"/>
      <c r="Q53" s="513"/>
      <c r="R53" s="513"/>
      <c r="S53" s="513"/>
    </row>
    <row r="54" spans="1:19" ht="12.6" customHeight="1">
      <c r="A54" s="542" t="s">
        <v>1276</v>
      </c>
      <c r="B54" s="555">
        <v>230</v>
      </c>
      <c r="C54" s="561">
        <v>118</v>
      </c>
      <c r="D54" s="528">
        <v>94</v>
      </c>
      <c r="E54" s="561">
        <v>250</v>
      </c>
      <c r="F54" s="513"/>
      <c r="G54" s="513"/>
      <c r="H54" s="513"/>
      <c r="I54" s="513"/>
      <c r="J54" s="513"/>
      <c r="K54" s="513"/>
      <c r="L54" s="513"/>
      <c r="M54" s="513"/>
      <c r="N54" s="513"/>
      <c r="O54" s="513"/>
      <c r="P54" s="513"/>
      <c r="Q54" s="513"/>
      <c r="R54" s="513"/>
      <c r="S54" s="513"/>
    </row>
    <row r="55" spans="1:19" ht="12.6" customHeight="1">
      <c r="A55" s="526" t="s">
        <v>1439</v>
      </c>
      <c r="B55" s="557">
        <v>235</v>
      </c>
      <c r="C55" s="2449">
        <v>15567</v>
      </c>
      <c r="D55" s="562">
        <v>19401</v>
      </c>
      <c r="E55" s="2449">
        <v>20000</v>
      </c>
      <c r="F55" s="513"/>
      <c r="G55" s="513"/>
      <c r="H55" s="513"/>
      <c r="I55" s="513"/>
      <c r="J55" s="513"/>
      <c r="K55" s="513"/>
      <c r="L55" s="513"/>
      <c r="M55" s="513"/>
      <c r="N55" s="513"/>
      <c r="O55" s="513"/>
      <c r="P55" s="513"/>
      <c r="Q55" s="513"/>
      <c r="R55" s="513"/>
      <c r="S55" s="513"/>
    </row>
    <row r="56" spans="1:19" ht="12.6" customHeight="1">
      <c r="A56" s="2895" t="s">
        <v>711</v>
      </c>
      <c r="B56" s="2910">
        <v>237</v>
      </c>
      <c r="C56" s="2449"/>
      <c r="D56" s="562"/>
      <c r="E56" s="2449"/>
      <c r="F56" s="513"/>
      <c r="G56" s="513"/>
      <c r="H56" s="513"/>
      <c r="I56" s="513"/>
      <c r="J56" s="513"/>
      <c r="K56" s="513"/>
      <c r="L56" s="513"/>
      <c r="M56" s="513"/>
      <c r="N56" s="513"/>
      <c r="O56" s="513"/>
      <c r="P56" s="513"/>
      <c r="Q56" s="513"/>
      <c r="R56" s="513"/>
      <c r="S56" s="513"/>
    </row>
    <row r="57" spans="1:19" ht="12.6" customHeight="1">
      <c r="A57" s="526" t="s">
        <v>1282</v>
      </c>
      <c r="B57" s="557"/>
      <c r="C57" s="547"/>
      <c r="D57" s="534"/>
      <c r="E57" s="547"/>
      <c r="F57" s="513"/>
      <c r="G57" s="513"/>
      <c r="H57" s="513"/>
      <c r="I57" s="513"/>
      <c r="J57" s="513"/>
      <c r="K57" s="513"/>
      <c r="L57" s="513"/>
      <c r="M57" s="513"/>
      <c r="N57" s="513"/>
      <c r="O57" s="513"/>
      <c r="P57" s="513"/>
      <c r="Q57" s="513"/>
      <c r="R57" s="513"/>
      <c r="S57" s="513"/>
    </row>
    <row r="58" spans="1:19" ht="12.6" customHeight="1">
      <c r="A58" s="536" t="s">
        <v>1283</v>
      </c>
      <c r="B58" s="558"/>
      <c r="C58" s="550"/>
      <c r="D58" s="535"/>
      <c r="E58" s="550"/>
      <c r="F58" s="513"/>
      <c r="G58" s="513"/>
      <c r="H58" s="513"/>
      <c r="I58" s="513"/>
      <c r="J58" s="513"/>
      <c r="K58" s="513"/>
      <c r="L58" s="513"/>
      <c r="M58" s="513"/>
      <c r="N58" s="513"/>
      <c r="O58" s="513"/>
      <c r="P58" s="513"/>
      <c r="Q58" s="513"/>
      <c r="R58" s="513"/>
      <c r="S58" s="513"/>
    </row>
    <row r="59" spans="1:19" ht="12.6" customHeight="1">
      <c r="A59" s="537" t="s">
        <v>1284</v>
      </c>
      <c r="B59" s="559">
        <v>240</v>
      </c>
      <c r="C59" s="560"/>
      <c r="D59" s="531"/>
      <c r="E59" s="560"/>
      <c r="F59" s="513"/>
      <c r="G59" s="513"/>
      <c r="H59" s="513"/>
      <c r="I59" s="513"/>
      <c r="J59" s="513"/>
      <c r="K59" s="513"/>
      <c r="L59" s="513"/>
      <c r="M59" s="513"/>
      <c r="N59" s="513"/>
      <c r="O59" s="513"/>
      <c r="P59" s="513"/>
      <c r="Q59" s="513"/>
      <c r="R59" s="513"/>
      <c r="S59" s="513"/>
    </row>
    <row r="60" spans="1:19" ht="12.6" customHeight="1">
      <c r="A60" s="526" t="s">
        <v>1285</v>
      </c>
      <c r="B60" s="557">
        <v>245</v>
      </c>
      <c r="C60" s="2449"/>
      <c r="D60" s="562"/>
      <c r="E60" s="2449"/>
      <c r="F60" s="513"/>
      <c r="G60" s="513"/>
      <c r="H60" s="513"/>
      <c r="I60" s="513"/>
      <c r="J60" s="513"/>
      <c r="K60" s="513"/>
      <c r="L60" s="513"/>
      <c r="M60" s="513"/>
      <c r="N60" s="513"/>
      <c r="O60" s="513"/>
      <c r="P60" s="513"/>
      <c r="Q60" s="513"/>
      <c r="R60" s="513"/>
      <c r="S60" s="513"/>
    </row>
    <row r="61" spans="1:19" s="513" customFormat="1" ht="12.6" customHeight="1">
      <c r="A61" s="542" t="s">
        <v>1286</v>
      </c>
      <c r="B61" s="555">
        <v>250</v>
      </c>
      <c r="C61" s="561"/>
      <c r="D61" s="528"/>
      <c r="E61" s="561"/>
    </row>
    <row r="62" spans="1:19" s="513" customFormat="1" ht="12.6" customHeight="1">
      <c r="A62" s="542" t="s">
        <v>1287</v>
      </c>
      <c r="B62" s="555">
        <v>255</v>
      </c>
      <c r="C62" s="561"/>
      <c r="D62" s="528"/>
      <c r="E62" s="561"/>
      <c r="F62" s="512"/>
    </row>
    <row r="63" spans="1:19" s="513" customFormat="1" ht="12.6" customHeight="1">
      <c r="A63" s="526" t="s">
        <v>1288</v>
      </c>
      <c r="B63" s="558"/>
      <c r="C63" s="547"/>
      <c r="D63" s="535"/>
      <c r="E63" s="547"/>
      <c r="F63" s="512"/>
    </row>
    <row r="64" spans="1:19" s="513" customFormat="1" ht="12.6" customHeight="1">
      <c r="A64" s="537" t="s">
        <v>1434</v>
      </c>
      <c r="B64" s="559">
        <v>260</v>
      </c>
      <c r="C64" s="560">
        <v>9203</v>
      </c>
      <c r="D64" s="531">
        <v>8488</v>
      </c>
      <c r="E64" s="560">
        <v>10000</v>
      </c>
      <c r="F64" s="512"/>
    </row>
    <row r="65" spans="1:6" s="513" customFormat="1" ht="12.6" customHeight="1">
      <c r="A65" s="542" t="s">
        <v>1290</v>
      </c>
      <c r="B65" s="555">
        <v>265</v>
      </c>
      <c r="C65" s="561">
        <v>5661</v>
      </c>
      <c r="D65" s="528">
        <v>1050</v>
      </c>
      <c r="E65" s="561">
        <v>5000</v>
      </c>
      <c r="F65" s="512"/>
    </row>
    <row r="66" spans="1:6" s="513" customFormat="1" ht="12.6" customHeight="1">
      <c r="A66" s="2911" t="s">
        <v>1256</v>
      </c>
      <c r="B66" s="2912">
        <v>267</v>
      </c>
      <c r="C66" s="561">
        <v>3385</v>
      </c>
      <c r="D66" s="528">
        <v>5542</v>
      </c>
      <c r="E66" s="561">
        <v>6000</v>
      </c>
      <c r="F66" s="512"/>
    </row>
    <row r="67" spans="1:6" s="513" customFormat="1" ht="12.6" customHeight="1">
      <c r="A67" s="542" t="s">
        <v>1291</v>
      </c>
      <c r="B67" s="555">
        <v>270</v>
      </c>
      <c r="C67" s="561"/>
      <c r="D67" s="528"/>
      <c r="E67" s="561"/>
      <c r="F67" s="512"/>
    </row>
    <row r="68" spans="1:6" s="513" customFormat="1" ht="12.6" customHeight="1">
      <c r="A68" s="537" t="s">
        <v>1292</v>
      </c>
      <c r="B68" s="559">
        <v>275</v>
      </c>
      <c r="C68" s="560"/>
      <c r="D68" s="531"/>
      <c r="E68" s="560"/>
      <c r="F68" s="512"/>
    </row>
    <row r="69" spans="1:6" s="513" customFormat="1" ht="12.6" customHeight="1">
      <c r="A69" s="542" t="s">
        <v>1293</v>
      </c>
      <c r="B69" s="555">
        <v>280</v>
      </c>
      <c r="C69" s="561">
        <v>17803</v>
      </c>
      <c r="D69" s="528">
        <v>24352</v>
      </c>
      <c r="E69" s="561">
        <v>24645</v>
      </c>
      <c r="F69" s="512"/>
    </row>
    <row r="70" spans="1:6" s="513" customFormat="1" ht="12.6" customHeight="1">
      <c r="A70" s="512"/>
      <c r="B70" s="512"/>
      <c r="C70" s="512"/>
      <c r="D70" s="512"/>
      <c r="E70" s="512"/>
      <c r="F70" s="512"/>
    </row>
    <row r="71" spans="1:6" s="513" customFormat="1" ht="12.6" customHeight="1">
      <c r="A71" s="5282"/>
      <c r="B71" s="5282"/>
      <c r="C71" s="5282"/>
      <c r="D71" s="5282"/>
      <c r="E71" s="5282"/>
      <c r="F71" s="512"/>
    </row>
    <row r="72" spans="1:6" s="513" customFormat="1" ht="12.6" customHeight="1">
      <c r="A72" s="510" t="s">
        <v>1019</v>
      </c>
      <c r="B72" s="511">
        <f>B1</f>
        <v>270</v>
      </c>
      <c r="C72" s="3017"/>
      <c r="D72" s="512"/>
      <c r="E72" s="510" t="s">
        <v>1020</v>
      </c>
      <c r="F72" s="512"/>
    </row>
    <row r="73" spans="1:6" s="513" customFormat="1" ht="12.6" customHeight="1">
      <c r="A73" s="512"/>
      <c r="B73" s="511"/>
      <c r="C73" s="512"/>
      <c r="D73" s="512"/>
      <c r="E73" s="510" t="s">
        <v>1212</v>
      </c>
      <c r="F73" s="512"/>
    </row>
    <row r="74" spans="1:6" s="513" customFormat="1" ht="12.6" customHeight="1">
      <c r="A74" s="512"/>
      <c r="B74" s="511"/>
      <c r="C74" s="512"/>
      <c r="D74" s="512"/>
      <c r="E74" s="510" t="str">
        <f>E3</f>
        <v>2016-2017</v>
      </c>
      <c r="F74" s="512"/>
    </row>
    <row r="75" spans="1:6" s="513" customFormat="1" ht="12.6" customHeight="1">
      <c r="A75" s="512"/>
      <c r="B75" s="511"/>
      <c r="C75" s="512"/>
      <c r="D75" s="512"/>
      <c r="E75" s="512"/>
      <c r="F75" s="512"/>
    </row>
    <row r="76" spans="1:6" s="513" customFormat="1" ht="12.6" customHeight="1">
      <c r="A76" s="512"/>
      <c r="B76" s="511"/>
      <c r="C76" s="515" t="s">
        <v>1213</v>
      </c>
      <c r="D76" s="515" t="s">
        <v>1213</v>
      </c>
      <c r="E76" s="515" t="s">
        <v>1213</v>
      </c>
      <c r="F76" s="512"/>
    </row>
    <row r="77" spans="1:6" s="513" customFormat="1" ht="12.6" customHeight="1">
      <c r="A77" s="512"/>
      <c r="B77" s="517" t="s">
        <v>1045</v>
      </c>
      <c r="C77" s="518" t="str">
        <f>C6</f>
        <v>2014-2015</v>
      </c>
      <c r="D77" s="518" t="str">
        <f>D6</f>
        <v>2015-2016</v>
      </c>
      <c r="E77" s="518" t="str">
        <f>E6</f>
        <v>2016-2017</v>
      </c>
      <c r="F77" s="512"/>
    </row>
    <row r="78" spans="1:6" s="513" customFormat="1" ht="12.6" customHeight="1">
      <c r="A78" s="516" t="s">
        <v>1400</v>
      </c>
      <c r="B78" s="520">
        <v>8</v>
      </c>
      <c r="C78" s="521" t="s">
        <v>1139</v>
      </c>
      <c r="D78" s="521" t="s">
        <v>1139</v>
      </c>
      <c r="E78" s="521" t="s">
        <v>1215</v>
      </c>
      <c r="F78" s="512"/>
    </row>
    <row r="79" spans="1:6" s="513" customFormat="1" ht="12.6" customHeight="1">
      <c r="A79" s="515" t="s">
        <v>1401</v>
      </c>
      <c r="B79" s="524" t="s">
        <v>1051</v>
      </c>
      <c r="C79" s="525">
        <v>1</v>
      </c>
      <c r="D79" s="525">
        <v>2</v>
      </c>
      <c r="E79" s="525">
        <v>3</v>
      </c>
      <c r="F79" s="512"/>
    </row>
    <row r="80" spans="1:6" s="513" customFormat="1" ht="12.6" customHeight="1">
      <c r="A80" s="526" t="s">
        <v>1294</v>
      </c>
      <c r="B80" s="558"/>
      <c r="C80" s="536"/>
      <c r="D80" s="535"/>
      <c r="E80" s="550"/>
      <c r="F80" s="512"/>
    </row>
    <row r="81" spans="1:19" s="513" customFormat="1" ht="12.6" customHeight="1">
      <c r="A81" s="536" t="s">
        <v>1295</v>
      </c>
      <c r="B81" s="558"/>
      <c r="C81" s="536"/>
      <c r="D81" s="535"/>
      <c r="E81" s="550"/>
      <c r="F81" s="512"/>
    </row>
    <row r="82" spans="1:19" s="513" customFormat="1" ht="12.6" customHeight="1">
      <c r="A82" s="536" t="s">
        <v>1268</v>
      </c>
      <c r="B82" s="558"/>
      <c r="C82" s="536"/>
      <c r="D82" s="535"/>
      <c r="E82" s="550"/>
      <c r="F82" s="512"/>
    </row>
    <row r="83" spans="1:19" s="513" customFormat="1" ht="12.6" customHeight="1">
      <c r="A83" s="537" t="s">
        <v>1269</v>
      </c>
      <c r="B83" s="559">
        <v>285</v>
      </c>
      <c r="C83" s="560"/>
      <c r="D83" s="531"/>
      <c r="E83" s="560"/>
      <c r="F83" s="512"/>
    </row>
    <row r="84" spans="1:19" s="513" customFormat="1" ht="12.6" customHeight="1">
      <c r="A84" s="542" t="s">
        <v>1435</v>
      </c>
      <c r="B84" s="555">
        <v>290</v>
      </c>
      <c r="C84" s="561">
        <v>12513</v>
      </c>
      <c r="D84" s="528"/>
      <c r="E84" s="561"/>
      <c r="F84" s="512"/>
    </row>
    <row r="85" spans="1:19" s="513" customFormat="1" ht="12.6" customHeight="1">
      <c r="A85" s="526" t="s">
        <v>1271</v>
      </c>
      <c r="B85" s="557"/>
      <c r="C85" s="547"/>
      <c r="D85" s="534"/>
      <c r="E85" s="547"/>
    </row>
    <row r="86" spans="1:19" s="513" customFormat="1" ht="12.6" customHeight="1">
      <c r="A86" s="537" t="s">
        <v>1272</v>
      </c>
      <c r="B86" s="559">
        <v>295</v>
      </c>
      <c r="C86" s="560"/>
      <c r="D86" s="531"/>
      <c r="E86" s="560"/>
    </row>
    <row r="87" spans="1:19" s="513" customFormat="1" ht="12.6" customHeight="1">
      <c r="A87" s="537" t="s">
        <v>1273</v>
      </c>
      <c r="B87" s="559">
        <v>300</v>
      </c>
      <c r="C87" s="560"/>
      <c r="D87" s="531"/>
      <c r="E87" s="560"/>
    </row>
    <row r="88" spans="1:19" s="513" customFormat="1" ht="12.6" customHeight="1">
      <c r="A88" s="542" t="s">
        <v>1276</v>
      </c>
      <c r="B88" s="555">
        <v>305</v>
      </c>
      <c r="C88" s="561">
        <v>57</v>
      </c>
      <c r="D88" s="528"/>
      <c r="E88" s="561"/>
    </row>
    <row r="89" spans="1:19" s="513" customFormat="1" ht="12.6" customHeight="1">
      <c r="A89" s="526" t="s">
        <v>1437</v>
      </c>
      <c r="B89" s="557">
        <v>310</v>
      </c>
      <c r="C89" s="2449"/>
      <c r="D89" s="562"/>
      <c r="E89" s="2449"/>
    </row>
    <row r="90" spans="1:19" s="513" customFormat="1" ht="12.6" customHeight="1">
      <c r="A90" s="2895" t="s">
        <v>1303</v>
      </c>
      <c r="B90" s="2910">
        <v>313</v>
      </c>
      <c r="C90" s="2449"/>
      <c r="D90" s="562"/>
      <c r="E90" s="2449"/>
    </row>
    <row r="91" spans="1:19" s="513" customFormat="1" ht="12.6" customHeight="1">
      <c r="A91" s="542" t="s">
        <v>1282</v>
      </c>
      <c r="B91" s="555">
        <v>315</v>
      </c>
      <c r="C91" s="561"/>
      <c r="D91" s="528"/>
      <c r="E91" s="561"/>
    </row>
    <row r="92" spans="1:19" s="513" customFormat="1" ht="12.6" customHeight="1">
      <c r="A92" s="537" t="s">
        <v>1288</v>
      </c>
      <c r="B92" s="559">
        <v>320</v>
      </c>
      <c r="C92" s="560"/>
      <c r="D92" s="531"/>
      <c r="E92" s="560"/>
    </row>
    <row r="93" spans="1:19" s="513" customFormat="1" ht="12.6" customHeight="1">
      <c r="A93" s="526" t="s">
        <v>1292</v>
      </c>
      <c r="B93" s="557">
        <v>325</v>
      </c>
      <c r="C93" s="2449"/>
      <c r="D93" s="562"/>
      <c r="E93" s="2449"/>
    </row>
    <row r="94" spans="1:19" ht="12.6" customHeight="1">
      <c r="A94" s="542" t="s">
        <v>1293</v>
      </c>
      <c r="B94" s="555">
        <v>330</v>
      </c>
      <c r="C94" s="561"/>
      <c r="D94" s="528"/>
      <c r="E94" s="561"/>
      <c r="F94" s="513"/>
      <c r="G94" s="513"/>
      <c r="H94" s="513"/>
      <c r="I94" s="513"/>
      <c r="J94" s="513"/>
      <c r="K94" s="513"/>
      <c r="L94" s="513"/>
      <c r="M94" s="513"/>
      <c r="N94" s="513"/>
      <c r="O94" s="513"/>
      <c r="P94" s="513"/>
      <c r="Q94" s="513"/>
      <c r="R94" s="513"/>
      <c r="S94" s="513"/>
    </row>
    <row r="95" spans="1:19" ht="12.6" customHeight="1">
      <c r="A95" s="526" t="s">
        <v>1296</v>
      </c>
      <c r="B95" s="557"/>
      <c r="C95" s="547"/>
      <c r="D95" s="534"/>
      <c r="E95" s="547"/>
      <c r="F95" s="513"/>
      <c r="G95" s="513"/>
      <c r="H95" s="513"/>
      <c r="I95" s="513"/>
      <c r="J95" s="513"/>
      <c r="K95" s="513"/>
      <c r="L95" s="513"/>
      <c r="M95" s="513"/>
      <c r="N95" s="513"/>
      <c r="O95" s="513"/>
      <c r="P95" s="513"/>
      <c r="Q95" s="513"/>
      <c r="R95" s="513"/>
      <c r="S95" s="513"/>
    </row>
    <row r="96" spans="1:19" ht="12.6" customHeight="1">
      <c r="A96" s="536" t="s">
        <v>1268</v>
      </c>
      <c r="B96" s="558"/>
      <c r="C96" s="550"/>
      <c r="D96" s="535"/>
      <c r="E96" s="550"/>
      <c r="F96" s="513"/>
      <c r="G96" s="513"/>
      <c r="H96" s="513"/>
      <c r="I96" s="513"/>
      <c r="J96" s="513"/>
      <c r="K96" s="513"/>
      <c r="L96" s="513"/>
      <c r="M96" s="513"/>
      <c r="N96" s="513"/>
      <c r="O96" s="513"/>
      <c r="P96" s="513"/>
      <c r="Q96" s="513"/>
      <c r="R96" s="513"/>
      <c r="S96" s="513"/>
    </row>
    <row r="97" spans="1:19" ht="12.6" customHeight="1">
      <c r="A97" s="537" t="s">
        <v>1269</v>
      </c>
      <c r="B97" s="559">
        <v>335</v>
      </c>
      <c r="C97" s="560"/>
      <c r="D97" s="531"/>
      <c r="E97" s="560"/>
      <c r="F97" s="513"/>
      <c r="G97" s="513"/>
      <c r="H97" s="513"/>
      <c r="I97" s="513"/>
      <c r="J97" s="513"/>
      <c r="K97" s="513"/>
      <c r="L97" s="513"/>
      <c r="M97" s="513"/>
      <c r="N97" s="513"/>
      <c r="O97" s="513"/>
      <c r="P97" s="513"/>
      <c r="Q97" s="513"/>
      <c r="R97" s="513"/>
      <c r="S97" s="513"/>
    </row>
    <row r="98" spans="1:19" ht="12.6" customHeight="1">
      <c r="A98" s="542" t="s">
        <v>1270</v>
      </c>
      <c r="B98" s="555">
        <v>340</v>
      </c>
      <c r="C98" s="561"/>
      <c r="D98" s="528"/>
      <c r="E98" s="561"/>
      <c r="F98" s="513"/>
      <c r="G98" s="513"/>
      <c r="H98" s="513"/>
      <c r="I98" s="513"/>
      <c r="J98" s="513"/>
      <c r="K98" s="513"/>
      <c r="L98" s="513"/>
      <c r="M98" s="513"/>
      <c r="N98" s="513"/>
      <c r="O98" s="513"/>
      <c r="P98" s="513"/>
      <c r="Q98" s="513"/>
      <c r="R98" s="513"/>
      <c r="S98" s="513"/>
    </row>
    <row r="99" spans="1:19" ht="12.6" customHeight="1">
      <c r="A99" s="526" t="s">
        <v>1271</v>
      </c>
      <c r="B99" s="557"/>
      <c r="C99" s="547"/>
      <c r="D99" s="534"/>
      <c r="E99" s="547"/>
      <c r="F99" s="513"/>
      <c r="G99" s="513"/>
      <c r="H99" s="513"/>
      <c r="I99" s="513"/>
      <c r="J99" s="513"/>
      <c r="K99" s="513"/>
      <c r="L99" s="513"/>
      <c r="M99" s="513"/>
      <c r="N99" s="513"/>
      <c r="O99" s="513"/>
      <c r="P99" s="513"/>
      <c r="Q99" s="513"/>
      <c r="R99" s="513"/>
      <c r="S99" s="513"/>
    </row>
    <row r="100" spans="1:19" ht="12.6" customHeight="1">
      <c r="A100" s="537" t="s">
        <v>1272</v>
      </c>
      <c r="B100" s="559">
        <v>345</v>
      </c>
      <c r="C100" s="560"/>
      <c r="D100" s="531"/>
      <c r="E100" s="560"/>
      <c r="F100" s="513"/>
      <c r="G100" s="513"/>
      <c r="H100" s="513"/>
      <c r="I100" s="513"/>
      <c r="J100" s="513"/>
      <c r="K100" s="513"/>
      <c r="L100" s="513"/>
      <c r="M100" s="513"/>
      <c r="N100" s="513"/>
      <c r="O100" s="513"/>
      <c r="P100" s="513"/>
      <c r="Q100" s="513"/>
      <c r="R100" s="513"/>
      <c r="S100" s="513"/>
    </row>
    <row r="101" spans="1:19" ht="12.6" customHeight="1">
      <c r="A101" s="542" t="s">
        <v>1273</v>
      </c>
      <c r="B101" s="555">
        <v>350</v>
      </c>
      <c r="C101" s="561"/>
      <c r="D101" s="528"/>
      <c r="E101" s="561"/>
      <c r="F101" s="513"/>
      <c r="G101" s="513"/>
      <c r="H101" s="513"/>
      <c r="I101" s="513"/>
      <c r="J101" s="513"/>
      <c r="K101" s="513"/>
      <c r="L101" s="513"/>
      <c r="M101" s="513"/>
      <c r="N101" s="513"/>
      <c r="O101" s="513"/>
      <c r="P101" s="513"/>
      <c r="Q101" s="513"/>
      <c r="R101" s="513"/>
      <c r="S101" s="513"/>
    </row>
    <row r="102" spans="1:19" ht="12.6" customHeight="1">
      <c r="A102" s="542" t="s">
        <v>1276</v>
      </c>
      <c r="B102" s="555">
        <v>355</v>
      </c>
      <c r="C102" s="561"/>
      <c r="D102" s="528"/>
      <c r="E102" s="561"/>
      <c r="F102" s="513"/>
      <c r="G102" s="513"/>
      <c r="H102" s="513"/>
      <c r="I102" s="513"/>
      <c r="J102" s="513"/>
      <c r="K102" s="513"/>
      <c r="L102" s="513"/>
      <c r="M102" s="513"/>
      <c r="N102" s="513"/>
      <c r="O102" s="513"/>
      <c r="P102" s="513"/>
      <c r="Q102" s="513"/>
      <c r="R102" s="513"/>
      <c r="S102" s="513"/>
    </row>
    <row r="103" spans="1:19" ht="12.6" customHeight="1">
      <c r="A103" s="526" t="s">
        <v>1437</v>
      </c>
      <c r="B103" s="557">
        <v>360</v>
      </c>
      <c r="C103" s="2449"/>
      <c r="D103" s="562"/>
      <c r="E103" s="2449"/>
      <c r="F103" s="513"/>
      <c r="G103" s="513"/>
      <c r="H103" s="513"/>
      <c r="I103" s="513"/>
      <c r="J103" s="513"/>
      <c r="K103" s="513"/>
      <c r="L103" s="513"/>
      <c r="M103" s="513"/>
      <c r="N103" s="513"/>
      <c r="O103" s="513"/>
      <c r="P103" s="513"/>
      <c r="Q103" s="513"/>
      <c r="R103" s="513"/>
      <c r="S103" s="513"/>
    </row>
    <row r="104" spans="1:19" ht="12.6" customHeight="1">
      <c r="A104" s="2895" t="s">
        <v>1303</v>
      </c>
      <c r="B104" s="2910">
        <v>363</v>
      </c>
      <c r="C104" s="2449"/>
      <c r="D104" s="562"/>
      <c r="E104" s="2449"/>
      <c r="F104" s="513"/>
      <c r="G104" s="513"/>
      <c r="H104" s="513"/>
      <c r="I104" s="513"/>
      <c r="J104" s="513"/>
      <c r="K104" s="513"/>
      <c r="L104" s="513"/>
      <c r="M104" s="513"/>
      <c r="N104" s="513"/>
      <c r="O104" s="513"/>
      <c r="P104" s="513"/>
      <c r="Q104" s="513"/>
      <c r="R104" s="513"/>
      <c r="S104" s="513"/>
    </row>
    <row r="105" spans="1:19" ht="12.6" customHeight="1">
      <c r="A105" s="542" t="s">
        <v>1282</v>
      </c>
      <c r="B105" s="555">
        <v>365</v>
      </c>
      <c r="C105" s="561"/>
      <c r="D105" s="528"/>
      <c r="E105" s="561"/>
      <c r="F105" s="513"/>
      <c r="G105" s="513"/>
      <c r="H105" s="513"/>
      <c r="I105" s="513"/>
      <c r="J105" s="513"/>
      <c r="K105" s="513"/>
      <c r="L105" s="513"/>
      <c r="M105" s="513"/>
      <c r="N105" s="513"/>
      <c r="O105" s="513"/>
      <c r="P105" s="513"/>
      <c r="Q105" s="513"/>
      <c r="R105" s="513"/>
      <c r="S105" s="513"/>
    </row>
    <row r="106" spans="1:19" ht="12.6" customHeight="1">
      <c r="A106" s="526" t="s">
        <v>1288</v>
      </c>
      <c r="B106" s="557"/>
      <c r="C106" s="547"/>
      <c r="D106" s="534"/>
      <c r="E106" s="547"/>
      <c r="F106" s="513"/>
      <c r="G106" s="513"/>
      <c r="H106" s="513"/>
      <c r="I106" s="513"/>
      <c r="J106" s="513"/>
      <c r="K106" s="513"/>
      <c r="L106" s="513"/>
      <c r="M106" s="513"/>
      <c r="N106" s="513"/>
      <c r="O106" s="513"/>
      <c r="P106" s="513"/>
      <c r="Q106" s="513"/>
      <c r="R106" s="513"/>
      <c r="S106" s="513"/>
    </row>
    <row r="107" spans="1:19" ht="12.6" customHeight="1">
      <c r="A107" s="536" t="s">
        <v>1438</v>
      </c>
      <c r="B107" s="558">
        <v>370</v>
      </c>
      <c r="C107" s="2450"/>
      <c r="D107" s="544"/>
      <c r="E107" s="2450"/>
      <c r="F107" s="513"/>
      <c r="G107" s="513"/>
      <c r="H107" s="513"/>
      <c r="I107" s="513"/>
      <c r="J107" s="513"/>
      <c r="K107" s="513"/>
      <c r="L107" s="513"/>
      <c r="M107" s="513"/>
      <c r="N107" s="513"/>
      <c r="O107" s="513"/>
      <c r="P107" s="513"/>
      <c r="Q107" s="513"/>
      <c r="R107" s="513"/>
      <c r="S107" s="513"/>
    </row>
    <row r="108" spans="1:19" ht="12.6" customHeight="1">
      <c r="A108" s="526" t="s">
        <v>795</v>
      </c>
      <c r="B108" s="557">
        <v>375</v>
      </c>
      <c r="C108" s="2449"/>
      <c r="D108" s="562"/>
      <c r="E108" s="2449"/>
      <c r="F108" s="513"/>
      <c r="G108" s="513"/>
      <c r="H108" s="513"/>
      <c r="I108" s="513"/>
      <c r="J108" s="513"/>
      <c r="K108" s="513"/>
      <c r="L108" s="513"/>
      <c r="M108" s="513"/>
      <c r="N108" s="513"/>
      <c r="O108" s="513"/>
      <c r="P108" s="513"/>
      <c r="Q108" s="513"/>
      <c r="R108" s="513"/>
      <c r="S108" s="513"/>
    </row>
    <row r="109" spans="1:19" ht="12.6" customHeight="1">
      <c r="A109" s="542" t="s">
        <v>1291</v>
      </c>
      <c r="B109" s="555">
        <v>380</v>
      </c>
      <c r="C109" s="561"/>
      <c r="D109" s="528"/>
      <c r="E109" s="561"/>
      <c r="F109" s="513"/>
      <c r="G109" s="513"/>
      <c r="H109" s="513"/>
      <c r="I109" s="513"/>
      <c r="J109" s="513"/>
      <c r="K109" s="513"/>
      <c r="L109" s="513"/>
      <c r="M109" s="513"/>
      <c r="N109" s="513"/>
      <c r="O109" s="513"/>
      <c r="P109" s="513"/>
      <c r="Q109" s="513"/>
      <c r="R109" s="513"/>
      <c r="S109" s="513"/>
    </row>
    <row r="110" spans="1:19" ht="12.6" customHeight="1">
      <c r="A110" s="542" t="s">
        <v>1292</v>
      </c>
      <c r="B110" s="555">
        <v>385</v>
      </c>
      <c r="C110" s="561"/>
      <c r="D110" s="528"/>
      <c r="E110" s="561"/>
      <c r="F110" s="513"/>
      <c r="G110" s="513"/>
      <c r="H110" s="513"/>
      <c r="I110" s="513"/>
      <c r="J110" s="513"/>
      <c r="K110" s="513"/>
      <c r="L110" s="513"/>
      <c r="M110" s="513"/>
      <c r="N110" s="513"/>
      <c r="O110" s="513"/>
      <c r="P110" s="513"/>
      <c r="Q110" s="513"/>
      <c r="R110" s="513"/>
      <c r="S110" s="513"/>
    </row>
    <row r="111" spans="1:19" ht="12.6" customHeight="1">
      <c r="A111" s="542" t="s">
        <v>1293</v>
      </c>
      <c r="B111" s="555">
        <v>390</v>
      </c>
      <c r="C111" s="561"/>
      <c r="D111" s="528"/>
      <c r="E111" s="561"/>
      <c r="F111" s="513"/>
      <c r="G111" s="513"/>
      <c r="H111" s="513"/>
      <c r="I111" s="513"/>
      <c r="J111" s="513"/>
      <c r="K111" s="513"/>
      <c r="L111" s="513"/>
      <c r="M111" s="513"/>
      <c r="N111" s="513"/>
      <c r="O111" s="513"/>
      <c r="P111" s="513"/>
      <c r="Q111" s="513"/>
      <c r="R111" s="513"/>
      <c r="S111" s="513"/>
    </row>
    <row r="112" spans="1:19" ht="12.6" customHeight="1">
      <c r="A112" s="526" t="s">
        <v>1302</v>
      </c>
      <c r="B112" s="557"/>
      <c r="C112" s="547"/>
      <c r="D112" s="534"/>
      <c r="E112" s="547"/>
      <c r="F112" s="513"/>
      <c r="G112" s="513"/>
      <c r="H112" s="513"/>
      <c r="I112" s="513"/>
      <c r="J112" s="513"/>
      <c r="K112" s="513"/>
      <c r="L112" s="513"/>
      <c r="M112" s="513"/>
      <c r="N112" s="513"/>
      <c r="O112" s="513"/>
      <c r="P112" s="513"/>
      <c r="Q112" s="513"/>
      <c r="R112" s="513"/>
      <c r="S112" s="513"/>
    </row>
    <row r="113" spans="1:19" ht="12.6" customHeight="1">
      <c r="A113" s="536" t="s">
        <v>1268</v>
      </c>
      <c r="B113" s="558"/>
      <c r="C113" s="550"/>
      <c r="D113" s="535"/>
      <c r="E113" s="550"/>
      <c r="F113" s="513"/>
      <c r="G113" s="513"/>
      <c r="H113" s="513"/>
      <c r="I113" s="513"/>
      <c r="J113" s="513"/>
      <c r="K113" s="513"/>
      <c r="L113" s="513"/>
      <c r="M113" s="513"/>
      <c r="N113" s="513"/>
      <c r="O113" s="513"/>
      <c r="P113" s="513"/>
      <c r="Q113" s="513"/>
      <c r="R113" s="513"/>
      <c r="S113" s="513"/>
    </row>
    <row r="114" spans="1:19" ht="12.6" customHeight="1">
      <c r="A114" s="537" t="s">
        <v>1269</v>
      </c>
      <c r="B114" s="559">
        <v>395</v>
      </c>
      <c r="C114" s="560"/>
      <c r="D114" s="531"/>
      <c r="E114" s="560"/>
      <c r="F114" s="513"/>
      <c r="G114" s="513"/>
      <c r="H114" s="513"/>
      <c r="I114" s="513"/>
      <c r="J114" s="513"/>
      <c r="K114" s="513"/>
      <c r="L114" s="513"/>
      <c r="M114" s="513"/>
      <c r="N114" s="513"/>
      <c r="O114" s="513"/>
      <c r="P114" s="513"/>
      <c r="Q114" s="513"/>
      <c r="R114" s="513"/>
      <c r="S114" s="513"/>
    </row>
    <row r="115" spans="1:19" ht="12.6" customHeight="1">
      <c r="A115" s="542" t="s">
        <v>1270</v>
      </c>
      <c r="B115" s="555">
        <v>400</v>
      </c>
      <c r="C115" s="561"/>
      <c r="D115" s="528"/>
      <c r="E115" s="561"/>
      <c r="F115" s="513"/>
      <c r="G115" s="513"/>
      <c r="H115" s="513"/>
      <c r="I115" s="513"/>
      <c r="J115" s="513"/>
      <c r="K115" s="513"/>
      <c r="L115" s="513"/>
      <c r="M115" s="513"/>
      <c r="N115" s="513"/>
      <c r="O115" s="513"/>
      <c r="P115" s="513"/>
      <c r="Q115" s="513"/>
      <c r="R115" s="513"/>
      <c r="S115" s="513"/>
    </row>
    <row r="116" spans="1:19" ht="12.6" customHeight="1">
      <c r="A116" s="526" t="s">
        <v>1271</v>
      </c>
      <c r="B116" s="557"/>
      <c r="C116" s="547"/>
      <c r="D116" s="534"/>
      <c r="E116" s="547"/>
      <c r="F116" s="513"/>
      <c r="G116" s="513"/>
      <c r="H116" s="513"/>
      <c r="I116" s="513"/>
      <c r="J116" s="513"/>
      <c r="K116" s="513"/>
      <c r="L116" s="513"/>
      <c r="M116" s="513"/>
      <c r="N116" s="513"/>
      <c r="O116" s="513"/>
      <c r="P116" s="513"/>
      <c r="Q116" s="513"/>
      <c r="R116" s="513"/>
      <c r="S116" s="513"/>
    </row>
    <row r="117" spans="1:19" ht="12.6" customHeight="1">
      <c r="A117" s="537" t="s">
        <v>1272</v>
      </c>
      <c r="B117" s="559">
        <v>405</v>
      </c>
      <c r="C117" s="560"/>
      <c r="D117" s="531"/>
      <c r="E117" s="560"/>
      <c r="F117" s="513"/>
      <c r="G117" s="513"/>
      <c r="H117" s="513"/>
      <c r="I117" s="513"/>
      <c r="J117" s="513"/>
      <c r="K117" s="513"/>
      <c r="L117" s="513"/>
      <c r="M117" s="513"/>
      <c r="N117" s="513"/>
      <c r="O117" s="513"/>
      <c r="P117" s="513"/>
      <c r="Q117" s="513"/>
      <c r="R117" s="513"/>
      <c r="S117" s="513"/>
    </row>
    <row r="118" spans="1:19" ht="12.6" customHeight="1">
      <c r="A118" s="542" t="s">
        <v>1273</v>
      </c>
      <c r="B118" s="555">
        <v>410</v>
      </c>
      <c r="C118" s="561"/>
      <c r="D118" s="528"/>
      <c r="E118" s="561"/>
      <c r="F118" s="513"/>
      <c r="G118" s="513"/>
      <c r="H118" s="513"/>
      <c r="I118" s="513"/>
      <c r="J118" s="513"/>
      <c r="K118" s="513"/>
      <c r="L118" s="513"/>
      <c r="M118" s="513"/>
      <c r="N118" s="513"/>
      <c r="O118" s="513"/>
      <c r="P118" s="513"/>
      <c r="Q118" s="513"/>
      <c r="R118" s="513"/>
      <c r="S118" s="513"/>
    </row>
    <row r="119" spans="1:19" ht="12.6" customHeight="1">
      <c r="A119" s="542" t="s">
        <v>1276</v>
      </c>
      <c r="B119" s="555">
        <v>415</v>
      </c>
      <c r="C119" s="561"/>
      <c r="D119" s="528"/>
      <c r="E119" s="561"/>
      <c r="F119" s="513"/>
      <c r="G119" s="513"/>
      <c r="H119" s="513"/>
      <c r="I119" s="513"/>
      <c r="J119" s="513"/>
      <c r="K119" s="513"/>
      <c r="L119" s="513"/>
      <c r="M119" s="513"/>
      <c r="N119" s="513"/>
      <c r="O119" s="513"/>
      <c r="P119" s="513"/>
      <c r="Q119" s="513"/>
      <c r="R119" s="513"/>
      <c r="S119" s="513"/>
    </row>
    <row r="120" spans="1:19" s="513" customFormat="1" ht="12.6" customHeight="1">
      <c r="A120" s="526" t="s">
        <v>1439</v>
      </c>
      <c r="B120" s="557">
        <v>420</v>
      </c>
      <c r="C120" s="2449"/>
      <c r="D120" s="562"/>
      <c r="E120" s="2449"/>
    </row>
    <row r="121" spans="1:19" s="513" customFormat="1" ht="12.6" customHeight="1">
      <c r="A121" s="542" t="s">
        <v>1303</v>
      </c>
      <c r="B121" s="555">
        <v>425</v>
      </c>
      <c r="C121" s="561"/>
      <c r="D121" s="528"/>
      <c r="E121" s="561"/>
      <c r="F121" s="512"/>
    </row>
    <row r="122" spans="1:19" s="513" customFormat="1" ht="12.6" customHeight="1">
      <c r="A122" s="526" t="s">
        <v>1282</v>
      </c>
      <c r="B122" s="557"/>
      <c r="C122" s="547"/>
      <c r="D122" s="534"/>
      <c r="E122" s="547"/>
      <c r="F122" s="512"/>
    </row>
    <row r="123" spans="1:19" s="513" customFormat="1" ht="12.6" customHeight="1">
      <c r="A123" s="537" t="s">
        <v>1304</v>
      </c>
      <c r="B123" s="559">
        <v>430</v>
      </c>
      <c r="C123" s="560"/>
      <c r="D123" s="531"/>
      <c r="E123" s="560"/>
      <c r="F123" s="512"/>
    </row>
    <row r="124" spans="1:19" s="513" customFormat="1" ht="12.6" customHeight="1">
      <c r="A124" s="526" t="s">
        <v>0</v>
      </c>
      <c r="B124" s="557">
        <v>435</v>
      </c>
      <c r="C124" s="2449"/>
      <c r="D124" s="562"/>
      <c r="E124" s="2449"/>
      <c r="F124" s="512"/>
    </row>
    <row r="125" spans="1:19" s="513" customFormat="1" ht="12.6" customHeight="1">
      <c r="A125" s="542" t="s">
        <v>1287</v>
      </c>
      <c r="B125" s="555">
        <v>440</v>
      </c>
      <c r="C125" s="561"/>
      <c r="D125" s="528"/>
      <c r="E125" s="561"/>
      <c r="F125" s="512"/>
    </row>
    <row r="126" spans="1:19" s="513" customFormat="1" ht="12.6" customHeight="1">
      <c r="A126" s="542" t="s">
        <v>1288</v>
      </c>
      <c r="B126" s="555">
        <v>445</v>
      </c>
      <c r="C126" s="561"/>
      <c r="D126" s="528"/>
      <c r="E126" s="561"/>
      <c r="F126" s="512"/>
    </row>
    <row r="127" spans="1:19" s="513" customFormat="1" ht="12.6" customHeight="1">
      <c r="A127" s="542" t="s">
        <v>1292</v>
      </c>
      <c r="B127" s="555">
        <v>450</v>
      </c>
      <c r="C127" s="561"/>
      <c r="D127" s="528"/>
      <c r="E127" s="561"/>
      <c r="F127" s="512"/>
    </row>
    <row r="128" spans="1:19" s="513" customFormat="1" ht="12.6" customHeight="1">
      <c r="A128" s="542" t="s">
        <v>1293</v>
      </c>
      <c r="B128" s="555">
        <v>455</v>
      </c>
      <c r="C128" s="561"/>
      <c r="D128" s="528"/>
      <c r="E128" s="561"/>
      <c r="F128" s="512"/>
    </row>
    <row r="129" spans="1:6" s="513" customFormat="1" ht="12.6" customHeight="1">
      <c r="A129" s="2717"/>
      <c r="B129" s="2718"/>
      <c r="C129" s="2446"/>
      <c r="D129" s="2446"/>
      <c r="E129" s="2446"/>
      <c r="F129" s="512"/>
    </row>
    <row r="130" spans="1:6" s="513" customFormat="1" ht="12.6" customHeight="1">
      <c r="A130" s="563"/>
      <c r="B130" s="563"/>
      <c r="C130" s="563"/>
      <c r="D130" s="563"/>
      <c r="E130" s="563"/>
      <c r="F130" s="512"/>
    </row>
    <row r="131" spans="1:6" s="513" customFormat="1" ht="12.6" customHeight="1">
      <c r="A131" s="510" t="s">
        <v>1019</v>
      </c>
      <c r="B131" s="511">
        <f>B1</f>
        <v>270</v>
      </c>
      <c r="C131" s="512"/>
      <c r="D131" s="512"/>
      <c r="E131" s="510" t="s">
        <v>1020</v>
      </c>
      <c r="F131" s="512"/>
    </row>
    <row r="132" spans="1:6" s="513" customFormat="1" ht="12.6" customHeight="1">
      <c r="A132" s="512"/>
      <c r="B132" s="511"/>
      <c r="C132" s="512"/>
      <c r="D132" s="512"/>
      <c r="E132" s="510" t="s">
        <v>1212</v>
      </c>
      <c r="F132" s="512"/>
    </row>
    <row r="133" spans="1:6" s="513" customFormat="1" ht="12.6" customHeight="1">
      <c r="A133" s="512"/>
      <c r="B133" s="511"/>
      <c r="C133" s="512"/>
      <c r="D133" s="512"/>
      <c r="E133" s="510" t="str">
        <f>E3</f>
        <v>2016-2017</v>
      </c>
      <c r="F133" s="512"/>
    </row>
    <row r="134" spans="1:6" s="513" customFormat="1" ht="12.6" customHeight="1">
      <c r="A134" s="512"/>
      <c r="B134" s="511"/>
      <c r="C134" s="512"/>
      <c r="D134" s="512"/>
      <c r="E134" s="512"/>
      <c r="F134" s="512"/>
    </row>
    <row r="135" spans="1:6" s="513" customFormat="1" ht="12.6" customHeight="1">
      <c r="A135" s="512"/>
      <c r="B135" s="511"/>
      <c r="C135" s="515" t="s">
        <v>1213</v>
      </c>
      <c r="D135" s="515" t="s">
        <v>1213</v>
      </c>
      <c r="E135" s="515" t="s">
        <v>1213</v>
      </c>
      <c r="F135" s="512"/>
    </row>
    <row r="136" spans="1:6" s="513" customFormat="1" ht="12.6" customHeight="1">
      <c r="A136" s="512"/>
      <c r="B136" s="517" t="s">
        <v>1045</v>
      </c>
      <c r="C136" s="518" t="str">
        <f>C6</f>
        <v>2014-2015</v>
      </c>
      <c r="D136" s="518" t="str">
        <f>D6</f>
        <v>2015-2016</v>
      </c>
      <c r="E136" s="518" t="str">
        <f>E6</f>
        <v>2016-2017</v>
      </c>
      <c r="F136" s="512"/>
    </row>
    <row r="137" spans="1:6" s="513" customFormat="1" ht="12.6" customHeight="1">
      <c r="A137" s="516" t="s">
        <v>1400</v>
      </c>
      <c r="B137" s="520">
        <v>8</v>
      </c>
      <c r="C137" s="521" t="s">
        <v>1139</v>
      </c>
      <c r="D137" s="521" t="s">
        <v>1139</v>
      </c>
      <c r="E137" s="521" t="s">
        <v>1215</v>
      </c>
      <c r="F137" s="512"/>
    </row>
    <row r="138" spans="1:6" s="513" customFormat="1" ht="12.75" customHeight="1">
      <c r="A138" s="515" t="s">
        <v>1401</v>
      </c>
      <c r="B138" s="524" t="s">
        <v>1051</v>
      </c>
      <c r="C138" s="525">
        <v>1</v>
      </c>
      <c r="D138" s="525">
        <v>2</v>
      </c>
      <c r="E138" s="525">
        <v>3</v>
      </c>
      <c r="F138" s="512"/>
    </row>
    <row r="139" spans="1:6" s="513" customFormat="1" ht="12.6" customHeight="1">
      <c r="A139" s="526" t="s">
        <v>1307</v>
      </c>
      <c r="B139" s="558"/>
      <c r="C139" s="550"/>
      <c r="D139" s="535"/>
      <c r="E139" s="550"/>
      <c r="F139" s="512"/>
    </row>
    <row r="140" spans="1:6" s="513" customFormat="1" ht="12.6" customHeight="1">
      <c r="A140" s="536" t="s">
        <v>1268</v>
      </c>
      <c r="B140" s="558"/>
      <c r="C140" s="550"/>
      <c r="D140" s="535"/>
      <c r="E140" s="550"/>
      <c r="F140" s="512"/>
    </row>
    <row r="141" spans="1:6" s="513" customFormat="1" ht="12.6" customHeight="1">
      <c r="A141" s="537" t="s">
        <v>1269</v>
      </c>
      <c r="B141" s="559">
        <v>460</v>
      </c>
      <c r="C141" s="560"/>
      <c r="D141" s="531"/>
      <c r="E141" s="560"/>
      <c r="F141" s="512"/>
    </row>
    <row r="142" spans="1:6" s="513" customFormat="1" ht="12.6" customHeight="1">
      <c r="A142" s="542" t="s">
        <v>1435</v>
      </c>
      <c r="B142" s="555">
        <v>465</v>
      </c>
      <c r="C142" s="561"/>
      <c r="D142" s="528"/>
      <c r="E142" s="561"/>
      <c r="F142" s="512"/>
    </row>
    <row r="143" spans="1:6" s="513" customFormat="1" ht="12.6" customHeight="1">
      <c r="A143" s="526" t="s">
        <v>1271</v>
      </c>
      <c r="B143" s="557"/>
      <c r="C143" s="547"/>
      <c r="D143" s="534"/>
      <c r="E143" s="547"/>
      <c r="F143" s="512"/>
    </row>
    <row r="144" spans="1:6" s="513" customFormat="1" ht="12.6" customHeight="1">
      <c r="A144" s="537" t="s">
        <v>1272</v>
      </c>
      <c r="B144" s="559">
        <v>470</v>
      </c>
      <c r="C144" s="560"/>
      <c r="D144" s="531"/>
      <c r="E144" s="560"/>
    </row>
    <row r="145" spans="1:19" s="513" customFormat="1" ht="12.6" customHeight="1">
      <c r="A145" s="542" t="s">
        <v>1273</v>
      </c>
      <c r="B145" s="555">
        <v>475</v>
      </c>
      <c r="C145" s="561"/>
      <c r="D145" s="528"/>
      <c r="E145" s="561"/>
    </row>
    <row r="146" spans="1:19" s="513" customFormat="1" ht="12.6" customHeight="1">
      <c r="A146" s="542" t="s">
        <v>1276</v>
      </c>
      <c r="B146" s="555">
        <v>480</v>
      </c>
      <c r="C146" s="561"/>
      <c r="D146" s="528"/>
      <c r="E146" s="561"/>
    </row>
    <row r="147" spans="1:19" s="513" customFormat="1" ht="12.6" customHeight="1">
      <c r="A147" s="526" t="s">
        <v>1</v>
      </c>
      <c r="B147" s="557">
        <v>485</v>
      </c>
      <c r="C147" s="2449"/>
      <c r="D147" s="562"/>
      <c r="E147" s="2449"/>
    </row>
    <row r="148" spans="1:19" s="513" customFormat="1" ht="12.6" customHeight="1">
      <c r="A148" s="542" t="s">
        <v>1303</v>
      </c>
      <c r="B148" s="555">
        <v>490</v>
      </c>
      <c r="C148" s="561"/>
      <c r="D148" s="528"/>
      <c r="E148" s="561"/>
    </row>
    <row r="149" spans="1:19" s="513" customFormat="1" ht="12.6" customHeight="1">
      <c r="A149" s="526" t="s">
        <v>1282</v>
      </c>
      <c r="B149" s="557"/>
      <c r="C149" s="547"/>
      <c r="D149" s="534"/>
      <c r="E149" s="547"/>
    </row>
    <row r="150" spans="1:19" s="513" customFormat="1" ht="12.6" customHeight="1">
      <c r="A150" s="536" t="s">
        <v>2</v>
      </c>
      <c r="B150" s="558">
        <v>495</v>
      </c>
      <c r="C150" s="2450"/>
      <c r="D150" s="544"/>
      <c r="E150" s="2450"/>
    </row>
    <row r="151" spans="1:19" ht="12.6" customHeight="1">
      <c r="A151" s="542" t="s">
        <v>1287</v>
      </c>
      <c r="B151" s="555">
        <v>500</v>
      </c>
      <c r="C151" s="561"/>
      <c r="D151" s="528"/>
      <c r="E151" s="561"/>
      <c r="F151" s="513"/>
      <c r="G151" s="513"/>
      <c r="H151" s="513"/>
      <c r="I151" s="513"/>
      <c r="J151" s="513"/>
      <c r="K151" s="513"/>
      <c r="L151" s="513"/>
      <c r="M151" s="513"/>
      <c r="N151" s="513"/>
      <c r="O151" s="513"/>
      <c r="P151" s="513"/>
      <c r="Q151" s="513"/>
      <c r="R151" s="513"/>
      <c r="S151" s="513"/>
    </row>
    <row r="152" spans="1:19" ht="12.6" customHeight="1">
      <c r="A152" s="542" t="s">
        <v>1288</v>
      </c>
      <c r="B152" s="555">
        <v>505</v>
      </c>
      <c r="C152" s="561"/>
      <c r="D152" s="528"/>
      <c r="E152" s="561"/>
      <c r="F152" s="513"/>
      <c r="G152" s="513"/>
      <c r="H152" s="513"/>
      <c r="I152" s="513"/>
      <c r="J152" s="513"/>
      <c r="K152" s="513"/>
      <c r="L152" s="513"/>
      <c r="M152" s="513"/>
      <c r="N152" s="513"/>
      <c r="O152" s="513"/>
      <c r="P152" s="513"/>
      <c r="Q152" s="513"/>
      <c r="R152" s="513"/>
      <c r="S152" s="513"/>
    </row>
    <row r="153" spans="1:19" ht="12.6" customHeight="1">
      <c r="A153" s="542" t="s">
        <v>1292</v>
      </c>
      <c r="B153" s="555">
        <v>510</v>
      </c>
      <c r="C153" s="561">
        <v>324</v>
      </c>
      <c r="D153" s="528">
        <v>11244</v>
      </c>
      <c r="E153" s="561">
        <v>12000</v>
      </c>
      <c r="F153" s="513"/>
      <c r="G153" s="513"/>
      <c r="H153" s="513"/>
      <c r="I153" s="513"/>
      <c r="J153" s="513"/>
      <c r="K153" s="513"/>
      <c r="L153" s="513"/>
      <c r="M153" s="513"/>
      <c r="N153" s="513"/>
      <c r="O153" s="513"/>
      <c r="P153" s="513"/>
      <c r="Q153" s="513"/>
      <c r="R153" s="513"/>
      <c r="S153" s="513"/>
    </row>
    <row r="154" spans="1:19" ht="12.6" customHeight="1">
      <c r="A154" s="542" t="s">
        <v>1293</v>
      </c>
      <c r="B154" s="555">
        <v>515</v>
      </c>
      <c r="C154" s="2449"/>
      <c r="D154" s="562"/>
      <c r="E154" s="561"/>
      <c r="F154" s="513"/>
      <c r="G154" s="513"/>
      <c r="H154" s="513"/>
      <c r="I154" s="513"/>
      <c r="J154" s="513"/>
      <c r="K154" s="513"/>
      <c r="L154" s="513"/>
      <c r="M154" s="513"/>
      <c r="N154" s="513"/>
      <c r="O154" s="513"/>
      <c r="P154" s="513"/>
      <c r="Q154" s="513"/>
      <c r="R154" s="513"/>
      <c r="S154" s="513"/>
    </row>
    <row r="155" spans="1:19" ht="12.6" customHeight="1">
      <c r="A155" s="375" t="s">
        <v>1745</v>
      </c>
      <c r="B155" s="379"/>
      <c r="C155" s="3852"/>
      <c r="D155" s="3851"/>
      <c r="E155" s="3854"/>
      <c r="F155" s="513"/>
      <c r="G155" s="513"/>
      <c r="H155" s="513"/>
      <c r="I155" s="513"/>
      <c r="J155" s="513"/>
      <c r="K155" s="513"/>
      <c r="L155" s="513"/>
      <c r="M155" s="513"/>
      <c r="N155" s="513"/>
      <c r="O155" s="513"/>
      <c r="P155" s="513"/>
      <c r="Q155" s="513"/>
      <c r="R155" s="513"/>
      <c r="S155" s="513"/>
    </row>
    <row r="156" spans="1:19" ht="12.6" customHeight="1">
      <c r="A156" s="378" t="s">
        <v>1544</v>
      </c>
      <c r="B156" s="379"/>
      <c r="C156" s="3853"/>
      <c r="D156" s="2635"/>
      <c r="E156" s="3854"/>
      <c r="F156" s="513"/>
      <c r="G156" s="513"/>
      <c r="H156" s="513"/>
      <c r="I156" s="513"/>
      <c r="J156" s="513"/>
      <c r="K156" s="513"/>
      <c r="L156" s="513"/>
      <c r="M156" s="513"/>
      <c r="N156" s="513"/>
      <c r="O156" s="513"/>
      <c r="P156" s="513"/>
      <c r="Q156" s="513"/>
      <c r="R156" s="513"/>
      <c r="S156" s="513"/>
    </row>
    <row r="157" spans="1:19" ht="12.6" customHeight="1">
      <c r="A157" s="381" t="s">
        <v>1746</v>
      </c>
      <c r="B157" s="2903">
        <v>730</v>
      </c>
      <c r="C157" s="3959"/>
      <c r="D157" s="3951"/>
      <c r="E157" s="3958"/>
      <c r="F157" s="513"/>
      <c r="G157" s="513"/>
      <c r="H157" s="513"/>
      <c r="I157" s="513"/>
      <c r="J157" s="513"/>
      <c r="K157" s="513"/>
      <c r="L157" s="513"/>
      <c r="M157" s="513"/>
      <c r="N157" s="513"/>
      <c r="O157" s="513"/>
      <c r="P157" s="513"/>
      <c r="Q157" s="513"/>
      <c r="R157" s="513"/>
      <c r="S157" s="513"/>
    </row>
    <row r="158" spans="1:19" ht="12.6" customHeight="1">
      <c r="A158" s="384" t="s">
        <v>1732</v>
      </c>
      <c r="B158" s="2902">
        <v>735</v>
      </c>
      <c r="C158" s="3954"/>
      <c r="D158" s="3954"/>
      <c r="E158" s="3960"/>
      <c r="F158" s="513"/>
      <c r="G158" s="513"/>
      <c r="H158" s="513"/>
      <c r="I158" s="513"/>
      <c r="J158" s="513"/>
      <c r="K158" s="513"/>
      <c r="L158" s="513"/>
      <c r="M158" s="513"/>
      <c r="N158" s="513"/>
      <c r="O158" s="513"/>
      <c r="P158" s="513"/>
      <c r="Q158" s="513"/>
      <c r="R158" s="513"/>
      <c r="S158" s="513"/>
    </row>
    <row r="159" spans="1:19" ht="12.6" customHeight="1">
      <c r="A159" s="378" t="s">
        <v>944</v>
      </c>
      <c r="B159" s="2900"/>
      <c r="C159" s="3961"/>
      <c r="D159" s="3955"/>
      <c r="E159" s="3962"/>
      <c r="F159" s="513"/>
      <c r="G159" s="513"/>
      <c r="H159" s="513"/>
      <c r="I159" s="513"/>
      <c r="J159" s="513"/>
      <c r="K159" s="513"/>
      <c r="L159" s="513"/>
      <c r="M159" s="513"/>
      <c r="N159" s="513"/>
      <c r="O159" s="513"/>
      <c r="P159" s="513"/>
      <c r="Q159" s="513"/>
      <c r="R159" s="513"/>
      <c r="S159" s="513"/>
    </row>
    <row r="160" spans="1:19" ht="12.6" customHeight="1">
      <c r="A160" s="381" t="s">
        <v>1748</v>
      </c>
      <c r="B160" s="2900">
        <v>740</v>
      </c>
      <c r="C160" s="3959"/>
      <c r="D160" s="3951"/>
      <c r="E160" s="3963"/>
      <c r="F160" s="513"/>
      <c r="G160" s="513"/>
      <c r="H160" s="513"/>
      <c r="I160" s="513"/>
      <c r="J160" s="513"/>
      <c r="K160" s="513"/>
      <c r="L160" s="513"/>
      <c r="M160" s="513"/>
      <c r="N160" s="513"/>
      <c r="O160" s="513"/>
      <c r="P160" s="513"/>
      <c r="Q160" s="513"/>
      <c r="R160" s="513"/>
      <c r="S160" s="513"/>
    </row>
    <row r="161" spans="1:19" ht="12.6" customHeight="1">
      <c r="A161" s="384" t="s">
        <v>1747</v>
      </c>
      <c r="B161" s="2902">
        <v>745</v>
      </c>
      <c r="C161" s="3954"/>
      <c r="D161" s="3954"/>
      <c r="E161" s="3960"/>
      <c r="F161" s="513"/>
      <c r="G161" s="513"/>
      <c r="H161" s="513"/>
      <c r="I161" s="513"/>
      <c r="J161" s="513"/>
      <c r="K161" s="513"/>
      <c r="L161" s="513"/>
      <c r="M161" s="513"/>
      <c r="N161" s="513"/>
      <c r="O161" s="513"/>
      <c r="P161" s="513"/>
      <c r="Q161" s="513"/>
      <c r="R161" s="513"/>
      <c r="S161" s="513"/>
    </row>
    <row r="162" spans="1:19" ht="12.6" customHeight="1">
      <c r="A162" s="384" t="s">
        <v>1749</v>
      </c>
      <c r="B162" s="2902">
        <v>750</v>
      </c>
      <c r="C162" s="3954"/>
      <c r="D162" s="3954"/>
      <c r="E162" s="3960"/>
      <c r="F162" s="513"/>
      <c r="G162" s="513"/>
      <c r="H162" s="513"/>
      <c r="I162" s="513"/>
      <c r="J162" s="513"/>
      <c r="K162" s="513"/>
      <c r="L162" s="513"/>
      <c r="M162" s="513"/>
      <c r="N162" s="513"/>
      <c r="O162" s="513"/>
      <c r="P162" s="513"/>
      <c r="Q162" s="513"/>
      <c r="R162" s="513"/>
      <c r="S162" s="513"/>
    </row>
    <row r="163" spans="1:19" ht="12.6" customHeight="1">
      <c r="A163" s="384" t="s">
        <v>1439</v>
      </c>
      <c r="B163" s="2902">
        <v>755</v>
      </c>
      <c r="C163" s="3954"/>
      <c r="D163" s="3954"/>
      <c r="E163" s="3960"/>
      <c r="F163" s="513"/>
      <c r="G163" s="513"/>
      <c r="H163" s="513"/>
      <c r="I163" s="513"/>
      <c r="J163" s="513"/>
      <c r="K163" s="513"/>
      <c r="L163" s="513"/>
      <c r="M163" s="513"/>
      <c r="N163" s="513"/>
      <c r="O163" s="513"/>
      <c r="P163" s="513"/>
      <c r="Q163" s="513"/>
      <c r="R163" s="513"/>
      <c r="S163" s="513"/>
    </row>
    <row r="164" spans="1:19" ht="12.6" customHeight="1">
      <c r="A164" s="384" t="s">
        <v>711</v>
      </c>
      <c r="B164" s="2902">
        <v>760</v>
      </c>
      <c r="C164" s="3954"/>
      <c r="D164" s="3954"/>
      <c r="E164" s="3960"/>
      <c r="F164" s="513"/>
      <c r="G164" s="513"/>
      <c r="H164" s="513"/>
      <c r="I164" s="513"/>
      <c r="J164" s="513"/>
      <c r="K164" s="513"/>
      <c r="L164" s="513"/>
      <c r="M164" s="513"/>
      <c r="N164" s="513"/>
      <c r="O164" s="513"/>
      <c r="P164" s="513"/>
      <c r="Q164" s="513"/>
      <c r="R164" s="513"/>
      <c r="S164" s="513"/>
    </row>
    <row r="165" spans="1:19" ht="12.6" customHeight="1">
      <c r="A165" s="384" t="s">
        <v>683</v>
      </c>
      <c r="B165" s="2902">
        <v>765</v>
      </c>
      <c r="C165" s="3954"/>
      <c r="D165" s="3954"/>
      <c r="E165" s="3960"/>
      <c r="F165" s="513"/>
      <c r="G165" s="513"/>
      <c r="H165" s="513"/>
      <c r="I165" s="513"/>
      <c r="J165" s="513"/>
      <c r="K165" s="513"/>
      <c r="L165" s="513"/>
      <c r="M165" s="513"/>
      <c r="N165" s="513"/>
      <c r="O165" s="513"/>
      <c r="P165" s="513"/>
      <c r="Q165" s="513"/>
      <c r="R165" s="513"/>
      <c r="S165" s="513"/>
    </row>
    <row r="166" spans="1:19" ht="12.6" customHeight="1">
      <c r="A166" s="384" t="s">
        <v>1738</v>
      </c>
      <c r="B166" s="2902">
        <v>770</v>
      </c>
      <c r="C166" s="3954"/>
      <c r="D166" s="3954"/>
      <c r="E166" s="3960"/>
      <c r="F166" s="513"/>
      <c r="G166" s="513"/>
      <c r="H166" s="513"/>
      <c r="I166" s="513"/>
      <c r="J166" s="513"/>
      <c r="K166" s="513"/>
      <c r="L166" s="513"/>
      <c r="M166" s="513"/>
      <c r="N166" s="513"/>
      <c r="O166" s="513"/>
      <c r="P166" s="513"/>
      <c r="Q166" s="513"/>
      <c r="R166" s="513"/>
      <c r="S166" s="513"/>
    </row>
    <row r="167" spans="1:19" ht="12.6" customHeight="1">
      <c r="A167" s="384" t="s">
        <v>1739</v>
      </c>
      <c r="B167" s="2902">
        <v>775</v>
      </c>
      <c r="C167" s="3954"/>
      <c r="D167" s="3954"/>
      <c r="E167" s="3960"/>
      <c r="F167" s="513"/>
      <c r="G167" s="513"/>
      <c r="H167" s="513"/>
      <c r="I167" s="513"/>
      <c r="J167" s="513"/>
      <c r="K167" s="513"/>
      <c r="L167" s="513"/>
      <c r="M167" s="513"/>
      <c r="N167" s="513"/>
      <c r="O167" s="513"/>
      <c r="P167" s="513"/>
      <c r="Q167" s="513"/>
      <c r="R167" s="513"/>
      <c r="S167" s="513"/>
    </row>
    <row r="168" spans="1:19" ht="12.6" customHeight="1">
      <c r="A168" s="384" t="s">
        <v>943</v>
      </c>
      <c r="B168" s="2900">
        <v>780</v>
      </c>
      <c r="C168" s="4009"/>
      <c r="D168" s="3953"/>
      <c r="E168" s="3963"/>
      <c r="F168" s="513"/>
      <c r="G168" s="513"/>
      <c r="H168" s="513"/>
      <c r="I168" s="513"/>
      <c r="J168" s="513"/>
      <c r="K168" s="513"/>
      <c r="L168" s="513"/>
      <c r="M168" s="513"/>
      <c r="N168" s="513"/>
      <c r="O168" s="513"/>
      <c r="P168" s="513"/>
      <c r="Q168" s="513"/>
      <c r="R168" s="513"/>
      <c r="S168" s="513"/>
    </row>
    <row r="169" spans="1:19" ht="12.6" customHeight="1">
      <c r="A169" s="564" t="s">
        <v>1308</v>
      </c>
      <c r="B169" s="540"/>
      <c r="C169" s="550"/>
      <c r="D169" s="535"/>
      <c r="E169" s="547"/>
      <c r="F169" s="513"/>
      <c r="G169" s="513"/>
      <c r="H169" s="513"/>
      <c r="I169" s="513"/>
      <c r="J169" s="513"/>
      <c r="K169" s="513"/>
      <c r="L169" s="513"/>
      <c r="M169" s="513"/>
      <c r="N169" s="513"/>
      <c r="O169" s="513"/>
      <c r="P169" s="513"/>
      <c r="Q169" s="513"/>
      <c r="R169" s="513"/>
      <c r="S169" s="513"/>
    </row>
    <row r="170" spans="1:19" ht="12.6" customHeight="1">
      <c r="A170" s="565" t="s">
        <v>1309</v>
      </c>
      <c r="B170" s="533"/>
      <c r="C170" s="550"/>
      <c r="D170" s="535"/>
      <c r="E170" s="550"/>
      <c r="F170" s="513"/>
      <c r="G170" s="513"/>
      <c r="H170" s="513"/>
      <c r="I170" s="513"/>
      <c r="J170" s="513"/>
      <c r="K170" s="513"/>
      <c r="L170" s="513"/>
      <c r="M170" s="513"/>
      <c r="N170" s="513"/>
      <c r="O170" s="513"/>
      <c r="P170" s="513"/>
      <c r="Q170" s="513"/>
      <c r="R170" s="513"/>
      <c r="S170" s="513"/>
    </row>
    <row r="171" spans="1:19" ht="12.6" customHeight="1">
      <c r="A171" s="566" t="s">
        <v>1435</v>
      </c>
      <c r="B171" s="543">
        <v>520</v>
      </c>
      <c r="C171" s="560"/>
      <c r="D171" s="531">
        <v>7829</v>
      </c>
      <c r="E171" s="560">
        <v>62829</v>
      </c>
      <c r="F171" s="513"/>
      <c r="G171" s="513"/>
      <c r="H171" s="513"/>
      <c r="I171" s="513"/>
      <c r="J171" s="513"/>
      <c r="K171" s="513"/>
      <c r="L171" s="513"/>
      <c r="M171" s="513"/>
      <c r="N171" s="513"/>
      <c r="O171" s="513"/>
      <c r="P171" s="513"/>
      <c r="Q171" s="513"/>
      <c r="R171" s="513"/>
      <c r="S171" s="513"/>
    </row>
    <row r="172" spans="1:19" ht="12.6" customHeight="1">
      <c r="A172" s="564" t="s">
        <v>1310</v>
      </c>
      <c r="B172" s="540"/>
      <c r="C172" s="547"/>
      <c r="D172" s="534"/>
      <c r="E172" s="547"/>
      <c r="F172" s="513"/>
      <c r="G172" s="513"/>
      <c r="H172" s="513"/>
      <c r="I172" s="513"/>
      <c r="J172" s="513"/>
      <c r="K172" s="513"/>
      <c r="L172" s="513"/>
      <c r="M172" s="513"/>
      <c r="N172" s="513"/>
      <c r="O172" s="513"/>
      <c r="P172" s="513"/>
      <c r="Q172" s="513"/>
      <c r="R172" s="513"/>
      <c r="S172" s="513"/>
    </row>
    <row r="173" spans="1:19" ht="12.6" customHeight="1">
      <c r="A173" s="566" t="s">
        <v>1311</v>
      </c>
      <c r="B173" s="543">
        <v>525</v>
      </c>
      <c r="C173" s="560"/>
      <c r="D173" s="531"/>
      <c r="E173" s="560">
        <v>10000</v>
      </c>
      <c r="F173" s="513"/>
      <c r="G173" s="513"/>
      <c r="H173" s="513"/>
      <c r="I173" s="513"/>
      <c r="J173" s="513"/>
      <c r="K173" s="513"/>
      <c r="L173" s="513"/>
      <c r="M173" s="513"/>
      <c r="N173" s="513"/>
      <c r="O173" s="513"/>
      <c r="P173" s="513"/>
      <c r="Q173" s="513"/>
      <c r="R173" s="513"/>
      <c r="S173" s="513"/>
    </row>
    <row r="174" spans="1:19" ht="12.6" customHeight="1">
      <c r="A174" s="567" t="s">
        <v>1314</v>
      </c>
      <c r="B174" s="538">
        <v>530</v>
      </c>
      <c r="C174" s="561"/>
      <c r="D174" s="528"/>
      <c r="E174" s="561">
        <v>7000</v>
      </c>
      <c r="F174" s="513"/>
      <c r="G174" s="513"/>
      <c r="H174" s="513"/>
      <c r="I174" s="513"/>
      <c r="J174" s="513"/>
      <c r="K174" s="513"/>
      <c r="L174" s="513"/>
      <c r="M174" s="513"/>
      <c r="N174" s="513"/>
      <c r="O174" s="513"/>
      <c r="P174" s="513"/>
      <c r="Q174" s="513"/>
      <c r="R174" s="513"/>
      <c r="S174" s="513"/>
    </row>
    <row r="175" spans="1:19" ht="12.6" customHeight="1">
      <c r="A175" s="567" t="s">
        <v>1315</v>
      </c>
      <c r="B175" s="538">
        <v>535</v>
      </c>
      <c r="C175" s="561"/>
      <c r="D175" s="528">
        <v>6</v>
      </c>
      <c r="E175" s="561">
        <v>100</v>
      </c>
      <c r="F175" s="513"/>
      <c r="G175" s="513"/>
      <c r="H175" s="513"/>
      <c r="I175" s="513"/>
      <c r="J175" s="513"/>
      <c r="K175" s="513"/>
      <c r="L175" s="513"/>
      <c r="M175" s="513"/>
      <c r="N175" s="513"/>
      <c r="O175" s="513"/>
      <c r="P175" s="513"/>
      <c r="Q175" s="513"/>
      <c r="R175" s="513"/>
      <c r="S175" s="513"/>
    </row>
    <row r="176" spans="1:19" ht="12.6" customHeight="1">
      <c r="A176" s="526" t="s">
        <v>1439</v>
      </c>
      <c r="B176" s="540">
        <v>540</v>
      </c>
      <c r="C176" s="2449"/>
      <c r="D176" s="562"/>
      <c r="E176" s="2449"/>
      <c r="F176" s="513"/>
      <c r="G176" s="513"/>
      <c r="H176" s="513"/>
      <c r="I176" s="513"/>
      <c r="J176" s="513"/>
      <c r="K176" s="513"/>
      <c r="L176" s="513"/>
      <c r="M176" s="513"/>
      <c r="N176" s="513"/>
      <c r="O176" s="513"/>
      <c r="P176" s="513"/>
      <c r="Q176" s="513"/>
      <c r="R176" s="513"/>
      <c r="S176" s="513"/>
    </row>
    <row r="177" spans="1:19" ht="12.6" customHeight="1">
      <c r="A177" s="564" t="s">
        <v>1318</v>
      </c>
      <c r="B177" s="540"/>
      <c r="C177" s="547"/>
      <c r="D177" s="534"/>
      <c r="E177" s="547"/>
      <c r="F177" s="513"/>
      <c r="G177" s="513"/>
      <c r="H177" s="513"/>
      <c r="I177" s="513"/>
      <c r="J177" s="513"/>
      <c r="K177" s="513"/>
      <c r="L177" s="513"/>
      <c r="M177" s="513"/>
      <c r="N177" s="513"/>
      <c r="O177" s="513"/>
      <c r="P177" s="513"/>
      <c r="Q177" s="513"/>
      <c r="R177" s="513"/>
      <c r="S177" s="513"/>
    </row>
    <row r="178" spans="1:19" ht="12.6" customHeight="1">
      <c r="A178" s="566" t="s">
        <v>1319</v>
      </c>
      <c r="B178" s="543">
        <v>545</v>
      </c>
      <c r="C178" s="560"/>
      <c r="D178" s="531"/>
      <c r="E178" s="560"/>
      <c r="F178" s="513"/>
      <c r="G178" s="513"/>
      <c r="H178" s="513"/>
      <c r="I178" s="513"/>
      <c r="J178" s="513"/>
      <c r="K178" s="513"/>
      <c r="L178" s="513"/>
      <c r="M178" s="513"/>
      <c r="N178" s="513"/>
      <c r="O178" s="513"/>
      <c r="P178" s="513"/>
      <c r="Q178" s="513"/>
      <c r="R178" s="513"/>
      <c r="S178" s="513"/>
    </row>
    <row r="179" spans="1:19" ht="12.6" customHeight="1">
      <c r="A179" s="567" t="s">
        <v>1320</v>
      </c>
      <c r="B179" s="538">
        <v>550</v>
      </c>
      <c r="C179" s="561"/>
      <c r="D179" s="528"/>
      <c r="E179" s="561"/>
      <c r="F179" s="513"/>
      <c r="G179" s="513"/>
      <c r="H179" s="513"/>
      <c r="I179" s="513"/>
      <c r="J179" s="513"/>
      <c r="K179" s="513"/>
      <c r="L179" s="513"/>
      <c r="M179" s="513"/>
      <c r="N179" s="513"/>
      <c r="O179" s="513"/>
      <c r="P179" s="513"/>
      <c r="Q179" s="513"/>
      <c r="R179" s="513"/>
      <c r="S179" s="513"/>
    </row>
    <row r="180" spans="1:19" ht="12.6" customHeight="1">
      <c r="A180" s="567" t="s">
        <v>1321</v>
      </c>
      <c r="B180" s="538">
        <v>555</v>
      </c>
      <c r="C180" s="561">
        <v>5303</v>
      </c>
      <c r="D180" s="528">
        <v>29852</v>
      </c>
      <c r="E180" s="561">
        <v>25000</v>
      </c>
      <c r="F180" s="513"/>
      <c r="G180" s="513"/>
      <c r="H180" s="513"/>
      <c r="I180" s="513"/>
      <c r="J180" s="513"/>
      <c r="K180" s="513"/>
      <c r="L180" s="513"/>
      <c r="M180" s="513"/>
      <c r="N180" s="513"/>
      <c r="O180" s="513"/>
      <c r="P180" s="513"/>
      <c r="Q180" s="513"/>
      <c r="R180" s="513"/>
      <c r="S180" s="513"/>
    </row>
    <row r="181" spans="1:19" ht="12.6" customHeight="1">
      <c r="A181" s="567" t="s">
        <v>1322</v>
      </c>
      <c r="B181" s="538">
        <v>560</v>
      </c>
      <c r="C181" s="561"/>
      <c r="D181" s="528"/>
      <c r="E181" s="561"/>
      <c r="F181" s="513"/>
      <c r="G181" s="513"/>
      <c r="H181" s="513"/>
      <c r="I181" s="513"/>
      <c r="J181" s="513"/>
      <c r="K181" s="513"/>
      <c r="L181" s="513"/>
      <c r="M181" s="513"/>
      <c r="N181" s="513"/>
      <c r="O181" s="513"/>
      <c r="P181" s="513"/>
      <c r="Q181" s="513"/>
      <c r="R181" s="513"/>
      <c r="S181" s="513"/>
    </row>
    <row r="182" spans="1:19" ht="12.6" customHeight="1">
      <c r="A182" s="567" t="s">
        <v>1323</v>
      </c>
      <c r="B182" s="538">
        <v>565</v>
      </c>
      <c r="C182" s="561"/>
      <c r="D182" s="528"/>
      <c r="E182" s="561"/>
      <c r="F182" s="513"/>
      <c r="G182" s="513"/>
      <c r="H182" s="513"/>
      <c r="I182" s="513"/>
      <c r="J182" s="513"/>
      <c r="K182" s="513"/>
      <c r="L182" s="513"/>
      <c r="M182" s="513"/>
      <c r="N182" s="513"/>
      <c r="O182" s="513"/>
      <c r="P182" s="513"/>
      <c r="Q182" s="513"/>
      <c r="R182" s="513"/>
      <c r="S182" s="513"/>
    </row>
    <row r="183" spans="1:19" ht="12.6" customHeight="1">
      <c r="A183" s="567" t="s">
        <v>1326</v>
      </c>
      <c r="B183" s="538">
        <v>570</v>
      </c>
      <c r="C183" s="561"/>
      <c r="D183" s="528"/>
      <c r="E183" s="561"/>
      <c r="F183" s="513"/>
      <c r="G183" s="513"/>
      <c r="H183" s="513"/>
      <c r="I183" s="513"/>
      <c r="J183" s="513"/>
      <c r="K183" s="513"/>
      <c r="L183" s="513"/>
      <c r="M183" s="513"/>
      <c r="N183" s="513"/>
      <c r="O183" s="513"/>
      <c r="P183" s="513"/>
      <c r="Q183" s="513"/>
      <c r="R183" s="513"/>
      <c r="S183" s="513"/>
    </row>
    <row r="184" spans="1:19" ht="12.6" customHeight="1">
      <c r="A184" s="564" t="s">
        <v>1327</v>
      </c>
      <c r="B184" s="540"/>
      <c r="C184" s="547"/>
      <c r="D184" s="534"/>
      <c r="E184" s="547"/>
      <c r="F184" s="513"/>
      <c r="G184" s="513"/>
      <c r="H184" s="513"/>
      <c r="I184" s="513"/>
      <c r="J184" s="513"/>
      <c r="K184" s="513"/>
      <c r="L184" s="513"/>
      <c r="M184" s="513"/>
      <c r="N184" s="513"/>
      <c r="O184" s="513"/>
      <c r="P184" s="513"/>
      <c r="Q184" s="513"/>
      <c r="R184" s="513"/>
      <c r="S184" s="513"/>
    </row>
    <row r="185" spans="1:19" ht="12.6" customHeight="1">
      <c r="A185" s="566" t="s">
        <v>1335</v>
      </c>
      <c r="B185" s="543">
        <v>575</v>
      </c>
      <c r="C185" s="560">
        <v>43288</v>
      </c>
      <c r="D185" s="531">
        <v>42178</v>
      </c>
      <c r="E185" s="560">
        <v>45000</v>
      </c>
      <c r="F185" s="513"/>
      <c r="G185" s="513"/>
      <c r="H185" s="513"/>
      <c r="I185" s="513"/>
      <c r="J185" s="513"/>
      <c r="K185" s="513"/>
      <c r="L185" s="513"/>
      <c r="M185" s="513"/>
      <c r="N185" s="513"/>
      <c r="O185" s="513"/>
      <c r="P185" s="513"/>
      <c r="Q185" s="513"/>
      <c r="R185" s="513"/>
      <c r="S185" s="513"/>
    </row>
    <row r="186" spans="1:19" ht="12.6" customHeight="1">
      <c r="A186" s="567" t="s">
        <v>1336</v>
      </c>
      <c r="B186" s="538">
        <v>580</v>
      </c>
      <c r="C186" s="561"/>
      <c r="D186" s="528"/>
      <c r="E186" s="561"/>
      <c r="F186" s="513"/>
      <c r="G186" s="513"/>
      <c r="H186" s="513"/>
      <c r="I186" s="513"/>
      <c r="J186" s="513"/>
      <c r="K186" s="513"/>
      <c r="L186" s="513"/>
      <c r="M186" s="513"/>
      <c r="N186" s="513"/>
      <c r="O186" s="513"/>
      <c r="P186" s="513"/>
      <c r="Q186" s="513"/>
      <c r="R186" s="513"/>
      <c r="S186" s="513"/>
    </row>
    <row r="187" spans="1:19" s="573" customFormat="1" ht="12" customHeight="1">
      <c r="A187" s="564" t="s">
        <v>1337</v>
      </c>
      <c r="B187" s="540"/>
      <c r="C187" s="547"/>
      <c r="D187" s="534"/>
      <c r="E187" s="547"/>
      <c r="F187" s="513"/>
      <c r="G187" s="572"/>
      <c r="H187" s="572"/>
      <c r="I187" s="572"/>
      <c r="J187" s="572"/>
      <c r="K187" s="572"/>
      <c r="L187" s="572"/>
      <c r="M187" s="572"/>
      <c r="N187" s="572"/>
      <c r="O187" s="572"/>
      <c r="P187" s="572"/>
      <c r="Q187" s="572"/>
      <c r="R187" s="572"/>
      <c r="S187" s="572"/>
    </row>
    <row r="188" spans="1:19" s="573" customFormat="1" ht="12" customHeight="1">
      <c r="A188" s="566" t="s">
        <v>1338</v>
      </c>
      <c r="B188" s="543">
        <v>585</v>
      </c>
      <c r="C188" s="560">
        <v>18497</v>
      </c>
      <c r="D188" s="531">
        <v>23212</v>
      </c>
      <c r="E188" s="560">
        <v>23000</v>
      </c>
      <c r="F188" s="571"/>
      <c r="G188" s="572"/>
      <c r="H188" s="572"/>
      <c r="I188" s="572"/>
      <c r="J188" s="572"/>
      <c r="K188" s="572"/>
      <c r="L188" s="572"/>
      <c r="M188" s="572"/>
      <c r="N188" s="572"/>
      <c r="O188" s="572"/>
      <c r="P188" s="572"/>
      <c r="Q188" s="572"/>
      <c r="R188" s="572"/>
      <c r="S188" s="572"/>
    </row>
    <row r="189" spans="1:19" s="573" customFormat="1" ht="12" customHeight="1">
      <c r="A189" s="568" t="s">
        <v>1339</v>
      </c>
      <c r="B189" s="569"/>
      <c r="C189" s="2451"/>
      <c r="D189" s="570"/>
      <c r="E189" s="2451"/>
      <c r="F189" s="571"/>
      <c r="G189" s="572"/>
      <c r="H189" s="572"/>
      <c r="I189" s="572"/>
      <c r="J189" s="572"/>
      <c r="K189" s="572"/>
      <c r="L189" s="572"/>
      <c r="M189" s="572"/>
      <c r="N189" s="572"/>
      <c r="O189" s="572"/>
      <c r="P189" s="572"/>
      <c r="Q189" s="572"/>
      <c r="R189" s="572"/>
      <c r="S189" s="572"/>
    </row>
    <row r="190" spans="1:19" s="573" customFormat="1" ht="12" customHeight="1">
      <c r="A190" s="574" t="s">
        <v>1340</v>
      </c>
      <c r="B190" s="575">
        <v>590</v>
      </c>
      <c r="C190" s="2452">
        <v>32283</v>
      </c>
      <c r="D190" s="576">
        <v>22074</v>
      </c>
      <c r="E190" s="2452">
        <v>40000</v>
      </c>
      <c r="F190" s="571"/>
      <c r="G190" s="572"/>
      <c r="H190" s="572"/>
      <c r="I190" s="572"/>
      <c r="J190" s="572"/>
      <c r="K190" s="572"/>
      <c r="L190" s="572"/>
      <c r="M190" s="572"/>
      <c r="N190" s="572"/>
      <c r="O190" s="572"/>
      <c r="P190" s="572"/>
      <c r="Q190" s="572"/>
      <c r="R190" s="572"/>
      <c r="S190" s="572"/>
    </row>
    <row r="191" spans="1:19" s="573" customFormat="1" ht="12" customHeight="1">
      <c r="A191" s="577" t="s">
        <v>1341</v>
      </c>
      <c r="B191" s="578">
        <v>595</v>
      </c>
      <c r="C191" s="583">
        <v>16296</v>
      </c>
      <c r="D191" s="579">
        <v>57639</v>
      </c>
      <c r="E191" s="583">
        <v>44000</v>
      </c>
      <c r="F191" s="571"/>
      <c r="G191" s="572"/>
      <c r="H191" s="572"/>
      <c r="I191" s="572"/>
      <c r="J191" s="572"/>
      <c r="K191" s="572"/>
      <c r="L191" s="572"/>
      <c r="M191" s="572"/>
      <c r="N191" s="572"/>
      <c r="O191" s="572"/>
      <c r="P191" s="572"/>
      <c r="Q191" s="572"/>
      <c r="R191" s="572"/>
      <c r="S191" s="572"/>
    </row>
    <row r="192" spans="1:19" s="573" customFormat="1" ht="12" customHeight="1">
      <c r="A192" s="577" t="s">
        <v>1342</v>
      </c>
      <c r="B192" s="578">
        <v>600</v>
      </c>
      <c r="C192" s="583">
        <v>1491</v>
      </c>
      <c r="D192" s="579">
        <v>1223</v>
      </c>
      <c r="E192" s="583">
        <v>2000</v>
      </c>
      <c r="F192" s="571"/>
      <c r="G192" s="572"/>
      <c r="H192" s="572"/>
      <c r="I192" s="572"/>
      <c r="J192" s="572"/>
      <c r="K192" s="572"/>
      <c r="L192" s="572"/>
      <c r="M192" s="572"/>
      <c r="N192" s="572"/>
      <c r="O192" s="572"/>
      <c r="P192" s="572"/>
      <c r="Q192" s="572"/>
      <c r="R192" s="572"/>
      <c r="S192" s="572"/>
    </row>
    <row r="193" spans="1:19" s="573" customFormat="1" ht="12" customHeight="1">
      <c r="A193" s="577" t="s">
        <v>1343</v>
      </c>
      <c r="B193" s="578">
        <v>605</v>
      </c>
      <c r="C193" s="583"/>
      <c r="D193" s="579"/>
      <c r="E193" s="583"/>
      <c r="F193" s="571"/>
      <c r="G193" s="572"/>
      <c r="H193" s="572"/>
      <c r="I193" s="572"/>
      <c r="J193" s="572"/>
      <c r="K193" s="572"/>
      <c r="L193" s="572"/>
      <c r="M193" s="572"/>
      <c r="N193" s="572"/>
      <c r="O193" s="572"/>
      <c r="P193" s="572"/>
      <c r="Q193" s="572"/>
      <c r="R193" s="572"/>
      <c r="S193" s="572"/>
    </row>
    <row r="194" spans="1:19" s="573" customFormat="1" ht="12" customHeight="1">
      <c r="A194" s="577" t="s">
        <v>3</v>
      </c>
      <c r="B194" s="578">
        <v>610</v>
      </c>
      <c r="C194" s="583"/>
      <c r="D194" s="579"/>
      <c r="E194" s="583"/>
      <c r="F194" s="571"/>
      <c r="G194" s="572"/>
      <c r="H194" s="572"/>
      <c r="I194" s="572"/>
      <c r="J194" s="572"/>
      <c r="K194" s="572"/>
      <c r="L194" s="572"/>
      <c r="M194" s="572"/>
      <c r="N194" s="572"/>
      <c r="O194" s="572"/>
      <c r="P194" s="572"/>
      <c r="Q194" s="572"/>
      <c r="R194" s="572"/>
      <c r="S194" s="572"/>
    </row>
    <row r="195" spans="1:19" s="573" customFormat="1" ht="12" customHeight="1">
      <c r="A195" s="577" t="s">
        <v>1345</v>
      </c>
      <c r="B195" s="578">
        <v>615</v>
      </c>
      <c r="C195" s="583"/>
      <c r="D195" s="579"/>
      <c r="E195" s="583"/>
      <c r="F195" s="571"/>
      <c r="G195" s="572"/>
      <c r="H195" s="572"/>
      <c r="I195" s="572"/>
      <c r="J195" s="572"/>
      <c r="K195" s="572"/>
      <c r="L195" s="572"/>
      <c r="M195" s="572"/>
      <c r="N195" s="572"/>
      <c r="O195" s="572"/>
      <c r="P195" s="572"/>
      <c r="Q195" s="572"/>
      <c r="R195" s="572"/>
      <c r="S195" s="572"/>
    </row>
    <row r="196" spans="1:19" s="573" customFormat="1" ht="12" customHeight="1">
      <c r="A196" s="577" t="s">
        <v>1346</v>
      </c>
      <c r="B196" s="578">
        <v>620</v>
      </c>
      <c r="C196" s="583"/>
      <c r="D196" s="579"/>
      <c r="E196" s="583"/>
      <c r="F196" s="571"/>
      <c r="G196" s="572"/>
      <c r="H196" s="572"/>
      <c r="I196" s="572"/>
      <c r="J196" s="572"/>
      <c r="K196" s="572"/>
      <c r="L196" s="572"/>
      <c r="M196" s="572"/>
      <c r="N196" s="572"/>
      <c r="O196" s="572"/>
      <c r="P196" s="572"/>
      <c r="Q196" s="572"/>
      <c r="R196" s="572"/>
      <c r="S196" s="572"/>
    </row>
    <row r="197" spans="1:19" s="573" customFormat="1" ht="12" customHeight="1">
      <c r="A197" s="2716"/>
      <c r="B197" s="2715"/>
      <c r="C197" s="2712"/>
      <c r="D197" s="2712"/>
      <c r="E197" s="2712"/>
      <c r="F197" s="571"/>
      <c r="G197" s="572"/>
      <c r="H197" s="572"/>
      <c r="I197" s="572"/>
      <c r="J197" s="572"/>
      <c r="K197" s="572"/>
      <c r="L197" s="572"/>
      <c r="M197" s="572"/>
      <c r="N197" s="572"/>
      <c r="O197" s="572"/>
      <c r="P197" s="572"/>
      <c r="Q197" s="572"/>
      <c r="R197" s="572"/>
      <c r="S197" s="572"/>
    </row>
    <row r="198" spans="1:19" s="573" customFormat="1" ht="12" customHeight="1">
      <c r="A198" s="563"/>
      <c r="B198" s="563"/>
      <c r="C198" s="563"/>
      <c r="D198" s="563"/>
      <c r="E198" s="563"/>
      <c r="F198" s="571"/>
      <c r="G198" s="572"/>
      <c r="H198" s="572"/>
      <c r="I198" s="572"/>
      <c r="J198" s="572"/>
      <c r="K198" s="572"/>
      <c r="L198" s="572"/>
      <c r="M198" s="572"/>
      <c r="N198" s="572"/>
      <c r="O198" s="572"/>
      <c r="P198" s="572"/>
      <c r="Q198" s="572"/>
      <c r="R198" s="572"/>
      <c r="S198" s="572"/>
    </row>
    <row r="199" spans="1:19" s="573" customFormat="1" ht="12" customHeight="1">
      <c r="A199" s="510" t="s">
        <v>1019</v>
      </c>
      <c r="B199" s="511">
        <f>B1</f>
        <v>270</v>
      </c>
      <c r="C199" s="512"/>
      <c r="D199" s="512"/>
      <c r="E199" s="510" t="s">
        <v>1020</v>
      </c>
      <c r="F199" s="571"/>
      <c r="G199" s="572"/>
      <c r="H199" s="572"/>
      <c r="I199" s="572"/>
      <c r="J199" s="572"/>
      <c r="K199" s="572"/>
      <c r="L199" s="572"/>
      <c r="M199" s="572"/>
      <c r="N199" s="572"/>
      <c r="O199" s="572"/>
      <c r="P199" s="572"/>
      <c r="Q199" s="572"/>
      <c r="R199" s="572"/>
      <c r="S199" s="572"/>
    </row>
    <row r="200" spans="1:19" s="573" customFormat="1" ht="12" customHeight="1">
      <c r="A200" s="512"/>
      <c r="B200" s="511"/>
      <c r="C200" s="512"/>
      <c r="D200" s="512"/>
      <c r="E200" s="510" t="s">
        <v>1212</v>
      </c>
      <c r="F200" s="571"/>
      <c r="G200" s="572"/>
      <c r="H200" s="572"/>
      <c r="I200" s="572"/>
      <c r="J200" s="572"/>
      <c r="K200" s="572"/>
      <c r="L200" s="572"/>
      <c r="M200" s="572"/>
      <c r="N200" s="572"/>
      <c r="O200" s="572"/>
      <c r="P200" s="572"/>
      <c r="Q200" s="572"/>
      <c r="R200" s="572"/>
      <c r="S200" s="572"/>
    </row>
    <row r="201" spans="1:19" s="573" customFormat="1" ht="12" customHeight="1">
      <c r="A201" s="512"/>
      <c r="B201" s="511"/>
      <c r="C201" s="512"/>
      <c r="D201" s="512"/>
      <c r="E201" s="510" t="str">
        <f>E3</f>
        <v>2016-2017</v>
      </c>
      <c r="F201" s="571"/>
      <c r="G201" s="572"/>
      <c r="H201" s="572"/>
      <c r="I201" s="572"/>
      <c r="J201" s="572"/>
      <c r="K201" s="572"/>
      <c r="L201" s="572"/>
      <c r="M201" s="572"/>
      <c r="N201" s="572"/>
      <c r="O201" s="572"/>
      <c r="P201" s="572"/>
      <c r="Q201" s="572"/>
      <c r="R201" s="572"/>
      <c r="S201" s="572"/>
    </row>
    <row r="202" spans="1:19" s="573" customFormat="1" ht="12" customHeight="1">
      <c r="A202" s="512"/>
      <c r="B202" s="511"/>
      <c r="C202" s="512"/>
      <c r="D202" s="512"/>
      <c r="E202" s="512"/>
      <c r="F202" s="571"/>
      <c r="G202" s="572"/>
      <c r="H202" s="572"/>
      <c r="I202" s="572"/>
      <c r="J202" s="572"/>
      <c r="K202" s="572"/>
      <c r="L202" s="572"/>
      <c r="M202" s="572"/>
      <c r="N202" s="572"/>
      <c r="O202" s="572"/>
      <c r="P202" s="572"/>
      <c r="Q202" s="572"/>
      <c r="R202" s="572"/>
      <c r="S202" s="572"/>
    </row>
    <row r="203" spans="1:19" s="573" customFormat="1" ht="12" customHeight="1">
      <c r="A203" s="512"/>
      <c r="B203" s="511"/>
      <c r="C203" s="515" t="s">
        <v>1213</v>
      </c>
      <c r="D203" s="515" t="s">
        <v>1213</v>
      </c>
      <c r="E203" s="515" t="s">
        <v>1213</v>
      </c>
      <c r="F203" s="571"/>
      <c r="G203" s="572"/>
      <c r="H203" s="572"/>
      <c r="I203" s="572"/>
      <c r="J203" s="572"/>
      <c r="K203" s="572"/>
      <c r="L203" s="572"/>
      <c r="M203" s="572"/>
      <c r="N203" s="572"/>
      <c r="O203" s="572"/>
      <c r="P203" s="572"/>
      <c r="Q203" s="572"/>
      <c r="R203" s="572"/>
      <c r="S203" s="572"/>
    </row>
    <row r="204" spans="1:19" s="573" customFormat="1" ht="12" customHeight="1">
      <c r="A204" s="512"/>
      <c r="B204" s="517" t="s">
        <v>1045</v>
      </c>
      <c r="C204" s="518" t="str">
        <f>C6</f>
        <v>2014-2015</v>
      </c>
      <c r="D204" s="518" t="str">
        <f>D6</f>
        <v>2015-2016</v>
      </c>
      <c r="E204" s="518" t="str">
        <f>E6</f>
        <v>2016-2017</v>
      </c>
      <c r="F204" s="571"/>
      <c r="G204" s="572"/>
      <c r="H204" s="572"/>
      <c r="I204" s="572"/>
      <c r="J204" s="572"/>
      <c r="K204" s="572"/>
      <c r="L204" s="572"/>
      <c r="M204" s="572"/>
      <c r="N204" s="572"/>
      <c r="O204" s="572"/>
      <c r="P204" s="572"/>
      <c r="Q204" s="572"/>
      <c r="R204" s="572"/>
      <c r="S204" s="572"/>
    </row>
    <row r="205" spans="1:19" s="573" customFormat="1" ht="12" customHeight="1">
      <c r="A205" s="516" t="s">
        <v>1400</v>
      </c>
      <c r="B205" s="520">
        <v>8</v>
      </c>
      <c r="C205" s="521" t="s">
        <v>1139</v>
      </c>
      <c r="D205" s="521" t="s">
        <v>1139</v>
      </c>
      <c r="E205" s="521" t="s">
        <v>1215</v>
      </c>
      <c r="F205" s="571"/>
      <c r="G205" s="572"/>
      <c r="H205" s="572"/>
      <c r="I205" s="572"/>
      <c r="J205" s="572"/>
      <c r="K205" s="572"/>
      <c r="L205" s="572"/>
      <c r="M205" s="572"/>
      <c r="N205" s="572"/>
      <c r="O205" s="572"/>
      <c r="P205" s="572"/>
      <c r="Q205" s="572"/>
      <c r="R205" s="572"/>
      <c r="S205" s="572"/>
    </row>
    <row r="206" spans="1:19" s="573" customFormat="1" ht="12" customHeight="1">
      <c r="A206" s="515" t="s">
        <v>1401</v>
      </c>
      <c r="B206" s="524" t="s">
        <v>1051</v>
      </c>
      <c r="C206" s="525">
        <v>1</v>
      </c>
      <c r="D206" s="525">
        <v>2</v>
      </c>
      <c r="E206" s="525">
        <v>3</v>
      </c>
      <c r="F206" s="571"/>
      <c r="G206" s="572"/>
      <c r="H206" s="572"/>
      <c r="I206" s="572"/>
      <c r="J206" s="572"/>
      <c r="K206" s="572"/>
      <c r="L206" s="572"/>
      <c r="M206" s="572"/>
      <c r="N206" s="572"/>
      <c r="O206" s="572"/>
      <c r="P206" s="572"/>
      <c r="Q206" s="572"/>
      <c r="R206" s="572"/>
      <c r="S206" s="572"/>
    </row>
    <row r="207" spans="1:19" s="573" customFormat="1" ht="12" customHeight="1">
      <c r="A207" s="2701" t="s">
        <v>1261</v>
      </c>
      <c r="B207" s="569"/>
      <c r="C207" s="2707"/>
      <c r="D207" s="2711"/>
      <c r="E207" s="2707"/>
      <c r="F207" s="571"/>
      <c r="G207" s="572"/>
      <c r="H207" s="572"/>
      <c r="I207" s="572"/>
      <c r="J207" s="572"/>
      <c r="K207" s="572"/>
      <c r="L207" s="572"/>
      <c r="M207" s="572"/>
      <c r="N207" s="572"/>
      <c r="O207" s="572"/>
      <c r="P207" s="572"/>
      <c r="Q207" s="572"/>
      <c r="R207" s="572"/>
      <c r="S207" s="572"/>
    </row>
    <row r="208" spans="1:19" s="573" customFormat="1" ht="12" customHeight="1">
      <c r="A208" s="2702" t="s">
        <v>1309</v>
      </c>
      <c r="B208" s="581"/>
      <c r="C208" s="2709"/>
      <c r="D208" s="2712"/>
      <c r="E208" s="2709"/>
      <c r="F208" s="571"/>
      <c r="G208" s="572"/>
      <c r="H208" s="572"/>
      <c r="I208" s="572"/>
      <c r="J208" s="572"/>
      <c r="K208" s="572"/>
      <c r="L208" s="572"/>
      <c r="M208" s="572"/>
      <c r="N208" s="572"/>
      <c r="O208" s="572"/>
      <c r="P208" s="572"/>
      <c r="Q208" s="572"/>
      <c r="R208" s="572"/>
      <c r="S208" s="572"/>
    </row>
    <row r="209" spans="1:19" s="573" customFormat="1" ht="12" customHeight="1">
      <c r="A209" s="2703" t="s">
        <v>1270</v>
      </c>
      <c r="B209" s="2735">
        <v>622</v>
      </c>
      <c r="C209" s="2452"/>
      <c r="D209" s="586"/>
      <c r="E209" s="2455"/>
      <c r="F209" s="571"/>
      <c r="G209" s="572"/>
      <c r="H209" s="572"/>
      <c r="I209" s="572"/>
      <c r="J209" s="572"/>
      <c r="K209" s="572"/>
      <c r="L209" s="572"/>
      <c r="M209" s="572"/>
      <c r="N209" s="572"/>
      <c r="O209" s="572"/>
      <c r="P209" s="572"/>
      <c r="Q209" s="572"/>
      <c r="R209" s="572"/>
      <c r="S209" s="572"/>
    </row>
    <row r="210" spans="1:19" s="573" customFormat="1" ht="12" customHeight="1">
      <c r="A210" s="2701" t="s">
        <v>1310</v>
      </c>
      <c r="B210" s="2736"/>
      <c r="C210" s="2709"/>
      <c r="D210" s="2713"/>
      <c r="E210" s="2707"/>
      <c r="F210" s="571"/>
      <c r="G210" s="572"/>
      <c r="H210" s="572"/>
      <c r="I210" s="572"/>
      <c r="J210" s="572"/>
      <c r="K210" s="572"/>
      <c r="L210" s="572"/>
      <c r="M210" s="572"/>
      <c r="N210" s="572"/>
      <c r="O210" s="572"/>
      <c r="P210" s="572"/>
      <c r="Q210" s="572"/>
      <c r="R210" s="572"/>
      <c r="S210" s="572"/>
    </row>
    <row r="211" spans="1:19" s="573" customFormat="1" ht="12" customHeight="1">
      <c r="A211" s="2703" t="s">
        <v>1311</v>
      </c>
      <c r="B211" s="2737">
        <v>623</v>
      </c>
      <c r="C211" s="2455"/>
      <c r="D211" s="2700"/>
      <c r="E211" s="2452"/>
      <c r="F211" s="571"/>
      <c r="G211" s="572"/>
      <c r="H211" s="572"/>
      <c r="I211" s="572"/>
      <c r="J211" s="572"/>
      <c r="K211" s="572"/>
      <c r="L211" s="572"/>
      <c r="M211" s="572"/>
      <c r="N211" s="572"/>
      <c r="O211" s="572"/>
      <c r="P211" s="572"/>
      <c r="Q211" s="572"/>
      <c r="R211" s="572"/>
      <c r="S211" s="572"/>
    </row>
    <row r="212" spans="1:19" s="573" customFormat="1" ht="12" customHeight="1">
      <c r="A212" s="398" t="s">
        <v>1314</v>
      </c>
      <c r="B212" s="2735">
        <v>626</v>
      </c>
      <c r="C212" s="583"/>
      <c r="D212" s="586"/>
      <c r="E212" s="2455"/>
      <c r="F212" s="571"/>
      <c r="G212" s="572"/>
      <c r="H212" s="572"/>
      <c r="I212" s="572"/>
      <c r="J212" s="572"/>
      <c r="K212" s="572"/>
      <c r="L212" s="572"/>
      <c r="M212" s="572"/>
      <c r="N212" s="572"/>
      <c r="O212" s="572"/>
      <c r="P212" s="572"/>
      <c r="Q212" s="572"/>
      <c r="R212" s="572"/>
      <c r="S212" s="572"/>
    </row>
    <row r="213" spans="1:19" s="573" customFormat="1" ht="12" customHeight="1">
      <c r="A213" s="398" t="s">
        <v>1315</v>
      </c>
      <c r="B213" s="2736">
        <v>628</v>
      </c>
      <c r="C213" s="583"/>
      <c r="D213" s="585"/>
      <c r="E213" s="2454"/>
      <c r="F213" s="571"/>
      <c r="G213" s="572"/>
      <c r="H213" s="572"/>
      <c r="I213" s="572"/>
      <c r="J213" s="572"/>
      <c r="K213" s="572"/>
      <c r="L213" s="572"/>
      <c r="M213" s="572"/>
      <c r="N213" s="572"/>
      <c r="O213" s="572"/>
      <c r="P213" s="572"/>
      <c r="Q213" s="572"/>
      <c r="R213" s="572"/>
      <c r="S213" s="572"/>
    </row>
    <row r="214" spans="1:19" s="573" customFormat="1" ht="12" customHeight="1">
      <c r="A214" s="398" t="s">
        <v>789</v>
      </c>
      <c r="B214" s="2668">
        <v>630</v>
      </c>
      <c r="C214" s="583"/>
      <c r="D214" s="585"/>
      <c r="E214" s="2454"/>
      <c r="F214" s="571"/>
      <c r="G214" s="572"/>
      <c r="H214" s="572"/>
      <c r="I214" s="572"/>
      <c r="J214" s="572"/>
      <c r="K214" s="572"/>
      <c r="L214" s="572"/>
      <c r="M214" s="572"/>
      <c r="N214" s="572"/>
      <c r="O214" s="572"/>
      <c r="P214" s="572"/>
      <c r="Q214" s="572"/>
      <c r="R214" s="572"/>
      <c r="S214" s="572"/>
    </row>
    <row r="215" spans="1:19" s="573" customFormat="1" ht="12" customHeight="1">
      <c r="A215" s="395" t="s">
        <v>1318</v>
      </c>
      <c r="B215" s="2736">
        <v>632</v>
      </c>
      <c r="C215" s="583"/>
      <c r="D215" s="585"/>
      <c r="E215" s="2454"/>
      <c r="F215" s="571"/>
      <c r="G215" s="572"/>
      <c r="H215" s="572"/>
      <c r="I215" s="572"/>
      <c r="J215" s="572"/>
      <c r="K215" s="572"/>
      <c r="L215" s="572"/>
      <c r="M215" s="572"/>
      <c r="N215" s="572"/>
      <c r="O215" s="572"/>
      <c r="P215" s="572"/>
      <c r="Q215" s="572"/>
      <c r="R215" s="572"/>
      <c r="S215" s="572"/>
    </row>
    <row r="216" spans="1:19" s="573" customFormat="1" ht="12" customHeight="1">
      <c r="A216" s="395" t="s">
        <v>1327</v>
      </c>
      <c r="B216" s="2736">
        <v>634</v>
      </c>
      <c r="C216" s="583"/>
      <c r="D216" s="585"/>
      <c r="E216" s="2454"/>
      <c r="F216" s="571"/>
      <c r="G216" s="572"/>
      <c r="H216" s="572"/>
      <c r="I216" s="572"/>
      <c r="J216" s="572"/>
      <c r="K216" s="572"/>
      <c r="L216" s="572"/>
      <c r="M216" s="572"/>
      <c r="N216" s="572"/>
      <c r="O216" s="572"/>
      <c r="P216" s="572"/>
      <c r="Q216" s="572"/>
      <c r="R216" s="572"/>
      <c r="S216" s="572"/>
    </row>
    <row r="217" spans="1:19" s="573" customFormat="1" ht="12" customHeight="1">
      <c r="A217" s="2701" t="s">
        <v>1337</v>
      </c>
      <c r="B217" s="2736"/>
      <c r="C217" s="2709"/>
      <c r="D217" s="2713"/>
      <c r="E217" s="2707"/>
      <c r="F217" s="571"/>
      <c r="G217" s="572"/>
      <c r="H217" s="572"/>
      <c r="I217" s="572"/>
      <c r="J217" s="572"/>
      <c r="K217" s="572"/>
      <c r="L217" s="572"/>
      <c r="M217" s="572"/>
      <c r="N217" s="572"/>
      <c r="O217" s="572"/>
      <c r="P217" s="572"/>
      <c r="Q217" s="572"/>
      <c r="R217" s="572"/>
      <c r="S217" s="572"/>
    </row>
    <row r="218" spans="1:19" s="573" customFormat="1" ht="12" customHeight="1">
      <c r="A218" s="2703" t="s">
        <v>1338</v>
      </c>
      <c r="B218" s="2735">
        <v>636</v>
      </c>
      <c r="C218" s="2452"/>
      <c r="D218" s="2710"/>
      <c r="E218" s="2455"/>
      <c r="F218" s="571"/>
      <c r="G218" s="572"/>
      <c r="H218" s="572"/>
      <c r="I218" s="572"/>
      <c r="J218" s="572"/>
      <c r="K218" s="572"/>
      <c r="L218" s="572"/>
      <c r="M218" s="572"/>
      <c r="N218" s="572"/>
      <c r="O218" s="572"/>
      <c r="P218" s="572"/>
      <c r="Q218" s="572"/>
      <c r="R218" s="572"/>
      <c r="S218" s="572"/>
    </row>
    <row r="219" spans="1:19" s="573" customFormat="1" ht="12" customHeight="1">
      <c r="A219" s="2701" t="s">
        <v>1339</v>
      </c>
      <c r="B219" s="2736"/>
      <c r="C219" s="2709"/>
      <c r="D219" s="2711"/>
      <c r="E219" s="2707"/>
      <c r="F219" s="571"/>
      <c r="G219" s="572"/>
      <c r="H219" s="572"/>
      <c r="I219" s="572"/>
      <c r="J219" s="572"/>
      <c r="K219" s="572"/>
      <c r="L219" s="572"/>
      <c r="M219" s="572"/>
      <c r="N219" s="572"/>
      <c r="O219" s="572"/>
      <c r="P219" s="572"/>
      <c r="Q219" s="572"/>
      <c r="R219" s="572"/>
      <c r="S219" s="572"/>
    </row>
    <row r="220" spans="1:19" s="573" customFormat="1" ht="12" customHeight="1">
      <c r="A220" s="2703" t="s">
        <v>1340</v>
      </c>
      <c r="B220" s="2737">
        <v>638</v>
      </c>
      <c r="C220" s="2455"/>
      <c r="D220" s="576"/>
      <c r="E220" s="2452"/>
      <c r="F220" s="571"/>
      <c r="G220" s="572"/>
      <c r="H220" s="572"/>
      <c r="I220" s="572"/>
      <c r="J220" s="572"/>
      <c r="K220" s="572"/>
      <c r="L220" s="572"/>
      <c r="M220" s="572"/>
      <c r="N220" s="572"/>
      <c r="O220" s="572"/>
      <c r="P220" s="572"/>
      <c r="Q220" s="572"/>
      <c r="R220" s="572"/>
      <c r="S220" s="572"/>
    </row>
    <row r="221" spans="1:19" s="573" customFormat="1" ht="12" customHeight="1">
      <c r="A221" s="398" t="s">
        <v>1341</v>
      </c>
      <c r="B221" s="2735">
        <v>640</v>
      </c>
      <c r="C221" s="583"/>
      <c r="D221" s="586"/>
      <c r="E221" s="2455"/>
      <c r="F221" s="571"/>
      <c r="G221" s="572"/>
      <c r="H221" s="572"/>
      <c r="I221" s="572"/>
      <c r="J221" s="572"/>
      <c r="K221" s="572"/>
      <c r="L221" s="572"/>
      <c r="M221" s="572"/>
      <c r="N221" s="572"/>
      <c r="O221" s="572"/>
      <c r="P221" s="572"/>
      <c r="Q221" s="572"/>
      <c r="R221" s="572"/>
      <c r="S221" s="572"/>
    </row>
    <row r="222" spans="1:19" s="573" customFormat="1" ht="12" customHeight="1">
      <c r="A222" s="398" t="s">
        <v>1342</v>
      </c>
      <c r="B222" s="2736">
        <v>642</v>
      </c>
      <c r="C222" s="583"/>
      <c r="D222" s="585"/>
      <c r="E222" s="2454"/>
      <c r="F222" s="571"/>
      <c r="G222" s="572"/>
      <c r="H222" s="572"/>
      <c r="I222" s="572"/>
      <c r="J222" s="572"/>
      <c r="K222" s="572"/>
      <c r="L222" s="572"/>
      <c r="M222" s="572"/>
      <c r="N222" s="572"/>
      <c r="O222" s="572"/>
      <c r="P222" s="572"/>
      <c r="Q222" s="572"/>
      <c r="R222" s="572"/>
      <c r="S222" s="572"/>
    </row>
    <row r="223" spans="1:19" s="573" customFormat="1" ht="12" customHeight="1">
      <c r="A223" s="398" t="s">
        <v>1343</v>
      </c>
      <c r="B223" s="2736">
        <v>644</v>
      </c>
      <c r="C223" s="583"/>
      <c r="D223" s="585"/>
      <c r="E223" s="2454"/>
      <c r="F223" s="571"/>
      <c r="G223" s="572"/>
      <c r="H223" s="572"/>
      <c r="I223" s="572"/>
      <c r="J223" s="572"/>
      <c r="K223" s="572"/>
      <c r="L223" s="572"/>
      <c r="M223" s="572"/>
      <c r="N223" s="572"/>
      <c r="O223" s="572"/>
      <c r="P223" s="572"/>
      <c r="Q223" s="572"/>
      <c r="R223" s="572"/>
      <c r="S223" s="572"/>
    </row>
    <row r="224" spans="1:19" s="573" customFormat="1" ht="12" customHeight="1">
      <c r="A224" s="398" t="s">
        <v>1344</v>
      </c>
      <c r="B224" s="2736">
        <v>646</v>
      </c>
      <c r="C224" s="583"/>
      <c r="D224" s="585"/>
      <c r="E224" s="2454"/>
      <c r="F224" s="571"/>
      <c r="G224" s="572"/>
      <c r="H224" s="572"/>
      <c r="I224" s="572"/>
      <c r="J224" s="572"/>
      <c r="K224" s="572"/>
      <c r="L224" s="572"/>
      <c r="M224" s="572"/>
      <c r="N224" s="572"/>
      <c r="O224" s="572"/>
      <c r="P224" s="572"/>
      <c r="Q224" s="572"/>
      <c r="R224" s="572"/>
      <c r="S224" s="572"/>
    </row>
    <row r="225" spans="1:19" s="573" customFormat="1" ht="12" customHeight="1">
      <c r="A225" s="398" t="s">
        <v>1345</v>
      </c>
      <c r="B225" s="2736">
        <v>648</v>
      </c>
      <c r="C225" s="583"/>
      <c r="D225" s="585"/>
      <c r="E225" s="2454"/>
      <c r="F225" s="571"/>
      <c r="G225" s="572"/>
      <c r="H225" s="572"/>
      <c r="I225" s="572"/>
      <c r="J225" s="572"/>
      <c r="K225" s="572"/>
      <c r="L225" s="572"/>
      <c r="M225" s="572"/>
      <c r="N225" s="572"/>
      <c r="O225" s="572"/>
      <c r="P225" s="572"/>
      <c r="Q225" s="572"/>
      <c r="R225" s="572"/>
      <c r="S225" s="572"/>
    </row>
    <row r="226" spans="1:19" s="573" customFormat="1" ht="12" customHeight="1">
      <c r="A226" s="398" t="s">
        <v>1346</v>
      </c>
      <c r="B226" s="2736">
        <v>650</v>
      </c>
      <c r="C226" s="583"/>
      <c r="D226" s="585"/>
      <c r="E226" s="2454"/>
      <c r="F226" s="571"/>
      <c r="G226" s="572"/>
      <c r="H226" s="572"/>
      <c r="I226" s="572"/>
      <c r="J226" s="572"/>
      <c r="K226" s="572"/>
      <c r="L226" s="572"/>
      <c r="M226" s="572"/>
      <c r="N226" s="572"/>
      <c r="O226" s="572"/>
      <c r="P226" s="572"/>
      <c r="Q226" s="572"/>
      <c r="R226" s="572"/>
      <c r="S226" s="572"/>
    </row>
    <row r="227" spans="1:19" s="573" customFormat="1" ht="12" customHeight="1">
      <c r="A227" s="2719" t="s">
        <v>694</v>
      </c>
      <c r="B227" s="2738"/>
      <c r="C227" s="2712"/>
      <c r="D227" s="2707"/>
      <c r="E227" s="2713"/>
      <c r="F227" s="571"/>
      <c r="G227" s="572"/>
      <c r="H227" s="572"/>
      <c r="I227" s="572"/>
      <c r="J227" s="572"/>
      <c r="K227" s="572"/>
      <c r="L227" s="572"/>
      <c r="M227" s="572"/>
      <c r="N227" s="572"/>
      <c r="O227" s="572"/>
      <c r="P227" s="572"/>
      <c r="Q227" s="572"/>
      <c r="R227" s="572"/>
      <c r="S227" s="572"/>
    </row>
    <row r="228" spans="1:19" s="573" customFormat="1" ht="12" customHeight="1">
      <c r="A228" s="2720" t="s">
        <v>791</v>
      </c>
      <c r="B228" s="2739"/>
      <c r="C228" s="2712"/>
      <c r="D228" s="2709"/>
      <c r="E228" s="2722"/>
      <c r="F228" s="571"/>
      <c r="G228" s="572"/>
      <c r="H228" s="572"/>
      <c r="I228" s="572"/>
      <c r="J228" s="572"/>
      <c r="K228" s="572"/>
      <c r="L228" s="572"/>
      <c r="M228" s="572"/>
      <c r="N228" s="572"/>
      <c r="O228" s="572"/>
      <c r="P228" s="572"/>
      <c r="Q228" s="572"/>
      <c r="R228" s="572"/>
      <c r="S228" s="572"/>
    </row>
    <row r="229" spans="1:19" s="573" customFormat="1" ht="12" customHeight="1">
      <c r="A229" s="2720" t="s">
        <v>1268</v>
      </c>
      <c r="B229" s="2739"/>
      <c r="C229" s="2712"/>
      <c r="D229" s="2709"/>
      <c r="E229" s="2722"/>
      <c r="F229" s="571"/>
      <c r="G229" s="572"/>
      <c r="H229" s="572"/>
      <c r="I229" s="572"/>
      <c r="J229" s="572"/>
      <c r="K229" s="572"/>
      <c r="L229" s="572"/>
      <c r="M229" s="572"/>
      <c r="N229" s="572"/>
      <c r="O229" s="572"/>
      <c r="P229" s="572"/>
      <c r="Q229" s="572"/>
      <c r="R229" s="572"/>
      <c r="S229" s="572"/>
    </row>
    <row r="230" spans="1:19" s="573" customFormat="1" ht="12" customHeight="1">
      <c r="A230" s="2721" t="s">
        <v>677</v>
      </c>
      <c r="B230" s="2739">
        <v>652</v>
      </c>
      <c r="C230" s="2452"/>
      <c r="D230" s="2455"/>
      <c r="E230" s="2710"/>
      <c r="F230" s="571"/>
      <c r="G230" s="572"/>
      <c r="H230" s="572"/>
      <c r="I230" s="572"/>
      <c r="J230" s="572"/>
      <c r="K230" s="572"/>
      <c r="L230" s="572"/>
      <c r="M230" s="572"/>
      <c r="N230" s="572"/>
      <c r="O230" s="572"/>
      <c r="P230" s="572"/>
      <c r="Q230" s="572"/>
      <c r="R230" s="572"/>
      <c r="S230" s="572"/>
    </row>
    <row r="231" spans="1:19" s="573" customFormat="1" ht="12" customHeight="1">
      <c r="A231" s="2723" t="s">
        <v>1271</v>
      </c>
      <c r="B231" s="2738"/>
      <c r="C231" s="2712"/>
      <c r="D231" s="2706"/>
      <c r="E231" s="2707"/>
      <c r="F231" s="571"/>
      <c r="G231" s="572"/>
      <c r="H231" s="572"/>
      <c r="I231" s="572"/>
      <c r="J231" s="572"/>
      <c r="K231" s="572"/>
      <c r="L231" s="572"/>
      <c r="M231" s="572"/>
      <c r="N231" s="572"/>
      <c r="O231" s="572"/>
      <c r="P231" s="572"/>
      <c r="Q231" s="572"/>
      <c r="R231" s="572"/>
      <c r="S231" s="572"/>
    </row>
    <row r="232" spans="1:19" s="573" customFormat="1" ht="12" customHeight="1">
      <c r="A232" s="2724" t="s">
        <v>353</v>
      </c>
      <c r="B232" s="2740">
        <v>654</v>
      </c>
      <c r="C232" s="586"/>
      <c r="D232" s="2646"/>
      <c r="E232" s="2452"/>
      <c r="F232" s="571"/>
      <c r="G232" s="572"/>
      <c r="H232" s="572"/>
      <c r="I232" s="572"/>
      <c r="J232" s="572"/>
      <c r="K232" s="572"/>
      <c r="L232" s="572"/>
      <c r="M232" s="572"/>
      <c r="N232" s="572"/>
      <c r="O232" s="572"/>
      <c r="P232" s="572"/>
      <c r="Q232" s="572"/>
      <c r="R232" s="572"/>
      <c r="S232" s="572"/>
    </row>
    <row r="233" spans="1:19" s="573" customFormat="1" ht="12" customHeight="1">
      <c r="A233" s="1313" t="s">
        <v>1273</v>
      </c>
      <c r="B233" s="2735">
        <v>656</v>
      </c>
      <c r="C233" s="583"/>
      <c r="D233" s="586"/>
      <c r="E233" s="2455"/>
      <c r="F233" s="571"/>
      <c r="G233" s="572"/>
      <c r="H233" s="572"/>
      <c r="I233" s="572"/>
      <c r="J233" s="572"/>
      <c r="K233" s="572"/>
      <c r="L233" s="572"/>
      <c r="M233" s="572"/>
      <c r="N233" s="572"/>
      <c r="O233" s="572"/>
      <c r="P233" s="572"/>
      <c r="Q233" s="572"/>
      <c r="R233" s="572"/>
      <c r="S233" s="572"/>
    </row>
    <row r="234" spans="1:19" s="573" customFormat="1" ht="12" customHeight="1">
      <c r="A234" s="1314" t="s">
        <v>1276</v>
      </c>
      <c r="B234" s="2736">
        <v>658</v>
      </c>
      <c r="C234" s="583"/>
      <c r="D234" s="585"/>
      <c r="E234" s="2454"/>
      <c r="F234" s="571"/>
      <c r="G234" s="572"/>
      <c r="H234" s="572"/>
      <c r="I234" s="572"/>
      <c r="J234" s="572"/>
      <c r="K234" s="572"/>
      <c r="L234" s="572"/>
      <c r="M234" s="572"/>
      <c r="N234" s="572"/>
      <c r="O234" s="572"/>
      <c r="P234" s="572"/>
      <c r="Q234" s="572"/>
      <c r="R234" s="572"/>
      <c r="S234" s="572"/>
    </row>
    <row r="235" spans="1:19" s="573" customFormat="1" ht="12" customHeight="1">
      <c r="A235" s="1314" t="s">
        <v>1288</v>
      </c>
      <c r="B235" s="2736">
        <v>660</v>
      </c>
      <c r="C235" s="583"/>
      <c r="D235" s="585"/>
      <c r="E235" s="2454"/>
      <c r="F235" s="571"/>
      <c r="G235" s="572"/>
      <c r="H235" s="572"/>
      <c r="I235" s="572"/>
      <c r="J235" s="572"/>
      <c r="K235" s="572"/>
      <c r="L235" s="572"/>
      <c r="M235" s="572"/>
      <c r="N235" s="572"/>
      <c r="O235" s="572"/>
      <c r="P235" s="572"/>
      <c r="Q235" s="572"/>
      <c r="R235" s="572"/>
      <c r="S235" s="572"/>
    </row>
    <row r="236" spans="1:19" s="573" customFormat="1" ht="12" customHeight="1">
      <c r="A236" s="1313" t="s">
        <v>728</v>
      </c>
      <c r="B236" s="2736">
        <v>662</v>
      </c>
      <c r="C236" s="583"/>
      <c r="D236" s="585"/>
      <c r="E236" s="2454"/>
      <c r="F236" s="571"/>
      <c r="G236" s="572"/>
      <c r="H236" s="572"/>
      <c r="I236" s="572"/>
      <c r="J236" s="572"/>
      <c r="K236" s="572"/>
      <c r="L236" s="572"/>
      <c r="M236" s="572"/>
      <c r="N236" s="572"/>
      <c r="O236" s="572"/>
      <c r="P236" s="572"/>
      <c r="Q236" s="572"/>
      <c r="R236" s="572"/>
      <c r="S236" s="572"/>
    </row>
    <row r="237" spans="1:19" s="573" customFormat="1" ht="12" customHeight="1">
      <c r="A237" s="1314" t="s">
        <v>1293</v>
      </c>
      <c r="B237" s="2736">
        <v>664</v>
      </c>
      <c r="C237" s="583"/>
      <c r="D237" s="585"/>
      <c r="E237" s="2454"/>
      <c r="F237" s="571"/>
      <c r="G237" s="572"/>
      <c r="H237" s="572"/>
      <c r="I237" s="572"/>
      <c r="J237" s="572"/>
      <c r="K237" s="572"/>
      <c r="L237" s="572"/>
      <c r="M237" s="572"/>
      <c r="N237" s="572"/>
      <c r="O237" s="572"/>
      <c r="P237" s="572"/>
      <c r="Q237" s="572"/>
      <c r="R237" s="572"/>
      <c r="S237" s="572"/>
    </row>
    <row r="238" spans="1:19" s="573" customFormat="1" ht="12" customHeight="1">
      <c r="A238" s="2719" t="s">
        <v>792</v>
      </c>
      <c r="B238" s="2738"/>
      <c r="C238" s="2712"/>
      <c r="D238" s="2706"/>
      <c r="E238" s="2707"/>
      <c r="F238" s="571"/>
      <c r="G238" s="572"/>
      <c r="H238" s="572"/>
      <c r="I238" s="572"/>
      <c r="J238" s="572"/>
      <c r="K238" s="572"/>
      <c r="L238" s="572"/>
      <c r="M238" s="572"/>
      <c r="N238" s="572"/>
      <c r="O238" s="572"/>
      <c r="P238" s="572"/>
      <c r="Q238" s="572"/>
      <c r="R238" s="572"/>
      <c r="S238" s="572"/>
    </row>
    <row r="239" spans="1:19" s="573" customFormat="1" ht="12" customHeight="1">
      <c r="A239" s="2720" t="s">
        <v>1268</v>
      </c>
      <c r="B239" s="2739"/>
      <c r="C239" s="2712"/>
      <c r="D239" s="2708"/>
      <c r="E239" s="2709"/>
      <c r="F239" s="571"/>
      <c r="G239" s="572"/>
      <c r="H239" s="572"/>
      <c r="I239" s="572"/>
      <c r="J239" s="572"/>
      <c r="K239" s="572"/>
      <c r="L239" s="572"/>
      <c r="M239" s="572"/>
      <c r="N239" s="572"/>
      <c r="O239" s="572"/>
      <c r="P239" s="572"/>
      <c r="Q239" s="572"/>
      <c r="R239" s="572"/>
      <c r="S239" s="572"/>
    </row>
    <row r="240" spans="1:19" s="573" customFormat="1" ht="12" customHeight="1">
      <c r="A240" s="2721" t="s">
        <v>677</v>
      </c>
      <c r="B240" s="2739">
        <v>666</v>
      </c>
      <c r="C240" s="2452"/>
      <c r="D240" s="2705"/>
      <c r="E240" s="2455"/>
      <c r="F240" s="571"/>
      <c r="G240" s="572"/>
      <c r="H240" s="572"/>
      <c r="I240" s="572"/>
      <c r="J240" s="572"/>
      <c r="K240" s="572"/>
      <c r="L240" s="572"/>
      <c r="M240" s="572"/>
      <c r="N240" s="572"/>
      <c r="O240" s="572"/>
      <c r="P240" s="572"/>
      <c r="Q240" s="572"/>
      <c r="R240" s="572"/>
      <c r="S240" s="572"/>
    </row>
    <row r="241" spans="1:19" s="573" customFormat="1" ht="12" customHeight="1">
      <c r="A241" s="2719" t="s">
        <v>1271</v>
      </c>
      <c r="B241" s="2738"/>
      <c r="C241" s="2712"/>
      <c r="D241" s="2706"/>
      <c r="E241" s="2707"/>
      <c r="F241" s="571"/>
      <c r="G241" s="572"/>
      <c r="H241" s="572"/>
      <c r="I241" s="572"/>
      <c r="J241" s="572"/>
      <c r="K241" s="572"/>
      <c r="L241" s="572"/>
      <c r="M241" s="572"/>
      <c r="N241" s="572"/>
      <c r="O241" s="572"/>
      <c r="P241" s="572"/>
      <c r="Q241" s="572"/>
      <c r="R241" s="572"/>
      <c r="S241" s="572"/>
    </row>
    <row r="242" spans="1:19" s="573" customFormat="1" ht="12" customHeight="1">
      <c r="A242" s="2721" t="s">
        <v>353</v>
      </c>
      <c r="B242" s="2740">
        <v>668</v>
      </c>
      <c r="C242" s="586"/>
      <c r="D242" s="2646"/>
      <c r="E242" s="2452"/>
      <c r="F242" s="571"/>
      <c r="G242" s="572"/>
      <c r="H242" s="572"/>
      <c r="I242" s="572"/>
      <c r="J242" s="572"/>
      <c r="K242" s="572"/>
      <c r="L242" s="572"/>
      <c r="M242" s="572"/>
      <c r="N242" s="572"/>
      <c r="O242" s="572"/>
      <c r="P242" s="572"/>
      <c r="Q242" s="572"/>
      <c r="R242" s="572"/>
      <c r="S242" s="572"/>
    </row>
    <row r="243" spans="1:19" s="573" customFormat="1" ht="12" customHeight="1">
      <c r="A243" s="1314" t="s">
        <v>1273</v>
      </c>
      <c r="B243" s="2735">
        <v>670</v>
      </c>
      <c r="C243" s="583"/>
      <c r="D243" s="586"/>
      <c r="E243" s="2455"/>
      <c r="F243" s="571"/>
      <c r="G243" s="572"/>
      <c r="H243" s="572"/>
      <c r="I243" s="572"/>
      <c r="J243" s="572"/>
      <c r="K243" s="572"/>
      <c r="L243" s="572"/>
      <c r="M243" s="572"/>
      <c r="N243" s="572"/>
      <c r="O243" s="572"/>
      <c r="P243" s="572"/>
      <c r="Q243" s="572"/>
      <c r="R243" s="572"/>
      <c r="S243" s="572"/>
    </row>
    <row r="244" spans="1:19" s="573" customFormat="1" ht="12" customHeight="1">
      <c r="A244" s="1313" t="s">
        <v>1276</v>
      </c>
      <c r="B244" s="2736">
        <v>672</v>
      </c>
      <c r="C244" s="583"/>
      <c r="D244" s="585"/>
      <c r="E244" s="2454"/>
      <c r="F244" s="571"/>
      <c r="G244" s="572"/>
      <c r="H244" s="572"/>
      <c r="I244" s="572"/>
      <c r="J244" s="572"/>
      <c r="K244" s="572"/>
      <c r="L244" s="572"/>
      <c r="M244" s="572"/>
      <c r="N244" s="572"/>
      <c r="O244" s="572"/>
      <c r="P244" s="572"/>
      <c r="Q244" s="572"/>
      <c r="R244" s="572"/>
      <c r="S244" s="572"/>
    </row>
    <row r="245" spans="1:19" s="573" customFormat="1" ht="12" customHeight="1">
      <c r="A245" s="1314" t="s">
        <v>729</v>
      </c>
      <c r="B245" s="2736">
        <v>674</v>
      </c>
      <c r="C245" s="583"/>
      <c r="D245" s="585"/>
      <c r="E245" s="2454"/>
      <c r="F245" s="571"/>
      <c r="G245" s="572"/>
      <c r="H245" s="572"/>
      <c r="I245" s="572"/>
      <c r="J245" s="572"/>
      <c r="K245" s="572"/>
      <c r="L245" s="572"/>
      <c r="M245" s="572"/>
      <c r="N245" s="572"/>
      <c r="O245" s="572"/>
      <c r="P245" s="572"/>
      <c r="Q245" s="572"/>
      <c r="R245" s="572"/>
      <c r="S245" s="572"/>
    </row>
    <row r="246" spans="1:19" s="573" customFormat="1" ht="12" customHeight="1">
      <c r="A246" s="2719" t="s">
        <v>1282</v>
      </c>
      <c r="B246" s="2738"/>
      <c r="C246" s="2712"/>
      <c r="D246" s="2706"/>
      <c r="E246" s="2707"/>
      <c r="F246" s="571"/>
      <c r="G246" s="572"/>
      <c r="H246" s="572"/>
      <c r="I246" s="572"/>
      <c r="J246" s="572"/>
      <c r="K246" s="572"/>
      <c r="L246" s="572"/>
      <c r="M246" s="572"/>
      <c r="N246" s="572"/>
      <c r="O246" s="572"/>
      <c r="P246" s="572"/>
      <c r="Q246" s="572"/>
      <c r="R246" s="572"/>
      <c r="S246" s="572"/>
    </row>
    <row r="247" spans="1:19" s="573" customFormat="1" ht="12" customHeight="1">
      <c r="A247" s="2721" t="s">
        <v>1389</v>
      </c>
      <c r="B247" s="2740">
        <v>676</v>
      </c>
      <c r="C247" s="586"/>
      <c r="D247" s="2646"/>
      <c r="E247" s="2452"/>
      <c r="F247" s="571"/>
      <c r="G247" s="572"/>
      <c r="H247" s="572"/>
      <c r="I247" s="572"/>
      <c r="J247" s="572"/>
      <c r="K247" s="572"/>
      <c r="L247" s="572"/>
      <c r="M247" s="572"/>
      <c r="N247" s="572"/>
      <c r="O247" s="572"/>
      <c r="P247" s="572"/>
      <c r="Q247" s="572"/>
      <c r="R247" s="572"/>
      <c r="S247" s="572"/>
    </row>
    <row r="248" spans="1:19" s="573" customFormat="1" ht="12" customHeight="1">
      <c r="A248" s="1314" t="s">
        <v>1390</v>
      </c>
      <c r="B248" s="2735">
        <v>678</v>
      </c>
      <c r="C248" s="583"/>
      <c r="D248" s="586"/>
      <c r="E248" s="2455"/>
      <c r="F248" s="571"/>
      <c r="G248" s="572"/>
      <c r="H248" s="572"/>
      <c r="I248" s="572"/>
      <c r="J248" s="572"/>
      <c r="K248" s="572"/>
      <c r="L248" s="572"/>
      <c r="M248" s="572"/>
      <c r="N248" s="572"/>
      <c r="O248" s="572"/>
      <c r="P248" s="572"/>
      <c r="Q248" s="572"/>
      <c r="R248" s="572"/>
      <c r="S248" s="572"/>
    </row>
    <row r="249" spans="1:19" s="573" customFormat="1" ht="12" customHeight="1">
      <c r="A249" s="1314" t="s">
        <v>1304</v>
      </c>
      <c r="B249" s="2736">
        <v>680</v>
      </c>
      <c r="C249" s="583"/>
      <c r="D249" s="585"/>
      <c r="E249" s="2454"/>
      <c r="F249" s="571"/>
      <c r="G249" s="572"/>
      <c r="H249" s="572"/>
      <c r="I249" s="572"/>
      <c r="J249" s="572"/>
      <c r="K249" s="572"/>
      <c r="L249" s="572"/>
      <c r="M249" s="572"/>
      <c r="N249" s="572"/>
      <c r="O249" s="572"/>
      <c r="P249" s="572"/>
      <c r="Q249" s="572"/>
      <c r="R249" s="572"/>
      <c r="S249" s="572"/>
    </row>
    <row r="250" spans="1:19" s="573" customFormat="1" ht="12" customHeight="1">
      <c r="A250" s="1314" t="s">
        <v>730</v>
      </c>
      <c r="B250" s="2736">
        <v>682</v>
      </c>
      <c r="C250" s="583"/>
      <c r="D250" s="585"/>
      <c r="E250" s="2454"/>
      <c r="F250" s="571"/>
      <c r="G250" s="572"/>
      <c r="H250" s="572"/>
      <c r="I250" s="572"/>
      <c r="J250" s="572"/>
      <c r="K250" s="572"/>
      <c r="L250" s="572"/>
      <c r="M250" s="572"/>
      <c r="N250" s="572"/>
      <c r="O250" s="572"/>
      <c r="P250" s="572"/>
      <c r="Q250" s="572"/>
      <c r="R250" s="572"/>
      <c r="S250" s="572"/>
    </row>
    <row r="251" spans="1:19" s="573" customFormat="1" ht="12" customHeight="1">
      <c r="A251" s="1314" t="s">
        <v>731</v>
      </c>
      <c r="B251" s="2736">
        <v>684</v>
      </c>
      <c r="C251" s="583"/>
      <c r="D251" s="585"/>
      <c r="E251" s="2454"/>
      <c r="F251" s="571"/>
      <c r="G251" s="572"/>
      <c r="H251" s="572"/>
      <c r="I251" s="572"/>
      <c r="J251" s="572"/>
      <c r="K251" s="572"/>
      <c r="L251" s="572"/>
      <c r="M251" s="572"/>
      <c r="N251" s="572"/>
      <c r="O251" s="572"/>
      <c r="P251" s="572"/>
      <c r="Q251" s="572"/>
      <c r="R251" s="572"/>
      <c r="S251" s="572"/>
    </row>
    <row r="252" spans="1:19" s="573" customFormat="1" ht="12" customHeight="1">
      <c r="A252" s="1314" t="s">
        <v>1293</v>
      </c>
      <c r="B252" s="2736">
        <v>686</v>
      </c>
      <c r="C252" s="583"/>
      <c r="D252" s="585"/>
      <c r="E252" s="2454"/>
      <c r="F252" s="571"/>
      <c r="G252" s="572"/>
      <c r="H252" s="572"/>
      <c r="I252" s="572"/>
      <c r="J252" s="572"/>
      <c r="K252" s="572"/>
      <c r="L252" s="572"/>
      <c r="M252" s="572"/>
      <c r="N252" s="572"/>
      <c r="O252" s="572"/>
      <c r="P252" s="572"/>
      <c r="Q252" s="572"/>
      <c r="R252" s="572"/>
      <c r="S252" s="572"/>
    </row>
    <row r="253" spans="1:19" s="573" customFormat="1" ht="12" customHeight="1">
      <c r="A253" s="2719" t="s">
        <v>793</v>
      </c>
      <c r="B253" s="2738"/>
      <c r="C253" s="2712"/>
      <c r="D253" s="2707"/>
      <c r="E253" s="2707"/>
      <c r="F253" s="571"/>
      <c r="G253" s="572"/>
      <c r="H253" s="572"/>
      <c r="I253" s="572"/>
      <c r="J253" s="572"/>
      <c r="K253" s="572"/>
      <c r="L253" s="572"/>
      <c r="M253" s="572"/>
      <c r="N253" s="572"/>
      <c r="O253" s="572"/>
      <c r="P253" s="572"/>
      <c r="Q253" s="572"/>
      <c r="R253" s="572"/>
      <c r="S253" s="572"/>
    </row>
    <row r="254" spans="1:19" s="573" customFormat="1" ht="12" customHeight="1">
      <c r="A254" s="2720" t="s">
        <v>1268</v>
      </c>
      <c r="B254" s="2739"/>
      <c r="C254" s="2712"/>
      <c r="D254" s="2709"/>
      <c r="E254" s="2709"/>
      <c r="F254" s="571"/>
      <c r="G254" s="572"/>
      <c r="H254" s="572"/>
      <c r="I254" s="572"/>
      <c r="J254" s="572"/>
      <c r="K254" s="572"/>
      <c r="L254" s="572"/>
      <c r="M254" s="572"/>
      <c r="N254" s="572"/>
      <c r="O254" s="572"/>
      <c r="P254" s="572"/>
      <c r="Q254" s="572"/>
      <c r="R254" s="572"/>
      <c r="S254" s="572"/>
    </row>
    <row r="255" spans="1:19" s="573" customFormat="1" ht="12" customHeight="1">
      <c r="A255" s="2721" t="s">
        <v>674</v>
      </c>
      <c r="B255" s="2739">
        <v>688</v>
      </c>
      <c r="C255" s="2452"/>
      <c r="D255" s="2455"/>
      <c r="E255" s="2455"/>
      <c r="F255" s="571"/>
      <c r="G255" s="572"/>
      <c r="H255" s="572"/>
      <c r="I255" s="572"/>
      <c r="J255" s="572"/>
      <c r="K255" s="572"/>
      <c r="L255" s="572"/>
      <c r="M255" s="572"/>
      <c r="N255" s="572"/>
      <c r="O255" s="572"/>
      <c r="P255" s="572"/>
      <c r="Q255" s="572"/>
      <c r="R255" s="572"/>
      <c r="S255" s="572"/>
    </row>
    <row r="256" spans="1:19" s="573" customFormat="1" ht="12" customHeight="1">
      <c r="A256" s="2719" t="s">
        <v>1271</v>
      </c>
      <c r="B256" s="2738"/>
      <c r="C256" s="2712"/>
      <c r="D256" s="2706"/>
      <c r="E256" s="2707"/>
      <c r="F256" s="571"/>
      <c r="G256" s="572"/>
      <c r="H256" s="572"/>
      <c r="I256" s="572"/>
      <c r="J256" s="572"/>
      <c r="K256" s="572"/>
      <c r="L256" s="572"/>
      <c r="M256" s="572"/>
      <c r="N256" s="572"/>
      <c r="O256" s="572"/>
      <c r="P256" s="572"/>
      <c r="Q256" s="572"/>
      <c r="R256" s="572"/>
      <c r="S256" s="572"/>
    </row>
    <row r="257" spans="1:19" s="573" customFormat="1" ht="12" customHeight="1">
      <c r="A257" s="2721" t="s">
        <v>353</v>
      </c>
      <c r="B257" s="2740">
        <v>690</v>
      </c>
      <c r="C257" s="586"/>
      <c r="D257" s="2646"/>
      <c r="E257" s="2452"/>
      <c r="F257" s="571"/>
      <c r="G257" s="572"/>
      <c r="H257" s="572"/>
      <c r="I257" s="572"/>
      <c r="J257" s="572"/>
      <c r="K257" s="572"/>
      <c r="L257" s="572"/>
      <c r="M257" s="572"/>
      <c r="N257" s="572"/>
      <c r="O257" s="572"/>
      <c r="P257" s="572"/>
      <c r="Q257" s="572"/>
      <c r="R257" s="572"/>
      <c r="S257" s="572"/>
    </row>
    <row r="258" spans="1:19" s="573" customFormat="1" ht="12" customHeight="1">
      <c r="A258" s="1313" t="s">
        <v>1273</v>
      </c>
      <c r="B258" s="2735">
        <v>692</v>
      </c>
      <c r="C258" s="583"/>
      <c r="D258" s="586"/>
      <c r="E258" s="2455"/>
      <c r="F258" s="571"/>
      <c r="G258" s="572"/>
      <c r="H258" s="572"/>
      <c r="I258" s="572"/>
      <c r="J258" s="572"/>
      <c r="K258" s="572"/>
      <c r="L258" s="572"/>
      <c r="M258" s="572"/>
      <c r="N258" s="572"/>
      <c r="O258" s="572"/>
      <c r="P258" s="572"/>
      <c r="Q258" s="572"/>
      <c r="R258" s="572"/>
      <c r="S258" s="572"/>
    </row>
    <row r="259" spans="1:19" s="573" customFormat="1" ht="12" customHeight="1">
      <c r="A259" s="1314" t="s">
        <v>1276</v>
      </c>
      <c r="B259" s="2736">
        <v>694</v>
      </c>
      <c r="C259" s="583"/>
      <c r="D259" s="585"/>
      <c r="E259" s="2454"/>
      <c r="F259" s="571"/>
      <c r="G259" s="572"/>
      <c r="H259" s="572"/>
      <c r="I259" s="572"/>
      <c r="J259" s="572"/>
      <c r="K259" s="572"/>
      <c r="L259" s="572"/>
      <c r="M259" s="572"/>
      <c r="N259" s="572"/>
      <c r="O259" s="572"/>
      <c r="P259" s="572"/>
      <c r="Q259" s="572"/>
      <c r="R259" s="572"/>
      <c r="S259" s="572"/>
    </row>
    <row r="260" spans="1:19" s="573" customFormat="1" ht="12" customHeight="1">
      <c r="A260" s="1314" t="s">
        <v>673</v>
      </c>
      <c r="B260" s="2736">
        <v>696</v>
      </c>
      <c r="C260" s="583"/>
      <c r="D260" s="585"/>
      <c r="E260" s="2454"/>
      <c r="F260" s="571"/>
      <c r="G260" s="572"/>
      <c r="H260" s="572"/>
      <c r="I260" s="572"/>
      <c r="J260" s="572"/>
      <c r="K260" s="572"/>
      <c r="L260" s="572"/>
      <c r="M260" s="572"/>
      <c r="N260" s="572"/>
      <c r="O260" s="572"/>
      <c r="P260" s="572"/>
      <c r="Q260" s="572"/>
      <c r="R260" s="572"/>
      <c r="S260" s="572"/>
    </row>
    <row r="261" spans="1:19" s="573" customFormat="1" ht="12" customHeight="1">
      <c r="A261" s="1313" t="s">
        <v>1303</v>
      </c>
      <c r="B261" s="2736">
        <v>698</v>
      </c>
      <c r="C261" s="583"/>
      <c r="D261" s="585"/>
      <c r="E261" s="2454"/>
      <c r="F261" s="571"/>
      <c r="G261" s="572"/>
      <c r="H261" s="572"/>
      <c r="I261" s="572"/>
      <c r="J261" s="572"/>
      <c r="K261" s="572"/>
      <c r="L261" s="572"/>
      <c r="M261" s="572"/>
      <c r="N261" s="572"/>
      <c r="O261" s="572"/>
      <c r="P261" s="572"/>
      <c r="Q261" s="572"/>
      <c r="R261" s="572"/>
      <c r="S261" s="572"/>
    </row>
    <row r="262" spans="1:19" s="573" customFormat="1" ht="12" customHeight="1">
      <c r="A262" s="1314" t="s">
        <v>1282</v>
      </c>
      <c r="B262" s="2736">
        <v>700</v>
      </c>
      <c r="C262" s="583"/>
      <c r="D262" s="585"/>
      <c r="E262" s="2454"/>
      <c r="F262" s="571"/>
      <c r="G262" s="572"/>
      <c r="H262" s="572"/>
      <c r="I262" s="572"/>
      <c r="J262" s="572"/>
      <c r="K262" s="572"/>
      <c r="L262" s="572"/>
      <c r="M262" s="572"/>
      <c r="N262" s="572"/>
      <c r="O262" s="572"/>
      <c r="P262" s="572"/>
      <c r="Q262" s="572"/>
      <c r="R262" s="572"/>
      <c r="S262" s="572"/>
    </row>
    <row r="263" spans="1:19" s="573" customFormat="1" ht="12" customHeight="1">
      <c r="A263" s="1314" t="s">
        <v>1288</v>
      </c>
      <c r="B263" s="2736">
        <v>702</v>
      </c>
      <c r="C263" s="583">
        <v>18445</v>
      </c>
      <c r="D263" s="585">
        <v>9875</v>
      </c>
      <c r="E263" s="2454">
        <v>10000</v>
      </c>
      <c r="F263" s="571"/>
      <c r="G263" s="572"/>
      <c r="H263" s="572"/>
      <c r="I263" s="572"/>
      <c r="J263" s="572"/>
      <c r="K263" s="572"/>
      <c r="L263" s="572"/>
      <c r="M263" s="572"/>
      <c r="N263" s="572"/>
      <c r="O263" s="572"/>
      <c r="P263" s="572"/>
      <c r="Q263" s="572"/>
      <c r="R263" s="572"/>
      <c r="S263" s="572"/>
    </row>
    <row r="264" spans="1:19" s="573" customFormat="1" ht="12" customHeight="1">
      <c r="A264" s="1314" t="s">
        <v>728</v>
      </c>
      <c r="B264" s="2736">
        <v>704</v>
      </c>
      <c r="C264" s="583"/>
      <c r="D264" s="585"/>
      <c r="E264" s="2454"/>
      <c r="F264" s="571"/>
      <c r="G264" s="572"/>
      <c r="H264" s="572"/>
      <c r="I264" s="572"/>
      <c r="J264" s="572"/>
      <c r="K264" s="572"/>
      <c r="L264" s="572"/>
      <c r="M264" s="572"/>
      <c r="N264" s="572"/>
      <c r="O264" s="572"/>
      <c r="P264" s="572"/>
      <c r="Q264" s="572"/>
      <c r="R264" s="572"/>
      <c r="S264" s="572"/>
    </row>
    <row r="265" spans="1:19" s="573" customFormat="1" ht="12" customHeight="1">
      <c r="A265" s="1314" t="s">
        <v>1293</v>
      </c>
      <c r="B265" s="2668">
        <v>706</v>
      </c>
      <c r="C265" s="583"/>
      <c r="D265" s="579"/>
      <c r="E265" s="583"/>
      <c r="F265" s="571"/>
      <c r="G265" s="572"/>
      <c r="H265" s="572"/>
      <c r="I265" s="572"/>
      <c r="J265" s="572"/>
      <c r="K265" s="572"/>
      <c r="L265" s="572"/>
      <c r="M265" s="572"/>
      <c r="N265" s="572"/>
      <c r="O265" s="572"/>
      <c r="P265" s="572"/>
      <c r="Q265" s="572"/>
      <c r="R265" s="572"/>
      <c r="S265" s="572"/>
    </row>
    <row r="266" spans="1:19" s="573" customFormat="1" ht="12" customHeight="1">
      <c r="A266" s="2714"/>
      <c r="B266" s="2715"/>
      <c r="C266" s="2712"/>
      <c r="D266" s="2712"/>
      <c r="E266" s="2712"/>
      <c r="F266" s="571"/>
      <c r="G266" s="572"/>
      <c r="H266" s="572"/>
      <c r="I266" s="572"/>
      <c r="J266" s="572"/>
      <c r="K266" s="572"/>
      <c r="L266" s="572"/>
      <c r="M266" s="572"/>
      <c r="N266" s="572"/>
      <c r="O266" s="572"/>
      <c r="P266" s="572"/>
      <c r="Q266" s="572"/>
      <c r="R266" s="572"/>
      <c r="S266" s="572"/>
    </row>
    <row r="267" spans="1:19" s="573" customFormat="1" ht="12" customHeight="1">
      <c r="A267" s="563"/>
      <c r="B267" s="563"/>
      <c r="C267" s="563"/>
      <c r="D267" s="563"/>
      <c r="E267" s="563"/>
      <c r="F267" s="571"/>
      <c r="G267" s="572"/>
      <c r="H267" s="572"/>
      <c r="I267" s="572"/>
      <c r="J267" s="572"/>
      <c r="K267" s="572"/>
      <c r="L267" s="572"/>
      <c r="M267" s="572"/>
      <c r="N267" s="572"/>
      <c r="O267" s="572"/>
      <c r="P267" s="572"/>
      <c r="Q267" s="572"/>
      <c r="R267" s="572"/>
      <c r="S267" s="572"/>
    </row>
    <row r="268" spans="1:19" s="573" customFormat="1" ht="12" customHeight="1">
      <c r="A268" s="510" t="s">
        <v>1019</v>
      </c>
      <c r="B268" s="511">
        <f>B1</f>
        <v>270</v>
      </c>
      <c r="C268" s="512"/>
      <c r="D268" s="512"/>
      <c r="E268" s="510" t="s">
        <v>1020</v>
      </c>
      <c r="F268" s="571"/>
      <c r="G268" s="572"/>
      <c r="H268" s="572"/>
      <c r="I268" s="572"/>
      <c r="J268" s="572"/>
      <c r="K268" s="572"/>
      <c r="L268" s="572"/>
      <c r="M268" s="572"/>
      <c r="N268" s="572"/>
      <c r="O268" s="572"/>
      <c r="P268" s="572"/>
      <c r="Q268" s="572"/>
      <c r="R268" s="572"/>
      <c r="S268" s="572"/>
    </row>
    <row r="269" spans="1:19" s="573" customFormat="1" ht="12" customHeight="1">
      <c r="A269" s="512"/>
      <c r="B269" s="511"/>
      <c r="C269" s="512"/>
      <c r="D269" s="512"/>
      <c r="E269" s="510" t="s">
        <v>1212</v>
      </c>
      <c r="F269" s="571"/>
      <c r="G269" s="572"/>
      <c r="H269" s="572"/>
      <c r="I269" s="572"/>
      <c r="J269" s="572"/>
      <c r="K269" s="572"/>
      <c r="L269" s="572"/>
      <c r="M269" s="572"/>
      <c r="N269" s="572"/>
      <c r="O269" s="572"/>
      <c r="P269" s="572"/>
      <c r="Q269" s="572"/>
      <c r="R269" s="572"/>
      <c r="S269" s="572"/>
    </row>
    <row r="270" spans="1:19" s="573" customFormat="1" ht="12" customHeight="1">
      <c r="A270" s="512"/>
      <c r="B270" s="511"/>
      <c r="C270" s="512"/>
      <c r="D270" s="512"/>
      <c r="E270" s="510" t="str">
        <f>E3</f>
        <v>2016-2017</v>
      </c>
      <c r="F270" s="571"/>
      <c r="G270" s="572"/>
      <c r="H270" s="572"/>
      <c r="I270" s="572"/>
      <c r="J270" s="572"/>
      <c r="K270" s="572"/>
      <c r="L270" s="572"/>
      <c r="M270" s="572"/>
      <c r="N270" s="572"/>
      <c r="O270" s="572"/>
      <c r="P270" s="572"/>
      <c r="Q270" s="572"/>
      <c r="R270" s="572"/>
      <c r="S270" s="572"/>
    </row>
    <row r="271" spans="1:19" s="573" customFormat="1" ht="12" customHeight="1">
      <c r="A271" s="512"/>
      <c r="B271" s="511"/>
      <c r="C271" s="512"/>
      <c r="D271" s="512"/>
      <c r="E271" s="512"/>
      <c r="F271" s="571"/>
      <c r="G271" s="572"/>
      <c r="H271" s="572"/>
      <c r="I271" s="572"/>
      <c r="J271" s="572"/>
      <c r="K271" s="572"/>
      <c r="L271" s="572"/>
      <c r="M271" s="572"/>
      <c r="N271" s="572"/>
      <c r="O271" s="572"/>
      <c r="P271" s="572"/>
      <c r="Q271" s="572"/>
      <c r="R271" s="572"/>
      <c r="S271" s="572"/>
    </row>
    <row r="272" spans="1:19" s="573" customFormat="1" ht="12" customHeight="1">
      <c r="A272" s="512"/>
      <c r="B272" s="511"/>
      <c r="C272" s="515" t="s">
        <v>1213</v>
      </c>
      <c r="D272" s="515" t="s">
        <v>1213</v>
      </c>
      <c r="E272" s="515" t="s">
        <v>1213</v>
      </c>
      <c r="F272" s="571"/>
      <c r="G272" s="572"/>
      <c r="H272" s="572"/>
      <c r="I272" s="572"/>
      <c r="J272" s="572"/>
      <c r="K272" s="572"/>
      <c r="L272" s="572"/>
      <c r="M272" s="572"/>
      <c r="N272" s="572"/>
      <c r="O272" s="572"/>
      <c r="P272" s="572"/>
      <c r="Q272" s="572"/>
      <c r="R272" s="572"/>
      <c r="S272" s="572"/>
    </row>
    <row r="273" spans="1:19" s="573" customFormat="1" ht="12" customHeight="1">
      <c r="A273" s="512"/>
      <c r="B273" s="517" t="s">
        <v>1045</v>
      </c>
      <c r="C273" s="518" t="str">
        <f>C6</f>
        <v>2014-2015</v>
      </c>
      <c r="D273" s="518" t="str">
        <f>D6</f>
        <v>2015-2016</v>
      </c>
      <c r="E273" s="518" t="str">
        <f>E6</f>
        <v>2016-2017</v>
      </c>
      <c r="F273" s="571"/>
      <c r="G273" s="572"/>
      <c r="H273" s="572"/>
      <c r="I273" s="572"/>
      <c r="J273" s="572"/>
      <c r="K273" s="572"/>
      <c r="L273" s="572"/>
      <c r="M273" s="572"/>
      <c r="N273" s="572"/>
      <c r="O273" s="572"/>
      <c r="P273" s="572"/>
      <c r="Q273" s="572"/>
      <c r="R273" s="572"/>
      <c r="S273" s="572"/>
    </row>
    <row r="274" spans="1:19" s="573" customFormat="1" ht="12" customHeight="1">
      <c r="A274" s="516" t="s">
        <v>1400</v>
      </c>
      <c r="B274" s="520">
        <v>8</v>
      </c>
      <c r="C274" s="521" t="s">
        <v>1139</v>
      </c>
      <c r="D274" s="521" t="s">
        <v>1139</v>
      </c>
      <c r="E274" s="521" t="s">
        <v>1215</v>
      </c>
      <c r="F274" s="571"/>
      <c r="G274" s="572"/>
      <c r="H274" s="572"/>
      <c r="I274" s="572"/>
      <c r="J274" s="572"/>
      <c r="K274" s="572"/>
      <c r="L274" s="572"/>
      <c r="M274" s="572"/>
      <c r="N274" s="572"/>
      <c r="O274" s="572"/>
      <c r="P274" s="572"/>
      <c r="Q274" s="572"/>
      <c r="R274" s="572"/>
      <c r="S274" s="572"/>
    </row>
    <row r="275" spans="1:19" s="573" customFormat="1" ht="12" customHeight="1">
      <c r="A275" s="515" t="s">
        <v>1401</v>
      </c>
      <c r="B275" s="2725" t="s">
        <v>1051</v>
      </c>
      <c r="C275" s="525">
        <v>1</v>
      </c>
      <c r="D275" s="2726">
        <v>2</v>
      </c>
      <c r="E275" s="2726">
        <v>3</v>
      </c>
      <c r="F275" s="571"/>
      <c r="G275" s="572"/>
      <c r="H275" s="572"/>
      <c r="I275" s="572"/>
      <c r="J275" s="572"/>
      <c r="K275" s="572"/>
      <c r="L275" s="572"/>
      <c r="M275" s="572"/>
      <c r="N275" s="572"/>
      <c r="O275" s="572"/>
      <c r="P275" s="572"/>
      <c r="Q275" s="572"/>
      <c r="R275" s="572"/>
      <c r="S275" s="572"/>
    </row>
    <row r="276" spans="1:19" s="573" customFormat="1" ht="12" customHeight="1">
      <c r="A276" s="2719" t="s">
        <v>732</v>
      </c>
      <c r="B276" s="2704"/>
      <c r="C276" s="2712"/>
      <c r="D276" s="2706"/>
      <c r="E276" s="2707"/>
      <c r="F276" s="571"/>
      <c r="G276" s="572"/>
      <c r="H276" s="572"/>
      <c r="I276" s="572"/>
      <c r="J276" s="572"/>
      <c r="K276" s="572"/>
      <c r="L276" s="572"/>
      <c r="M276" s="572"/>
      <c r="N276" s="572"/>
      <c r="O276" s="572"/>
      <c r="P276" s="572"/>
      <c r="Q276" s="572"/>
      <c r="R276" s="572"/>
      <c r="S276" s="572"/>
    </row>
    <row r="277" spans="1:19" s="573" customFormat="1" ht="12" customHeight="1">
      <c r="A277" s="2720" t="s">
        <v>1268</v>
      </c>
      <c r="B277" s="2739"/>
      <c r="C277" s="2712"/>
      <c r="D277" s="2708"/>
      <c r="E277" s="2709"/>
      <c r="F277" s="571"/>
      <c r="G277" s="572"/>
      <c r="H277" s="572"/>
      <c r="I277" s="572"/>
      <c r="J277" s="572"/>
      <c r="K277" s="572"/>
      <c r="L277" s="572"/>
      <c r="M277" s="572"/>
      <c r="N277" s="572"/>
      <c r="O277" s="572"/>
      <c r="P277" s="572"/>
      <c r="Q277" s="572"/>
      <c r="R277" s="572"/>
      <c r="S277" s="572"/>
    </row>
    <row r="278" spans="1:19" s="573" customFormat="1" ht="12" customHeight="1">
      <c r="A278" s="2721" t="s">
        <v>358</v>
      </c>
      <c r="B278" s="2739">
        <v>708</v>
      </c>
      <c r="C278" s="2452"/>
      <c r="D278" s="2705"/>
      <c r="E278" s="2455"/>
      <c r="F278" s="571"/>
      <c r="G278" s="2837"/>
      <c r="H278" s="572"/>
      <c r="I278" s="572"/>
      <c r="J278" s="572"/>
      <c r="K278" s="572"/>
      <c r="L278" s="572"/>
      <c r="M278" s="572"/>
      <c r="N278" s="572"/>
      <c r="O278" s="572"/>
      <c r="P278" s="572"/>
      <c r="Q278" s="572"/>
      <c r="R278" s="572"/>
      <c r="S278" s="572"/>
    </row>
    <row r="279" spans="1:19" s="573" customFormat="1" ht="12" customHeight="1">
      <c r="A279" s="2719" t="s">
        <v>1271</v>
      </c>
      <c r="B279" s="2738"/>
      <c r="C279" s="2712"/>
      <c r="D279" s="2706"/>
      <c r="E279" s="2707"/>
      <c r="F279" s="571"/>
      <c r="G279" s="572"/>
      <c r="H279" s="572"/>
      <c r="I279" s="572"/>
      <c r="J279" s="572"/>
      <c r="K279" s="572"/>
      <c r="L279" s="572"/>
      <c r="M279" s="572"/>
      <c r="N279" s="572"/>
      <c r="O279" s="572"/>
      <c r="P279" s="572"/>
      <c r="Q279" s="572"/>
      <c r="R279" s="572"/>
      <c r="S279" s="572"/>
    </row>
    <row r="280" spans="1:19" s="573" customFormat="1" ht="12" customHeight="1">
      <c r="A280" s="2721" t="s">
        <v>353</v>
      </c>
      <c r="B280" s="2740">
        <v>710</v>
      </c>
      <c r="C280" s="586"/>
      <c r="D280" s="2646"/>
      <c r="E280" s="2452"/>
      <c r="F280" s="571"/>
      <c r="G280" s="572"/>
      <c r="H280" s="572"/>
      <c r="I280" s="572"/>
      <c r="J280" s="572"/>
      <c r="K280" s="572"/>
      <c r="L280" s="572"/>
      <c r="M280" s="572"/>
      <c r="N280" s="572"/>
      <c r="O280" s="572"/>
      <c r="P280" s="572"/>
      <c r="Q280" s="572"/>
      <c r="R280" s="572"/>
      <c r="S280" s="572"/>
    </row>
    <row r="281" spans="1:19" s="573" customFormat="1" ht="12" customHeight="1">
      <c r="A281" s="1313" t="s">
        <v>1273</v>
      </c>
      <c r="B281" s="2735">
        <v>712</v>
      </c>
      <c r="C281" s="583"/>
      <c r="D281" s="586"/>
      <c r="E281" s="2455"/>
      <c r="F281" s="571"/>
      <c r="G281" s="572"/>
      <c r="H281" s="572"/>
      <c r="I281" s="572"/>
      <c r="J281" s="572"/>
      <c r="K281" s="572"/>
      <c r="L281" s="572"/>
      <c r="M281" s="572"/>
      <c r="N281" s="572"/>
      <c r="O281" s="572"/>
      <c r="P281" s="572"/>
      <c r="Q281" s="572"/>
      <c r="R281" s="572"/>
      <c r="S281" s="572"/>
    </row>
    <row r="282" spans="1:19" s="573" customFormat="1" ht="12" customHeight="1">
      <c r="A282" s="1314" t="s">
        <v>1276</v>
      </c>
      <c r="B282" s="2736">
        <v>714</v>
      </c>
      <c r="C282" s="583"/>
      <c r="D282" s="585"/>
      <c r="E282" s="2454"/>
      <c r="F282" s="571"/>
      <c r="G282" s="572"/>
      <c r="H282" s="572"/>
      <c r="I282" s="572"/>
      <c r="J282" s="572"/>
      <c r="K282" s="572"/>
      <c r="L282" s="572"/>
      <c r="M282" s="572"/>
      <c r="N282" s="572"/>
      <c r="O282" s="572"/>
      <c r="P282" s="572"/>
      <c r="Q282" s="572"/>
      <c r="R282" s="572"/>
      <c r="S282" s="572"/>
    </row>
    <row r="283" spans="1:19" s="573" customFormat="1" ht="12" customHeight="1">
      <c r="A283" s="1311" t="s">
        <v>673</v>
      </c>
      <c r="B283" s="2736">
        <v>716</v>
      </c>
      <c r="C283" s="583"/>
      <c r="D283" s="585"/>
      <c r="E283" s="2454"/>
      <c r="F283" s="571"/>
      <c r="G283" s="572"/>
      <c r="H283" s="572"/>
      <c r="I283" s="572"/>
      <c r="J283" s="572"/>
      <c r="K283" s="572"/>
      <c r="L283" s="572"/>
      <c r="M283" s="572"/>
      <c r="N283" s="572"/>
      <c r="O283" s="572"/>
      <c r="P283" s="572"/>
      <c r="Q283" s="572"/>
      <c r="R283" s="572"/>
      <c r="S283" s="572"/>
    </row>
    <row r="284" spans="1:19" s="573" customFormat="1" ht="12" customHeight="1">
      <c r="A284" s="1308" t="s">
        <v>1303</v>
      </c>
      <c r="B284" s="2736">
        <v>718</v>
      </c>
      <c r="C284" s="583"/>
      <c r="D284" s="585"/>
      <c r="E284" s="2454"/>
      <c r="F284" s="571"/>
      <c r="G284" s="572"/>
      <c r="H284" s="572"/>
      <c r="I284" s="572"/>
      <c r="J284" s="572"/>
      <c r="K284" s="572"/>
      <c r="L284" s="572"/>
      <c r="M284" s="572"/>
      <c r="N284" s="572"/>
      <c r="O284" s="572"/>
      <c r="P284" s="572"/>
      <c r="Q284" s="572"/>
      <c r="R284" s="572"/>
      <c r="S284" s="572"/>
    </row>
    <row r="285" spans="1:19" s="573" customFormat="1" ht="12" customHeight="1">
      <c r="A285" s="1308" t="s">
        <v>1282</v>
      </c>
      <c r="B285" s="2736">
        <v>720</v>
      </c>
      <c r="C285" s="583"/>
      <c r="D285" s="585"/>
      <c r="E285" s="2454"/>
      <c r="F285" s="571"/>
      <c r="G285" s="572"/>
      <c r="H285" s="572"/>
      <c r="I285" s="572"/>
      <c r="J285" s="572"/>
      <c r="K285" s="572"/>
      <c r="L285" s="572"/>
      <c r="M285" s="572"/>
      <c r="N285" s="572"/>
      <c r="O285" s="572"/>
      <c r="P285" s="572"/>
      <c r="Q285" s="572"/>
      <c r="R285" s="572"/>
      <c r="S285" s="572"/>
    </row>
    <row r="286" spans="1:19" s="573" customFormat="1" ht="12" customHeight="1">
      <c r="A286" s="1308" t="s">
        <v>1288</v>
      </c>
      <c r="B286" s="2736">
        <v>722</v>
      </c>
      <c r="C286" s="583"/>
      <c r="D286" s="585"/>
      <c r="E286" s="2454"/>
      <c r="F286" s="571"/>
      <c r="G286" s="572"/>
      <c r="H286" s="572"/>
      <c r="I286" s="572"/>
      <c r="J286" s="572"/>
      <c r="K286" s="572"/>
      <c r="L286" s="572"/>
      <c r="M286" s="572"/>
      <c r="N286" s="572"/>
      <c r="O286" s="572"/>
      <c r="P286" s="572"/>
      <c r="Q286" s="572"/>
      <c r="R286" s="572"/>
      <c r="S286" s="572"/>
    </row>
    <row r="287" spans="1:19" s="573" customFormat="1" ht="12" customHeight="1">
      <c r="A287" s="1308" t="s">
        <v>728</v>
      </c>
      <c r="B287" s="2736">
        <v>724</v>
      </c>
      <c r="C287" s="583"/>
      <c r="D287" s="585"/>
      <c r="E287" s="2454"/>
      <c r="F287" s="571"/>
      <c r="G287" s="572"/>
      <c r="H287" s="572"/>
      <c r="I287" s="572"/>
      <c r="J287" s="572"/>
      <c r="K287" s="572"/>
      <c r="L287" s="572"/>
      <c r="M287" s="572"/>
      <c r="N287" s="572"/>
      <c r="O287" s="572"/>
      <c r="P287" s="572"/>
      <c r="Q287" s="572"/>
      <c r="R287" s="572"/>
      <c r="S287" s="572"/>
    </row>
    <row r="288" spans="1:19" s="573" customFormat="1" ht="12" customHeight="1">
      <c r="A288" s="1308" t="s">
        <v>1293</v>
      </c>
      <c r="B288" s="2736">
        <v>726</v>
      </c>
      <c r="C288" s="2454"/>
      <c r="D288" s="585"/>
      <c r="E288" s="2454"/>
      <c r="F288" s="571"/>
      <c r="G288" s="572"/>
      <c r="H288" s="572"/>
      <c r="I288" s="572"/>
      <c r="J288" s="572"/>
      <c r="K288" s="572"/>
      <c r="L288" s="572"/>
      <c r="M288" s="572"/>
      <c r="N288" s="572"/>
      <c r="O288" s="572"/>
      <c r="P288" s="572"/>
      <c r="Q288" s="572"/>
      <c r="R288" s="572"/>
      <c r="S288" s="572"/>
    </row>
    <row r="289" spans="1:19" s="573" customFormat="1" ht="12" customHeight="1">
      <c r="A289" s="568" t="s">
        <v>1750</v>
      </c>
      <c r="B289" s="569"/>
      <c r="C289" s="2707"/>
      <c r="D289" s="570"/>
      <c r="E289" s="2451"/>
      <c r="F289" s="571"/>
      <c r="G289" s="572"/>
      <c r="H289" s="572"/>
      <c r="I289" s="572"/>
      <c r="J289" s="572"/>
      <c r="K289" s="572"/>
      <c r="L289" s="572"/>
      <c r="M289" s="572"/>
      <c r="N289" s="572"/>
      <c r="O289" s="572"/>
      <c r="P289" s="572"/>
      <c r="Q289" s="572"/>
      <c r="R289" s="572"/>
      <c r="S289" s="572"/>
    </row>
    <row r="290" spans="1:19" s="573" customFormat="1" ht="12" customHeight="1">
      <c r="A290" s="580" t="s">
        <v>1309</v>
      </c>
      <c r="B290" s="581"/>
      <c r="C290" s="2709"/>
      <c r="D290" s="582"/>
      <c r="E290" s="2453"/>
      <c r="F290" s="571"/>
      <c r="G290" s="572"/>
      <c r="H290" s="572"/>
      <c r="I290" s="572"/>
      <c r="J290" s="572"/>
      <c r="K290" s="572"/>
      <c r="L290" s="572"/>
      <c r="M290" s="572"/>
      <c r="N290" s="572"/>
      <c r="O290" s="572"/>
      <c r="P290" s="572"/>
      <c r="Q290" s="572"/>
      <c r="R290" s="572"/>
      <c r="S290" s="572"/>
    </row>
    <row r="291" spans="1:19" s="573" customFormat="1" ht="12" customHeight="1">
      <c r="A291" s="574" t="s">
        <v>1347</v>
      </c>
      <c r="B291" s="3972">
        <v>895</v>
      </c>
      <c r="C291" s="3862"/>
      <c r="D291" s="576"/>
      <c r="E291" s="2452"/>
      <c r="F291" s="571"/>
      <c r="G291" s="572"/>
      <c r="H291" s="572"/>
      <c r="I291" s="572"/>
      <c r="J291" s="572"/>
      <c r="K291" s="572"/>
      <c r="L291" s="572"/>
      <c r="M291" s="572"/>
      <c r="N291" s="572"/>
      <c r="O291" s="572"/>
      <c r="P291" s="572"/>
      <c r="Q291" s="572"/>
      <c r="R291" s="572"/>
      <c r="S291" s="572"/>
    </row>
    <row r="292" spans="1:19" s="573" customFormat="1" ht="12" customHeight="1">
      <c r="A292" s="577" t="s">
        <v>1270</v>
      </c>
      <c r="B292" s="3973">
        <v>900</v>
      </c>
      <c r="C292" s="3862"/>
      <c r="D292" s="579"/>
      <c r="E292" s="583"/>
      <c r="F292" s="571"/>
      <c r="G292" s="572"/>
      <c r="H292" s="572"/>
      <c r="I292" s="572"/>
      <c r="J292" s="572"/>
      <c r="K292" s="572"/>
      <c r="L292" s="572"/>
      <c r="M292" s="572"/>
      <c r="N292" s="572"/>
      <c r="O292" s="572"/>
      <c r="P292" s="572"/>
      <c r="Q292" s="572"/>
      <c r="R292" s="572"/>
      <c r="S292" s="572"/>
    </row>
    <row r="293" spans="1:19" s="573" customFormat="1" ht="12" customHeight="1">
      <c r="A293" s="568" t="s">
        <v>1310</v>
      </c>
      <c r="B293" s="3974"/>
      <c r="C293" s="2709"/>
      <c r="D293" s="582"/>
      <c r="E293" s="2453"/>
      <c r="F293" s="571"/>
      <c r="G293" s="572"/>
      <c r="H293" s="572"/>
      <c r="I293" s="572"/>
      <c r="J293" s="572"/>
      <c r="K293" s="572"/>
      <c r="L293" s="572"/>
      <c r="M293" s="572"/>
      <c r="N293" s="572"/>
      <c r="O293" s="572"/>
      <c r="P293" s="572"/>
      <c r="Q293" s="572"/>
      <c r="R293" s="572"/>
      <c r="S293" s="572"/>
    </row>
    <row r="294" spans="1:19" s="573" customFormat="1" ht="12" customHeight="1">
      <c r="A294" s="574" t="s">
        <v>1348</v>
      </c>
      <c r="B294" s="3972">
        <v>905</v>
      </c>
      <c r="C294" s="3862"/>
      <c r="D294" s="576"/>
      <c r="E294" s="2452"/>
      <c r="F294" s="571"/>
      <c r="G294" s="572"/>
      <c r="H294" s="572"/>
      <c r="I294" s="572"/>
      <c r="J294" s="572"/>
      <c r="K294" s="572"/>
      <c r="L294" s="572"/>
      <c r="M294" s="572"/>
      <c r="N294" s="572"/>
      <c r="O294" s="572"/>
      <c r="P294" s="572"/>
      <c r="Q294" s="572"/>
      <c r="R294" s="572"/>
      <c r="S294" s="572"/>
    </row>
    <row r="295" spans="1:19" s="573" customFormat="1" ht="12" customHeight="1">
      <c r="A295" s="577" t="s">
        <v>1314</v>
      </c>
      <c r="B295" s="3973">
        <v>910</v>
      </c>
      <c r="C295" s="3862"/>
      <c r="D295" s="579"/>
      <c r="E295" s="583"/>
      <c r="F295" s="571"/>
      <c r="G295" s="572"/>
      <c r="H295" s="572"/>
      <c r="I295" s="572"/>
      <c r="J295" s="572"/>
      <c r="K295" s="572"/>
      <c r="L295" s="572"/>
      <c r="M295" s="572"/>
      <c r="N295" s="572"/>
      <c r="O295" s="572"/>
      <c r="P295" s="572"/>
      <c r="Q295" s="572"/>
      <c r="R295" s="572"/>
      <c r="S295" s="572"/>
    </row>
    <row r="296" spans="1:19" s="573" customFormat="1" ht="12" customHeight="1">
      <c r="A296" s="577" t="s">
        <v>1315</v>
      </c>
      <c r="B296" s="3973">
        <v>915</v>
      </c>
      <c r="C296" s="3862"/>
      <c r="D296" s="579"/>
      <c r="E296" s="583"/>
      <c r="F296" s="571"/>
      <c r="G296" s="572"/>
      <c r="H296" s="572"/>
      <c r="I296" s="572"/>
      <c r="J296" s="572"/>
      <c r="K296" s="572"/>
      <c r="L296" s="572"/>
      <c r="M296" s="572"/>
      <c r="N296" s="572"/>
      <c r="O296" s="572"/>
      <c r="P296" s="572"/>
      <c r="Q296" s="572"/>
      <c r="R296" s="572"/>
      <c r="S296" s="572"/>
    </row>
    <row r="297" spans="1:19" s="573" customFormat="1" ht="12" customHeight="1">
      <c r="A297" s="584" t="s">
        <v>1439</v>
      </c>
      <c r="B297" s="3975">
        <v>920</v>
      </c>
      <c r="C297" s="3862"/>
      <c r="D297" s="585"/>
      <c r="E297" s="2454"/>
      <c r="F297" s="571"/>
      <c r="G297" s="572"/>
      <c r="H297" s="572"/>
      <c r="I297" s="572"/>
      <c r="J297" s="572"/>
      <c r="K297" s="572"/>
      <c r="L297" s="572"/>
      <c r="M297" s="572"/>
      <c r="N297" s="572"/>
      <c r="O297" s="572"/>
      <c r="P297" s="572"/>
      <c r="Q297" s="572"/>
      <c r="R297" s="572"/>
      <c r="S297" s="572"/>
    </row>
    <row r="298" spans="1:19" s="573" customFormat="1" ht="12" customHeight="1">
      <c r="A298" s="577" t="s">
        <v>1318</v>
      </c>
      <c r="B298" s="3973">
        <v>925</v>
      </c>
      <c r="C298" s="3862"/>
      <c r="D298" s="579"/>
      <c r="E298" s="583"/>
      <c r="F298" s="571"/>
      <c r="G298" s="572"/>
      <c r="H298" s="572"/>
      <c r="I298" s="572"/>
      <c r="J298" s="572"/>
      <c r="K298" s="572"/>
      <c r="L298" s="572"/>
      <c r="M298" s="572"/>
      <c r="N298" s="572"/>
      <c r="O298" s="572"/>
      <c r="P298" s="572"/>
      <c r="Q298" s="572"/>
      <c r="R298" s="572"/>
      <c r="S298" s="572"/>
    </row>
    <row r="299" spans="1:19" s="573" customFormat="1" ht="12" customHeight="1">
      <c r="A299" s="577" t="s">
        <v>1327</v>
      </c>
      <c r="B299" s="3973">
        <v>930</v>
      </c>
      <c r="C299" s="3862"/>
      <c r="D299" s="579"/>
      <c r="E299" s="583"/>
      <c r="F299" s="572"/>
      <c r="G299" s="572"/>
      <c r="H299" s="572"/>
      <c r="I299" s="572"/>
      <c r="J299" s="572"/>
      <c r="K299" s="572"/>
      <c r="L299" s="572"/>
      <c r="M299" s="572"/>
      <c r="N299" s="572"/>
      <c r="O299" s="572"/>
      <c r="P299" s="572"/>
      <c r="Q299" s="572"/>
      <c r="R299" s="572"/>
      <c r="S299" s="572"/>
    </row>
    <row r="300" spans="1:19" s="573" customFormat="1" ht="12" customHeight="1">
      <c r="A300" s="577" t="s">
        <v>1337</v>
      </c>
      <c r="B300" s="3973">
        <v>935</v>
      </c>
      <c r="C300" s="3862"/>
      <c r="D300" s="579"/>
      <c r="E300" s="583"/>
      <c r="F300" s="572"/>
      <c r="G300" s="572"/>
      <c r="H300" s="572"/>
      <c r="I300" s="572"/>
      <c r="J300" s="572"/>
      <c r="K300" s="572"/>
      <c r="L300" s="572"/>
      <c r="M300" s="572"/>
      <c r="N300" s="572"/>
      <c r="O300" s="572"/>
      <c r="P300" s="572"/>
      <c r="Q300" s="572"/>
      <c r="R300" s="572"/>
      <c r="S300" s="572"/>
    </row>
    <row r="301" spans="1:19" s="573" customFormat="1" ht="12" customHeight="1">
      <c r="A301" s="577" t="s">
        <v>1345</v>
      </c>
      <c r="B301" s="3973">
        <v>940</v>
      </c>
      <c r="C301" s="3862"/>
      <c r="D301" s="579"/>
      <c r="E301" s="583"/>
      <c r="F301" s="572"/>
      <c r="G301" s="572"/>
      <c r="H301" s="572"/>
      <c r="I301" s="572"/>
      <c r="J301" s="572"/>
      <c r="K301" s="572"/>
      <c r="L301" s="572"/>
      <c r="M301" s="572"/>
      <c r="N301" s="572"/>
      <c r="O301" s="572"/>
      <c r="P301" s="572"/>
      <c r="Q301" s="572"/>
      <c r="R301" s="572"/>
      <c r="S301" s="572"/>
    </row>
    <row r="302" spans="1:19" s="573" customFormat="1" ht="12" customHeight="1">
      <c r="A302" s="577" t="s">
        <v>1346</v>
      </c>
      <c r="B302" s="3973">
        <v>945</v>
      </c>
      <c r="C302" s="3862"/>
      <c r="D302" s="579"/>
      <c r="E302" s="583"/>
      <c r="F302" s="572"/>
      <c r="G302" s="572"/>
      <c r="H302" s="572"/>
      <c r="I302" s="572"/>
      <c r="J302" s="572"/>
      <c r="K302" s="572"/>
      <c r="L302" s="572"/>
      <c r="M302" s="572"/>
      <c r="N302" s="572"/>
      <c r="O302" s="572"/>
      <c r="P302" s="572"/>
      <c r="Q302" s="572"/>
      <c r="R302" s="572"/>
      <c r="S302" s="572"/>
    </row>
    <row r="303" spans="1:19" s="573" customFormat="1" ht="12" customHeight="1">
      <c r="A303" s="577" t="s">
        <v>1349</v>
      </c>
      <c r="B303" s="578">
        <v>785</v>
      </c>
      <c r="C303" s="3862"/>
      <c r="D303" s="579"/>
      <c r="E303" s="583"/>
      <c r="F303" s="572"/>
      <c r="G303" s="572"/>
      <c r="H303" s="572"/>
      <c r="I303" s="572"/>
      <c r="J303" s="572"/>
      <c r="K303" s="572"/>
      <c r="L303" s="572"/>
      <c r="M303" s="572"/>
      <c r="N303" s="572"/>
      <c r="O303" s="572"/>
      <c r="P303" s="572"/>
      <c r="Q303" s="572"/>
      <c r="R303" s="572"/>
      <c r="S303" s="572"/>
    </row>
    <row r="304" spans="1:19" s="573" customFormat="1" ht="12" customHeight="1">
      <c r="A304" s="577" t="s">
        <v>1350</v>
      </c>
      <c r="B304" s="578">
        <v>790</v>
      </c>
      <c r="C304" s="2452"/>
      <c r="D304" s="579"/>
      <c r="E304" s="583"/>
      <c r="F304" s="572"/>
      <c r="G304" s="3055"/>
      <c r="H304" s="572"/>
      <c r="I304" s="572"/>
      <c r="J304" s="572"/>
      <c r="K304" s="572"/>
      <c r="L304" s="572"/>
      <c r="M304" s="572"/>
      <c r="N304" s="572"/>
      <c r="O304" s="572"/>
      <c r="P304" s="572"/>
      <c r="Q304" s="572"/>
      <c r="R304" s="572"/>
      <c r="S304" s="572"/>
    </row>
    <row r="305" spans="1:19" s="573" customFormat="1" ht="12" customHeight="1">
      <c r="A305" s="568" t="s">
        <v>1351</v>
      </c>
      <c r="B305" s="569"/>
      <c r="C305" s="2451"/>
      <c r="D305" s="570"/>
      <c r="E305" s="2451"/>
      <c r="F305" s="572"/>
      <c r="G305" s="572"/>
      <c r="H305" s="572"/>
      <c r="I305" s="572"/>
      <c r="J305" s="572"/>
      <c r="K305" s="572"/>
      <c r="L305" s="572"/>
      <c r="M305" s="572"/>
      <c r="N305" s="572"/>
      <c r="O305" s="572"/>
      <c r="P305" s="572"/>
      <c r="Q305" s="572"/>
      <c r="R305" s="572"/>
      <c r="S305" s="572"/>
    </row>
    <row r="306" spans="1:19" s="573" customFormat="1" ht="12" customHeight="1">
      <c r="A306" s="574" t="s">
        <v>4</v>
      </c>
      <c r="B306" s="575">
        <v>792</v>
      </c>
      <c r="C306" s="2709">
        <v>0</v>
      </c>
      <c r="D306" s="2712">
        <v>0</v>
      </c>
      <c r="E306" s="2709">
        <v>0</v>
      </c>
      <c r="F306" s="572"/>
      <c r="G306" s="3055" t="s">
        <v>68</v>
      </c>
      <c r="H306" s="572"/>
      <c r="I306" s="572"/>
      <c r="J306" s="572"/>
      <c r="K306" s="572"/>
      <c r="L306" s="572"/>
      <c r="M306" s="572"/>
      <c r="N306" s="572"/>
      <c r="O306" s="572"/>
      <c r="P306" s="572"/>
      <c r="Q306" s="572"/>
      <c r="R306" s="572"/>
      <c r="S306" s="572"/>
    </row>
    <row r="307" spans="1:19" s="573" customFormat="1" ht="12" customHeight="1">
      <c r="A307" s="574" t="s">
        <v>1352</v>
      </c>
      <c r="B307" s="575">
        <v>795</v>
      </c>
      <c r="C307" s="583">
        <v>0</v>
      </c>
      <c r="D307" s="579">
        <v>0</v>
      </c>
      <c r="E307" s="583">
        <v>0</v>
      </c>
      <c r="F307" s="572"/>
      <c r="G307" s="572"/>
      <c r="H307" s="572"/>
      <c r="I307" s="572"/>
      <c r="J307" s="572"/>
      <c r="K307" s="572"/>
      <c r="L307" s="572"/>
      <c r="M307" s="572"/>
      <c r="N307" s="572"/>
      <c r="O307" s="572"/>
      <c r="P307" s="572"/>
      <c r="Q307" s="572"/>
      <c r="R307" s="572"/>
      <c r="S307" s="572"/>
    </row>
    <row r="308" spans="1:19" s="573" customFormat="1" ht="12" customHeight="1">
      <c r="A308" s="577" t="s">
        <v>1353</v>
      </c>
      <c r="B308" s="578">
        <v>800</v>
      </c>
      <c r="C308" s="583">
        <v>0</v>
      </c>
      <c r="D308" s="579">
        <v>0</v>
      </c>
      <c r="E308" s="583">
        <v>0</v>
      </c>
      <c r="F308" s="572"/>
      <c r="G308" s="572"/>
      <c r="H308" s="572"/>
      <c r="I308" s="572"/>
      <c r="J308" s="572"/>
      <c r="K308" s="572"/>
      <c r="L308" s="572"/>
      <c r="M308" s="572"/>
      <c r="N308" s="572"/>
      <c r="O308" s="572"/>
      <c r="P308" s="572"/>
      <c r="Q308" s="572"/>
      <c r="R308" s="572"/>
      <c r="S308" s="572"/>
    </row>
    <row r="309" spans="1:19" s="573" customFormat="1" ht="12" customHeight="1">
      <c r="A309" s="577" t="s">
        <v>1354</v>
      </c>
      <c r="B309" s="578">
        <v>805</v>
      </c>
      <c r="C309" s="2454">
        <v>0</v>
      </c>
      <c r="D309" s="585">
        <v>0</v>
      </c>
      <c r="E309" s="583">
        <v>0</v>
      </c>
      <c r="F309" s="572"/>
      <c r="G309" s="572"/>
      <c r="H309" s="572"/>
      <c r="I309" s="572"/>
      <c r="J309" s="572"/>
      <c r="K309" s="572"/>
      <c r="L309" s="572"/>
      <c r="M309" s="572"/>
      <c r="N309" s="572"/>
      <c r="O309" s="572"/>
      <c r="P309" s="572"/>
      <c r="Q309" s="572"/>
      <c r="R309" s="572"/>
      <c r="S309" s="572"/>
    </row>
    <row r="310" spans="1:19" s="573" customFormat="1" ht="12" customHeight="1">
      <c r="A310" s="577" t="s">
        <v>1148</v>
      </c>
      <c r="B310" s="578">
        <v>810</v>
      </c>
      <c r="C310" s="583">
        <v>0</v>
      </c>
      <c r="D310" s="583">
        <v>0</v>
      </c>
      <c r="E310" s="3241">
        <v>0</v>
      </c>
      <c r="F310" s="572"/>
      <c r="G310" s="572"/>
      <c r="H310" s="572"/>
      <c r="I310" s="572"/>
      <c r="J310" s="572"/>
      <c r="K310" s="572"/>
      <c r="L310" s="572"/>
      <c r="M310" s="572"/>
      <c r="N310" s="572"/>
      <c r="O310" s="572"/>
      <c r="P310" s="572"/>
      <c r="Q310" s="572"/>
      <c r="R310" s="572"/>
      <c r="S310" s="572"/>
    </row>
    <row r="311" spans="1:19" s="573" customFormat="1" ht="12" customHeight="1">
      <c r="A311" s="577" t="s">
        <v>1356</v>
      </c>
      <c r="B311" s="578">
        <v>815</v>
      </c>
      <c r="C311" s="2646">
        <v>0</v>
      </c>
      <c r="D311" s="2452">
        <v>0</v>
      </c>
      <c r="E311" s="3241">
        <v>0</v>
      </c>
      <c r="F311" s="587"/>
      <c r="G311" s="572"/>
      <c r="H311" s="572"/>
      <c r="I311" s="572"/>
      <c r="J311" s="572"/>
      <c r="K311" s="572"/>
      <c r="L311" s="572"/>
      <c r="M311" s="572"/>
      <c r="N311" s="572"/>
      <c r="O311" s="572"/>
      <c r="P311" s="572"/>
      <c r="Q311" s="572"/>
      <c r="R311" s="572"/>
      <c r="S311" s="572"/>
    </row>
    <row r="312" spans="1:19" s="573" customFormat="1" ht="12" customHeight="1">
      <c r="A312" s="577" t="s">
        <v>1357</v>
      </c>
      <c r="B312" s="578">
        <v>823</v>
      </c>
      <c r="C312" s="2452">
        <v>0</v>
      </c>
      <c r="D312" s="576">
        <v>0</v>
      </c>
      <c r="E312" s="583">
        <v>0</v>
      </c>
      <c r="F312" s="572"/>
      <c r="G312" s="572"/>
      <c r="H312" s="572"/>
      <c r="I312" s="572"/>
      <c r="J312" s="572"/>
      <c r="K312" s="572"/>
      <c r="L312" s="572"/>
      <c r="M312" s="572"/>
      <c r="N312" s="572"/>
      <c r="O312" s="572"/>
      <c r="P312" s="572"/>
      <c r="Q312" s="572"/>
      <c r="R312" s="572"/>
      <c r="S312" s="572"/>
    </row>
    <row r="313" spans="1:19" s="573" customFormat="1" ht="12" customHeight="1">
      <c r="A313" s="577" t="s">
        <v>1358</v>
      </c>
      <c r="B313" s="578">
        <v>825</v>
      </c>
      <c r="C313" s="2452">
        <v>106000</v>
      </c>
      <c r="D313" s="576">
        <v>73000</v>
      </c>
      <c r="E313" s="583">
        <v>87000</v>
      </c>
      <c r="F313" s="572"/>
      <c r="G313" s="572"/>
      <c r="H313" s="572"/>
      <c r="I313" s="572"/>
      <c r="J313" s="572"/>
      <c r="K313" s="572"/>
      <c r="L313" s="572"/>
      <c r="M313" s="572"/>
      <c r="N313" s="572"/>
      <c r="O313" s="572"/>
      <c r="P313" s="572"/>
      <c r="Q313" s="572"/>
      <c r="R313" s="572"/>
      <c r="S313" s="572"/>
    </row>
    <row r="314" spans="1:19" s="573" customFormat="1" ht="12" customHeight="1">
      <c r="A314" s="577" t="s">
        <v>939</v>
      </c>
      <c r="B314" s="578">
        <v>830</v>
      </c>
      <c r="C314" s="583">
        <v>0</v>
      </c>
      <c r="D314" s="579">
        <v>0</v>
      </c>
      <c r="E314" s="583">
        <v>0</v>
      </c>
      <c r="F314" s="572"/>
      <c r="G314" s="572"/>
      <c r="H314" s="572"/>
      <c r="I314" s="572"/>
      <c r="J314" s="572"/>
      <c r="K314" s="572"/>
      <c r="L314" s="572"/>
      <c r="M314" s="572"/>
      <c r="N314" s="572"/>
      <c r="O314" s="572"/>
      <c r="P314" s="572"/>
      <c r="Q314" s="572"/>
      <c r="R314" s="572"/>
      <c r="S314" s="572"/>
    </row>
    <row r="315" spans="1:19" s="573" customFormat="1" ht="12" customHeight="1">
      <c r="A315" s="577" t="s">
        <v>1359</v>
      </c>
      <c r="B315" s="578">
        <v>835</v>
      </c>
      <c r="C315" s="583">
        <v>0</v>
      </c>
      <c r="D315" s="579">
        <v>0</v>
      </c>
      <c r="E315" s="583">
        <v>0</v>
      </c>
      <c r="F315" s="572"/>
      <c r="G315" s="572"/>
      <c r="H315" s="572"/>
      <c r="I315" s="572"/>
      <c r="J315" s="572"/>
      <c r="K315" s="572"/>
      <c r="L315" s="572"/>
      <c r="M315" s="572"/>
      <c r="N315" s="572"/>
      <c r="O315" s="572"/>
      <c r="P315" s="572"/>
      <c r="Q315" s="572"/>
      <c r="R315" s="572"/>
      <c r="S315" s="572"/>
    </row>
    <row r="316" spans="1:19" s="573" customFormat="1" ht="12" customHeight="1">
      <c r="A316" s="577" t="s">
        <v>1360</v>
      </c>
      <c r="B316" s="578">
        <v>837</v>
      </c>
      <c r="C316" s="583">
        <v>30000</v>
      </c>
      <c r="D316" s="579">
        <v>0</v>
      </c>
      <c r="E316" s="583">
        <v>0</v>
      </c>
      <c r="F316" s="572"/>
      <c r="G316" s="572"/>
      <c r="H316" s="572"/>
      <c r="I316" s="572"/>
      <c r="J316" s="572"/>
      <c r="K316" s="572"/>
      <c r="L316" s="572"/>
      <c r="M316" s="572"/>
      <c r="N316" s="572"/>
      <c r="O316" s="572"/>
      <c r="P316" s="572"/>
      <c r="Q316" s="572"/>
      <c r="R316" s="572"/>
      <c r="S316" s="572"/>
    </row>
    <row r="317" spans="1:19" s="573" customFormat="1" ht="12" customHeight="1">
      <c r="A317" s="577" t="s">
        <v>1361</v>
      </c>
      <c r="B317" s="578">
        <v>840</v>
      </c>
      <c r="C317" s="583">
        <v>205000</v>
      </c>
      <c r="D317" s="2699">
        <v>50000</v>
      </c>
      <c r="E317" s="583">
        <v>120000</v>
      </c>
      <c r="F317" s="572"/>
      <c r="G317" s="572"/>
      <c r="H317" s="572"/>
      <c r="I317" s="572"/>
      <c r="J317" s="572"/>
      <c r="K317" s="572"/>
      <c r="L317" s="572"/>
      <c r="M317" s="572"/>
      <c r="N317" s="572"/>
      <c r="O317" s="572"/>
      <c r="P317" s="572"/>
      <c r="Q317" s="572"/>
      <c r="R317" s="572"/>
      <c r="S317" s="572"/>
    </row>
    <row r="318" spans="1:19" s="573" customFormat="1" ht="12" customHeight="1">
      <c r="A318" s="577" t="s">
        <v>1362</v>
      </c>
      <c r="B318" s="578">
        <v>850</v>
      </c>
      <c r="C318" s="2699">
        <v>290000</v>
      </c>
      <c r="D318" s="2452">
        <v>155000</v>
      </c>
      <c r="E318" s="2700">
        <v>200000</v>
      </c>
      <c r="F318" s="572"/>
      <c r="G318" s="572"/>
      <c r="H318" s="572"/>
      <c r="I318" s="572"/>
      <c r="J318" s="572"/>
      <c r="K318" s="572"/>
      <c r="L318" s="572"/>
      <c r="M318" s="572"/>
      <c r="N318" s="572"/>
      <c r="O318" s="572"/>
      <c r="P318" s="572"/>
      <c r="Q318" s="572"/>
      <c r="R318" s="572"/>
      <c r="S318" s="572"/>
    </row>
    <row r="319" spans="1:19" s="573" customFormat="1" ht="12" customHeight="1">
      <c r="A319" s="5082" t="s">
        <v>2514</v>
      </c>
      <c r="B319" s="5083">
        <v>853</v>
      </c>
      <c r="C319" s="2699">
        <v>0</v>
      </c>
      <c r="D319" s="2452">
        <v>0</v>
      </c>
      <c r="E319" s="5101">
        <v>0</v>
      </c>
      <c r="F319" s="572"/>
      <c r="G319" s="572"/>
      <c r="H319" s="5084"/>
      <c r="I319" s="572"/>
      <c r="J319" s="572"/>
      <c r="K319" s="572"/>
      <c r="L319" s="572"/>
      <c r="M319" s="572"/>
      <c r="N319" s="572"/>
      <c r="O319" s="572"/>
      <c r="P319" s="572"/>
      <c r="Q319" s="572"/>
      <c r="R319" s="572"/>
      <c r="S319" s="572"/>
    </row>
    <row r="320" spans="1:19" s="588" customFormat="1" ht="12" customHeight="1">
      <c r="A320" s="2667" t="s">
        <v>116</v>
      </c>
      <c r="B320" s="2668">
        <v>855</v>
      </c>
      <c r="C320" s="583">
        <v>0</v>
      </c>
      <c r="D320" s="583">
        <v>0</v>
      </c>
      <c r="E320" s="2647">
        <v>0</v>
      </c>
      <c r="F320" s="571"/>
      <c r="G320" s="571"/>
      <c r="H320" s="571"/>
      <c r="I320" s="571"/>
      <c r="J320" s="571"/>
      <c r="K320" s="571"/>
      <c r="L320" s="571"/>
      <c r="M320" s="571"/>
      <c r="N320" s="571"/>
      <c r="O320" s="571"/>
      <c r="P320" s="571"/>
      <c r="Q320" s="571"/>
      <c r="R320" s="571"/>
      <c r="S320" s="571"/>
    </row>
    <row r="321" spans="1:19" s="588" customFormat="1" ht="12" customHeight="1">
      <c r="A321" s="2667" t="s">
        <v>119</v>
      </c>
      <c r="B321" s="2668">
        <v>880</v>
      </c>
      <c r="C321" s="2705">
        <v>0</v>
      </c>
      <c r="D321" s="2705">
        <v>10000</v>
      </c>
      <c r="E321" s="5102"/>
      <c r="F321" s="571"/>
      <c r="G321" s="571"/>
      <c r="H321" s="5085"/>
      <c r="I321" s="571"/>
      <c r="J321" s="571"/>
      <c r="K321" s="571"/>
      <c r="L321" s="571"/>
      <c r="M321" s="571"/>
      <c r="N321" s="571"/>
      <c r="O321" s="571"/>
      <c r="P321" s="571"/>
      <c r="Q321" s="571"/>
      <c r="R321" s="571"/>
      <c r="S321" s="571"/>
    </row>
    <row r="322" spans="1:19" s="573" customFormat="1" ht="12" customHeight="1">
      <c r="A322" s="2874" t="s">
        <v>706</v>
      </c>
      <c r="B322" s="2913">
        <v>885</v>
      </c>
      <c r="C322" s="583">
        <v>0</v>
      </c>
      <c r="D322" s="583">
        <v>0</v>
      </c>
      <c r="E322" s="2700">
        <v>0</v>
      </c>
      <c r="F322" s="571"/>
      <c r="G322" s="572"/>
      <c r="H322" s="572"/>
      <c r="I322" s="572"/>
      <c r="J322" s="572"/>
      <c r="K322" s="572"/>
      <c r="L322" s="572"/>
      <c r="M322" s="572"/>
      <c r="N322" s="572"/>
      <c r="O322" s="572"/>
      <c r="P322" s="572"/>
      <c r="Q322" s="572"/>
      <c r="R322" s="572"/>
      <c r="S322" s="572"/>
    </row>
    <row r="323" spans="1:19" s="573" customFormat="1" ht="11.25" customHeight="1">
      <c r="A323" s="2874" t="s">
        <v>707</v>
      </c>
      <c r="B323" s="2913">
        <v>890</v>
      </c>
      <c r="C323" s="583">
        <v>100000</v>
      </c>
      <c r="D323" s="583">
        <v>145000</v>
      </c>
      <c r="E323" s="2700">
        <v>130000</v>
      </c>
      <c r="F323" s="572"/>
      <c r="G323" s="572"/>
      <c r="H323" s="572"/>
      <c r="I323" s="572"/>
      <c r="J323" s="572"/>
      <c r="K323" s="572"/>
      <c r="L323" s="572"/>
      <c r="M323" s="572"/>
      <c r="N323" s="572"/>
      <c r="O323" s="572"/>
      <c r="P323" s="572"/>
      <c r="Q323" s="572"/>
      <c r="R323" s="572"/>
      <c r="S323" s="572"/>
    </row>
    <row r="324" spans="1:19" ht="11.25" customHeight="1">
      <c r="A324" s="574" t="s">
        <v>1248</v>
      </c>
      <c r="B324" s="2578" t="s">
        <v>1364</v>
      </c>
      <c r="C324" s="3262">
        <f>SUM(C47:C69,C80:C128,C139:C196,C207:C265,C276:C323)</f>
        <v>962002</v>
      </c>
      <c r="D324" s="2834">
        <f>SUM(D47:D69,D80:D128,D139:D196,D207:D265,D276:D323)</f>
        <v>766029</v>
      </c>
      <c r="E324" s="2834">
        <f>SUM(E47:E69,E80:E128,E139:E196,E207:E265,E276:E323)</f>
        <v>962024</v>
      </c>
      <c r="F324" s="572"/>
      <c r="G324" s="513"/>
      <c r="H324" s="513"/>
      <c r="I324" s="513"/>
      <c r="J324" s="513"/>
      <c r="K324" s="513"/>
      <c r="L324" s="513"/>
      <c r="M324" s="513"/>
      <c r="N324" s="513"/>
      <c r="O324" s="513"/>
      <c r="P324" s="513"/>
      <c r="Q324" s="513"/>
      <c r="R324" s="513"/>
      <c r="S324" s="513"/>
    </row>
    <row r="325" spans="1:19" ht="11.25" customHeight="1">
      <c r="A325" s="512"/>
      <c r="B325" s="589"/>
      <c r="C325" s="582"/>
      <c r="D325" s="582"/>
      <c r="E325" s="582"/>
      <c r="F325" s="513"/>
      <c r="G325" s="513"/>
      <c r="H325" s="513"/>
      <c r="I325" s="513"/>
      <c r="J325" s="513"/>
      <c r="K325" s="513"/>
      <c r="L325" s="513"/>
      <c r="M325" s="513"/>
      <c r="N325" s="513"/>
      <c r="O325" s="513"/>
      <c r="P325" s="513"/>
      <c r="Q325" s="513"/>
      <c r="R325" s="513"/>
      <c r="S325" s="513"/>
    </row>
    <row r="326" spans="1:19" ht="11.25" customHeight="1">
      <c r="A326" s="512"/>
      <c r="B326" s="511"/>
      <c r="C326" s="512"/>
      <c r="D326" s="512"/>
      <c r="E326" s="512"/>
      <c r="F326" s="513"/>
      <c r="G326" s="513"/>
      <c r="H326" s="513"/>
      <c r="I326" s="513"/>
      <c r="J326" s="513"/>
      <c r="K326" s="513"/>
      <c r="L326" s="513"/>
      <c r="M326" s="513"/>
      <c r="N326" s="513"/>
      <c r="O326" s="513"/>
      <c r="P326" s="513"/>
      <c r="Q326" s="513"/>
      <c r="R326" s="513"/>
      <c r="S326" s="513"/>
    </row>
    <row r="327" spans="1:19" ht="11.25" customHeight="1">
      <c r="A327" s="512"/>
      <c r="B327" s="511"/>
      <c r="C327" s="512"/>
      <c r="D327" s="512"/>
      <c r="E327" s="512"/>
      <c r="F327" s="513"/>
      <c r="G327" s="513"/>
      <c r="H327" s="513"/>
      <c r="I327" s="513"/>
      <c r="J327" s="513"/>
      <c r="K327" s="513"/>
      <c r="L327" s="513"/>
      <c r="M327" s="513"/>
      <c r="N327" s="513"/>
      <c r="O327" s="513"/>
      <c r="P327" s="513"/>
      <c r="Q327" s="513"/>
      <c r="R327" s="513"/>
      <c r="S327" s="513"/>
    </row>
    <row r="328" spans="1:19" ht="12.6" customHeight="1">
      <c r="A328" s="563"/>
      <c r="B328" s="590"/>
      <c r="C328" s="563"/>
      <c r="D328" s="563"/>
      <c r="E328" s="563"/>
      <c r="F328" s="513"/>
      <c r="G328" s="513"/>
      <c r="H328" s="513"/>
      <c r="I328" s="513"/>
      <c r="J328" s="513"/>
      <c r="K328" s="513"/>
      <c r="L328" s="513"/>
      <c r="M328" s="513"/>
      <c r="N328" s="513"/>
      <c r="O328" s="513"/>
      <c r="P328" s="513"/>
      <c r="Q328" s="513"/>
      <c r="R328" s="513"/>
      <c r="S328" s="513"/>
    </row>
    <row r="329" spans="1:19" ht="12.6" customHeight="1">
      <c r="A329" s="512"/>
      <c r="B329" s="511"/>
      <c r="C329" s="3607"/>
      <c r="D329" s="2843"/>
      <c r="E329" s="512"/>
      <c r="F329" s="513"/>
      <c r="G329" s="513"/>
      <c r="H329" s="513"/>
      <c r="I329" s="513"/>
      <c r="J329" s="513"/>
      <c r="K329" s="513"/>
      <c r="L329" s="513"/>
      <c r="M329" s="513"/>
      <c r="N329" s="513"/>
      <c r="O329" s="513"/>
      <c r="P329" s="513"/>
      <c r="Q329" s="513"/>
      <c r="R329" s="513"/>
      <c r="S329" s="513"/>
    </row>
    <row r="330" spans="1:19" ht="12.6" customHeight="1">
      <c r="A330" s="512"/>
      <c r="B330" s="511"/>
      <c r="C330" s="2843"/>
      <c r="D330" s="3608"/>
      <c r="E330" s="512"/>
      <c r="F330" s="513"/>
      <c r="G330" s="513"/>
      <c r="H330" s="513"/>
      <c r="I330" s="513"/>
      <c r="J330" s="513"/>
      <c r="K330" s="513"/>
      <c r="L330" s="513"/>
      <c r="M330" s="513"/>
      <c r="N330" s="513"/>
      <c r="O330" s="513"/>
      <c r="P330" s="513"/>
      <c r="Q330" s="513"/>
      <c r="R330" s="513"/>
      <c r="S330" s="513"/>
    </row>
    <row r="331" spans="1:19" ht="12.6" customHeight="1">
      <c r="A331" s="512"/>
      <c r="B331" s="511"/>
      <c r="C331" s="3333"/>
      <c r="D331" s="3609"/>
      <c r="E331" s="512"/>
      <c r="F331" s="513"/>
      <c r="G331" s="513"/>
      <c r="H331" s="513"/>
      <c r="I331" s="513"/>
      <c r="J331" s="513"/>
      <c r="K331" s="513"/>
      <c r="L331" s="513"/>
      <c r="M331" s="513"/>
      <c r="N331" s="513"/>
      <c r="O331" s="513"/>
      <c r="P331" s="513"/>
      <c r="Q331" s="513"/>
      <c r="R331" s="513"/>
      <c r="S331" s="513"/>
    </row>
    <row r="332" spans="1:19" s="591" customFormat="1" ht="12.6" customHeight="1">
      <c r="A332" s="512"/>
      <c r="B332" s="511"/>
      <c r="C332" s="3610"/>
      <c r="D332" s="3334"/>
      <c r="E332" s="512"/>
      <c r="F332" s="513"/>
    </row>
    <row r="333" spans="1:19" ht="12.6" customHeight="1">
      <c r="A333" s="512"/>
      <c r="B333" s="511"/>
      <c r="C333" s="3610"/>
      <c r="D333" s="3334"/>
      <c r="E333" s="512"/>
      <c r="F333" s="591"/>
      <c r="G333" s="513"/>
      <c r="H333" s="513"/>
      <c r="I333" s="513"/>
      <c r="J333" s="513"/>
      <c r="K333" s="513"/>
      <c r="L333" s="513"/>
      <c r="M333" s="513"/>
      <c r="N333" s="513"/>
      <c r="O333" s="513"/>
      <c r="P333" s="513"/>
      <c r="Q333" s="513"/>
      <c r="R333" s="513"/>
      <c r="S333" s="513"/>
    </row>
    <row r="334" spans="1:19" ht="12.6" customHeight="1">
      <c r="A334" s="591"/>
      <c r="B334" s="591"/>
      <c r="C334" s="3610"/>
      <c r="D334" s="3334"/>
      <c r="E334" s="591"/>
      <c r="F334" s="513"/>
      <c r="G334" s="513"/>
      <c r="H334" s="513"/>
      <c r="I334" s="513"/>
      <c r="J334" s="513"/>
      <c r="K334" s="513"/>
      <c r="L334" s="513"/>
      <c r="M334" s="513"/>
      <c r="N334" s="513"/>
      <c r="O334" s="513"/>
      <c r="P334" s="513"/>
      <c r="Q334" s="513"/>
      <c r="R334" s="513"/>
      <c r="S334" s="513"/>
    </row>
    <row r="335" spans="1:19" ht="12.6" customHeight="1">
      <c r="A335" s="512"/>
      <c r="B335" s="511"/>
      <c r="C335" s="3610"/>
      <c r="D335" s="3334"/>
      <c r="E335" s="513"/>
      <c r="F335" s="513"/>
      <c r="G335" s="513"/>
      <c r="H335" s="513"/>
      <c r="I335" s="513"/>
      <c r="J335" s="513"/>
      <c r="K335" s="513"/>
      <c r="L335" s="513"/>
      <c r="M335" s="513"/>
      <c r="N335" s="513"/>
      <c r="O335" s="513"/>
      <c r="P335" s="513"/>
      <c r="Q335" s="513"/>
      <c r="R335" s="513"/>
      <c r="S335" s="513"/>
    </row>
    <row r="336" spans="1:19" ht="12.6" customHeight="1">
      <c r="A336" s="512"/>
      <c r="B336" s="511"/>
      <c r="C336" s="3610"/>
      <c r="D336" s="3334"/>
      <c r="E336" s="513"/>
      <c r="F336" s="513"/>
      <c r="G336" s="513"/>
      <c r="H336" s="513"/>
      <c r="I336" s="513"/>
      <c r="J336" s="513"/>
      <c r="K336" s="513"/>
      <c r="L336" s="513"/>
      <c r="M336" s="513"/>
      <c r="N336" s="513"/>
      <c r="O336" s="513"/>
      <c r="P336" s="513"/>
      <c r="Q336" s="513"/>
      <c r="R336" s="513"/>
      <c r="S336" s="513"/>
    </row>
    <row r="337" spans="1:19" ht="12.6" customHeight="1">
      <c r="A337" s="512"/>
      <c r="B337" s="511"/>
      <c r="C337" s="3610"/>
      <c r="D337" s="3334"/>
      <c r="E337" s="513"/>
      <c r="F337" s="513"/>
      <c r="G337" s="513"/>
      <c r="H337" s="513"/>
      <c r="I337" s="513"/>
      <c r="J337" s="513"/>
      <c r="K337" s="513"/>
      <c r="L337" s="513"/>
      <c r="M337" s="513"/>
      <c r="N337" s="513"/>
      <c r="O337" s="513"/>
      <c r="P337" s="513"/>
      <c r="Q337" s="513"/>
      <c r="R337" s="513"/>
      <c r="S337" s="513"/>
    </row>
    <row r="338" spans="1:19" ht="12.6" customHeight="1">
      <c r="A338" s="512"/>
      <c r="B338" s="511"/>
      <c r="C338" s="3610"/>
      <c r="D338" s="3334"/>
      <c r="E338" s="513"/>
      <c r="F338" s="513"/>
      <c r="G338" s="513"/>
      <c r="H338" s="513"/>
      <c r="I338" s="513"/>
      <c r="J338" s="513"/>
      <c r="K338" s="513"/>
      <c r="L338" s="513"/>
      <c r="M338" s="513"/>
      <c r="N338" s="513"/>
      <c r="O338" s="513"/>
      <c r="P338" s="513"/>
      <c r="Q338" s="513"/>
      <c r="R338" s="513"/>
      <c r="S338" s="513"/>
    </row>
    <row r="339" spans="1:19" ht="12.6" customHeight="1">
      <c r="A339" s="512"/>
      <c r="B339" s="511"/>
      <c r="C339" s="3610"/>
      <c r="D339" s="3334"/>
      <c r="E339" s="513"/>
      <c r="F339" s="592"/>
      <c r="G339" s="513"/>
      <c r="H339" s="513"/>
      <c r="I339" s="513"/>
      <c r="J339" s="513"/>
      <c r="K339" s="513"/>
      <c r="L339" s="513"/>
      <c r="M339" s="513"/>
      <c r="N339" s="513"/>
      <c r="O339" s="513"/>
      <c r="P339" s="513"/>
      <c r="Q339" s="513"/>
      <c r="R339" s="513"/>
      <c r="S339" s="513"/>
    </row>
    <row r="340" spans="1:19" ht="12.6" customHeight="1">
      <c r="A340" s="512"/>
      <c r="B340" s="511"/>
      <c r="C340" s="3610"/>
      <c r="D340" s="3334"/>
      <c r="E340" s="513"/>
      <c r="F340" s="513"/>
      <c r="G340" s="513"/>
      <c r="H340" s="513"/>
      <c r="I340" s="513"/>
      <c r="J340" s="513"/>
      <c r="K340" s="513"/>
      <c r="L340" s="513"/>
      <c r="M340" s="513"/>
      <c r="N340" s="513"/>
      <c r="O340" s="513"/>
      <c r="P340" s="513"/>
      <c r="Q340" s="513"/>
      <c r="R340" s="513"/>
      <c r="S340" s="513"/>
    </row>
    <row r="341" spans="1:19" ht="12.6" customHeight="1">
      <c r="A341" s="512"/>
      <c r="B341" s="590"/>
      <c r="C341" s="3610"/>
      <c r="D341" s="3334"/>
      <c r="E341" s="592"/>
      <c r="F341" s="513"/>
      <c r="G341" s="513"/>
      <c r="H341" s="513"/>
      <c r="I341" s="513"/>
      <c r="J341" s="513"/>
      <c r="K341" s="513"/>
      <c r="L341" s="513"/>
      <c r="M341" s="513"/>
      <c r="N341" s="513"/>
      <c r="O341" s="513"/>
      <c r="P341" s="513"/>
      <c r="Q341" s="513"/>
      <c r="R341" s="513"/>
      <c r="S341" s="513"/>
    </row>
    <row r="342" spans="1:19" ht="12.6" customHeight="1">
      <c r="A342" s="512"/>
      <c r="B342" s="511"/>
      <c r="C342" s="3333"/>
      <c r="D342" s="3334"/>
      <c r="E342" s="513"/>
      <c r="F342" s="513"/>
      <c r="G342" s="513"/>
      <c r="H342" s="513"/>
      <c r="I342" s="513"/>
      <c r="J342" s="513"/>
      <c r="K342" s="513"/>
      <c r="L342" s="513"/>
      <c r="M342" s="513"/>
      <c r="N342" s="513"/>
      <c r="O342" s="513"/>
      <c r="P342" s="513"/>
      <c r="Q342" s="513"/>
      <c r="R342" s="513"/>
      <c r="S342" s="513"/>
    </row>
    <row r="343" spans="1:19" ht="12.6" customHeight="1">
      <c r="A343" s="512"/>
      <c r="B343" s="511"/>
      <c r="C343" s="3333"/>
      <c r="D343" s="3334"/>
      <c r="E343" s="513"/>
      <c r="F343" s="513"/>
      <c r="G343" s="513"/>
      <c r="H343" s="513"/>
      <c r="I343" s="513"/>
      <c r="J343" s="513"/>
      <c r="K343" s="513"/>
      <c r="L343" s="513"/>
      <c r="M343" s="513"/>
      <c r="N343" s="513"/>
      <c r="O343" s="513"/>
      <c r="P343" s="513"/>
      <c r="Q343" s="513"/>
      <c r="R343" s="513"/>
      <c r="S343" s="513"/>
    </row>
    <row r="344" spans="1:19" ht="12.6" customHeight="1">
      <c r="A344" s="512"/>
      <c r="B344" s="511"/>
      <c r="C344" s="3333"/>
      <c r="D344" s="3334"/>
      <c r="E344" s="513"/>
      <c r="F344" s="513"/>
      <c r="G344" s="513"/>
      <c r="H344" s="513"/>
      <c r="I344" s="513"/>
      <c r="J344" s="513"/>
      <c r="K344" s="513"/>
      <c r="L344" s="513"/>
      <c r="M344" s="513"/>
      <c r="N344" s="513"/>
      <c r="O344" s="513"/>
      <c r="P344" s="513"/>
      <c r="Q344" s="513"/>
      <c r="R344" s="513"/>
      <c r="S344" s="513"/>
    </row>
    <row r="345" spans="1:19" ht="12.6" customHeight="1">
      <c r="A345" s="512"/>
      <c r="B345" s="511"/>
      <c r="C345" s="3333"/>
      <c r="D345" s="3334"/>
      <c r="E345" s="513"/>
      <c r="F345" s="513"/>
      <c r="G345" s="513"/>
      <c r="H345" s="513"/>
      <c r="I345" s="513"/>
      <c r="J345" s="513"/>
      <c r="K345" s="513"/>
      <c r="L345" s="513"/>
      <c r="M345" s="513"/>
      <c r="N345" s="513"/>
      <c r="O345" s="513"/>
      <c r="P345" s="513"/>
      <c r="Q345" s="513"/>
      <c r="R345" s="513"/>
      <c r="S345" s="513"/>
    </row>
    <row r="346" spans="1:19" ht="12.6" customHeight="1">
      <c r="A346" s="512"/>
      <c r="B346" s="511"/>
      <c r="C346" s="3610"/>
      <c r="D346" s="3334"/>
      <c r="E346" s="513"/>
      <c r="F346" s="513"/>
      <c r="G346" s="513"/>
      <c r="H346" s="513"/>
      <c r="I346" s="513"/>
      <c r="J346" s="513"/>
      <c r="K346" s="513"/>
      <c r="L346" s="513"/>
      <c r="M346" s="513"/>
      <c r="N346" s="513"/>
      <c r="O346" s="513"/>
      <c r="P346" s="513"/>
      <c r="Q346" s="513"/>
      <c r="R346" s="513"/>
      <c r="S346" s="513"/>
    </row>
    <row r="347" spans="1:19" ht="12.6" customHeight="1">
      <c r="A347" s="512"/>
      <c r="B347" s="511"/>
      <c r="C347" s="3610"/>
      <c r="D347" s="3334"/>
      <c r="E347" s="513"/>
      <c r="F347" s="513"/>
      <c r="G347" s="513"/>
      <c r="H347" s="513"/>
      <c r="I347" s="513"/>
      <c r="J347" s="513"/>
      <c r="K347" s="513"/>
      <c r="L347" s="513"/>
      <c r="M347" s="513"/>
      <c r="N347" s="513"/>
      <c r="O347" s="513"/>
      <c r="P347" s="513"/>
      <c r="Q347" s="513"/>
      <c r="R347" s="513"/>
      <c r="S347" s="513"/>
    </row>
    <row r="348" spans="1:19" ht="12.6" customHeight="1">
      <c r="A348" s="512"/>
      <c r="B348" s="511"/>
      <c r="C348" s="3610"/>
      <c r="D348" s="3334"/>
      <c r="E348" s="513"/>
      <c r="F348" s="513"/>
      <c r="G348" s="513"/>
      <c r="H348" s="513"/>
      <c r="I348" s="513"/>
      <c r="J348" s="513"/>
      <c r="K348" s="513"/>
      <c r="L348" s="513"/>
      <c r="M348" s="513"/>
      <c r="N348" s="513"/>
      <c r="O348" s="513"/>
      <c r="P348" s="513"/>
      <c r="Q348" s="513"/>
      <c r="R348" s="513"/>
      <c r="S348" s="513"/>
    </row>
    <row r="349" spans="1:19" ht="12.6" customHeight="1">
      <c r="A349" s="512"/>
      <c r="B349" s="511"/>
      <c r="C349" s="3610"/>
      <c r="D349" s="3334"/>
      <c r="E349" s="513"/>
      <c r="F349" s="513"/>
      <c r="G349" s="513"/>
      <c r="H349" s="513"/>
      <c r="I349" s="513"/>
      <c r="J349" s="513"/>
      <c r="K349" s="513"/>
      <c r="L349" s="513"/>
      <c r="M349" s="513"/>
      <c r="N349" s="513"/>
      <c r="O349" s="513"/>
      <c r="P349" s="513"/>
      <c r="Q349" s="513"/>
      <c r="R349" s="513"/>
      <c r="S349" s="513"/>
    </row>
    <row r="350" spans="1:19" ht="12.6" customHeight="1">
      <c r="A350" s="512"/>
      <c r="B350" s="511"/>
      <c r="C350" s="3610"/>
      <c r="D350" s="3334"/>
      <c r="E350" s="513"/>
      <c r="F350" s="513"/>
      <c r="G350" s="513"/>
      <c r="H350" s="513"/>
      <c r="I350" s="513"/>
      <c r="J350" s="513"/>
      <c r="K350" s="513"/>
      <c r="L350" s="513"/>
      <c r="M350" s="513"/>
      <c r="N350" s="513"/>
      <c r="O350" s="513"/>
      <c r="P350" s="513"/>
      <c r="Q350" s="513"/>
      <c r="R350" s="513"/>
      <c r="S350" s="513"/>
    </row>
    <row r="351" spans="1:19" ht="12.6" customHeight="1">
      <c r="A351" s="512"/>
      <c r="B351" s="511"/>
      <c r="C351" s="3610"/>
      <c r="D351" s="3334"/>
      <c r="E351" s="513"/>
      <c r="F351" s="513"/>
      <c r="G351" s="513"/>
      <c r="H351" s="513"/>
      <c r="I351" s="513"/>
      <c r="J351" s="513"/>
      <c r="K351" s="513"/>
      <c r="L351" s="513"/>
      <c r="M351" s="513"/>
      <c r="N351" s="513"/>
      <c r="O351" s="513"/>
      <c r="P351" s="513"/>
      <c r="Q351" s="513"/>
      <c r="R351" s="513"/>
      <c r="S351" s="513"/>
    </row>
    <row r="352" spans="1:19" ht="12.6" customHeight="1">
      <c r="A352" s="512"/>
      <c r="B352" s="511"/>
      <c r="C352" s="3610"/>
      <c r="D352" s="3334"/>
      <c r="E352" s="513"/>
      <c r="F352" s="513"/>
      <c r="G352" s="513"/>
      <c r="H352" s="513"/>
      <c r="I352" s="513"/>
      <c r="J352" s="513"/>
      <c r="K352" s="513"/>
      <c r="L352" s="513"/>
      <c r="M352" s="513"/>
      <c r="N352" s="513"/>
      <c r="O352" s="513"/>
      <c r="P352" s="513"/>
      <c r="Q352" s="513"/>
      <c r="R352" s="513"/>
      <c r="S352" s="513"/>
    </row>
    <row r="353" spans="1:19" ht="12.6" customHeight="1">
      <c r="A353" s="512"/>
      <c r="B353" s="511"/>
      <c r="C353" s="3610"/>
      <c r="D353" s="3334"/>
      <c r="E353" s="513"/>
      <c r="F353" s="513"/>
      <c r="G353" s="513"/>
      <c r="H353" s="513"/>
      <c r="I353" s="513"/>
      <c r="J353" s="513"/>
      <c r="K353" s="513"/>
      <c r="L353" s="513"/>
      <c r="M353" s="513"/>
      <c r="N353" s="513"/>
      <c r="O353" s="513"/>
      <c r="P353" s="513"/>
      <c r="Q353" s="513"/>
      <c r="R353" s="513"/>
      <c r="S353" s="513"/>
    </row>
    <row r="354" spans="1:19" ht="12.6" customHeight="1">
      <c r="A354" s="512"/>
      <c r="B354" s="511"/>
      <c r="C354" s="3610"/>
      <c r="D354" s="3334"/>
      <c r="E354" s="513"/>
      <c r="F354" s="513"/>
      <c r="G354" s="513"/>
      <c r="H354" s="513"/>
      <c r="I354" s="513"/>
      <c r="J354" s="513"/>
      <c r="K354" s="513"/>
      <c r="L354" s="513"/>
      <c r="M354" s="513"/>
      <c r="N354" s="513"/>
      <c r="O354" s="513"/>
      <c r="P354" s="513"/>
      <c r="Q354" s="513"/>
      <c r="R354" s="513"/>
      <c r="S354" s="513"/>
    </row>
    <row r="355" spans="1:19" ht="12.6" customHeight="1">
      <c r="A355" s="512"/>
      <c r="B355" s="511"/>
      <c r="C355" s="3610"/>
      <c r="D355" s="3334"/>
      <c r="E355" s="513"/>
      <c r="F355" s="592"/>
    </row>
    <row r="356" spans="1:19" ht="12.6" customHeight="1">
      <c r="A356" s="512"/>
      <c r="B356" s="511"/>
      <c r="C356" s="3610"/>
      <c r="D356" s="3334"/>
      <c r="E356" s="513"/>
    </row>
    <row r="357" spans="1:19" ht="12.6" customHeight="1">
      <c r="C357" s="3610"/>
      <c r="D357" s="3334"/>
    </row>
    <row r="358" spans="1:19" ht="12.6" customHeight="1">
      <c r="C358" s="3610"/>
      <c r="D358" s="3334"/>
    </row>
    <row r="359" spans="1:19" ht="12.6" customHeight="1">
      <c r="C359" s="3610"/>
      <c r="D359" s="3334"/>
    </row>
    <row r="360" spans="1:19" ht="12.6" customHeight="1">
      <c r="C360" s="3610"/>
      <c r="D360" s="3334"/>
    </row>
    <row r="361" spans="1:19" ht="12.6" customHeight="1">
      <c r="C361" s="3610"/>
      <c r="D361" s="3334"/>
    </row>
    <row r="362" spans="1:19" ht="12.6" customHeight="1">
      <c r="C362" s="3610"/>
      <c r="D362" s="3334"/>
    </row>
    <row r="363" spans="1:19" ht="12.6" customHeight="1">
      <c r="C363" s="3610"/>
      <c r="D363" s="3334"/>
    </row>
    <row r="364" spans="1:19" ht="12.6" customHeight="1">
      <c r="C364" s="3610"/>
      <c r="D364" s="3334"/>
    </row>
    <row r="365" spans="1:19" ht="12.6" customHeight="1">
      <c r="C365" s="3610"/>
      <c r="D365" s="3334"/>
    </row>
    <row r="366" spans="1:19" ht="12.6" customHeight="1">
      <c r="C366" s="3610"/>
      <c r="D366" s="3334"/>
    </row>
    <row r="367" spans="1:19" ht="12.6" customHeight="1">
      <c r="C367" s="3610"/>
      <c r="D367" s="3334"/>
    </row>
    <row r="368" spans="1:19" ht="12.6" customHeight="1">
      <c r="C368" s="3610"/>
      <c r="D368" s="3334"/>
    </row>
    <row r="369" spans="3:4" ht="12.6" customHeight="1">
      <c r="C369" s="3610"/>
      <c r="D369" s="3334"/>
    </row>
    <row r="370" spans="3:4" ht="12.6" customHeight="1">
      <c r="C370" s="3610"/>
      <c r="D370" s="3334"/>
    </row>
    <row r="371" spans="3:4" ht="12.6" customHeight="1">
      <c r="C371" s="3610"/>
      <c r="D371" s="3334"/>
    </row>
    <row r="372" spans="3:4" ht="12.6" customHeight="1">
      <c r="C372" s="3610"/>
      <c r="D372" s="3334"/>
    </row>
    <row r="373" spans="3:4" ht="12.6" customHeight="1">
      <c r="C373" s="3610"/>
      <c r="D373" s="3334"/>
    </row>
    <row r="374" spans="3:4" ht="12.6" customHeight="1">
      <c r="C374" s="3610"/>
      <c r="D374" s="3334"/>
    </row>
    <row r="375" spans="3:4" ht="12.6" customHeight="1">
      <c r="C375" s="3610"/>
      <c r="D375" s="3334"/>
    </row>
    <row r="376" spans="3:4" ht="12.6" customHeight="1">
      <c r="C376" s="3610"/>
      <c r="D376" s="3334"/>
    </row>
    <row r="377" spans="3:4" ht="12.6" customHeight="1">
      <c r="C377" s="3610"/>
      <c r="D377" s="3334"/>
    </row>
    <row r="378" spans="3:4" ht="12.6" customHeight="1">
      <c r="C378" s="3610"/>
      <c r="D378" s="3334"/>
    </row>
    <row r="379" spans="3:4" ht="12.6" customHeight="1">
      <c r="C379" s="3610"/>
      <c r="D379" s="3334"/>
    </row>
    <row r="380" spans="3:4" ht="12.6" customHeight="1">
      <c r="C380" s="3610"/>
      <c r="D380" s="3334"/>
    </row>
    <row r="381" spans="3:4" ht="12.6" customHeight="1">
      <c r="C381" s="3610"/>
      <c r="D381" s="3334"/>
    </row>
    <row r="382" spans="3:4" ht="12.6" customHeight="1">
      <c r="C382" s="3610"/>
      <c r="D382" s="3334"/>
    </row>
    <row r="383" spans="3:4" ht="12.6" customHeight="1">
      <c r="C383" s="3610"/>
      <c r="D383" s="3334"/>
    </row>
    <row r="384" spans="3:4" ht="12.6" customHeight="1">
      <c r="C384" s="3610"/>
      <c r="D384" s="3334"/>
    </row>
    <row r="385" spans="3:4" ht="12.6" customHeight="1">
      <c r="C385" s="3610"/>
      <c r="D385" s="3334"/>
    </row>
    <row r="386" spans="3:4" ht="12.6" customHeight="1">
      <c r="C386" s="3610"/>
      <c r="D386" s="3334"/>
    </row>
    <row r="387" spans="3:4" ht="12.6" customHeight="1">
      <c r="C387" s="3610"/>
      <c r="D387" s="3334"/>
    </row>
    <row r="388" spans="3:4" ht="12.6" customHeight="1">
      <c r="C388" s="3610"/>
      <c r="D388" s="3334"/>
    </row>
    <row r="389" spans="3:4" ht="12.6" customHeight="1">
      <c r="C389" s="3610"/>
      <c r="D389" s="3334"/>
    </row>
    <row r="390" spans="3:4" ht="12.6" customHeight="1">
      <c r="C390" s="3610"/>
      <c r="D390" s="3334"/>
    </row>
    <row r="391" spans="3:4" ht="12.6" customHeight="1">
      <c r="C391" s="3610"/>
      <c r="D391" s="3334"/>
    </row>
    <row r="392" spans="3:4" ht="12.6" customHeight="1">
      <c r="C392" s="3610"/>
      <c r="D392" s="3334"/>
    </row>
    <row r="393" spans="3:4" ht="12.6" customHeight="1">
      <c r="C393" s="3610"/>
      <c r="D393" s="3334"/>
    </row>
    <row r="394" spans="3:4" ht="12.6" customHeight="1">
      <c r="C394" s="3610"/>
      <c r="D394" s="3334"/>
    </row>
    <row r="395" spans="3:4" ht="12.6" customHeight="1">
      <c r="C395" s="3610"/>
      <c r="D395" s="3334"/>
    </row>
    <row r="396" spans="3:4" ht="12.6" customHeight="1">
      <c r="C396" s="3610"/>
      <c r="D396" s="3334"/>
    </row>
    <row r="397" spans="3:4" ht="12.6" customHeight="1">
      <c r="C397" s="3610"/>
      <c r="D397" s="3334"/>
    </row>
    <row r="398" spans="3:4" ht="12.6" customHeight="1">
      <c r="C398" s="3610"/>
      <c r="D398" s="3334"/>
    </row>
    <row r="399" spans="3:4" ht="12.6" customHeight="1">
      <c r="C399" s="3610"/>
      <c r="D399" s="3334"/>
    </row>
    <row r="400" spans="3:4" ht="12.6" customHeight="1">
      <c r="C400" s="3610"/>
      <c r="D400" s="3334"/>
    </row>
    <row r="401" spans="3:4" ht="12.6" customHeight="1">
      <c r="C401" s="3610"/>
      <c r="D401" s="3334"/>
    </row>
    <row r="402" spans="3:4" ht="12.6" customHeight="1">
      <c r="C402" s="3610"/>
      <c r="D402" s="3334"/>
    </row>
    <row r="403" spans="3:4" ht="12.6" customHeight="1">
      <c r="C403" s="3610"/>
      <c r="D403" s="3334"/>
    </row>
    <row r="404" spans="3:4" ht="12.6" customHeight="1">
      <c r="C404" s="3610"/>
      <c r="D404" s="3334"/>
    </row>
    <row r="405" spans="3:4" ht="12.6" customHeight="1">
      <c r="C405" s="3610"/>
      <c r="D405" s="3334"/>
    </row>
    <row r="406" spans="3:4" ht="12.6" customHeight="1">
      <c r="C406" s="3610"/>
      <c r="D406" s="3334"/>
    </row>
    <row r="407" spans="3:4" ht="12.6" customHeight="1">
      <c r="C407" s="3610"/>
      <c r="D407" s="3334"/>
    </row>
    <row r="408" spans="3:4" ht="12.6" customHeight="1">
      <c r="C408" s="3610"/>
      <c r="D408" s="3334"/>
    </row>
    <row r="409" spans="3:4" ht="12.6" customHeight="1">
      <c r="C409" s="3610"/>
      <c r="D409" s="3334"/>
    </row>
    <row r="410" spans="3:4" ht="12.6" customHeight="1">
      <c r="C410" s="3610"/>
      <c r="D410" s="3334"/>
    </row>
    <row r="411" spans="3:4" ht="12.6" customHeight="1">
      <c r="C411" s="3610"/>
      <c r="D411" s="3334"/>
    </row>
    <row r="412" spans="3:4" ht="12.6" customHeight="1">
      <c r="C412" s="3610"/>
      <c r="D412" s="3334"/>
    </row>
    <row r="413" spans="3:4" ht="12.6" customHeight="1">
      <c r="C413" s="3610"/>
      <c r="D413" s="3334"/>
    </row>
    <row r="414" spans="3:4" ht="12.6" customHeight="1">
      <c r="C414" s="3610"/>
      <c r="D414" s="3334"/>
    </row>
    <row r="415" spans="3:4" ht="12.6" customHeight="1">
      <c r="C415" s="3610"/>
      <c r="D415" s="3334"/>
    </row>
    <row r="416" spans="3:4" ht="12.6" customHeight="1">
      <c r="C416" s="3610"/>
      <c r="D416" s="3334"/>
    </row>
    <row r="417" spans="3:4" ht="12.6" customHeight="1">
      <c r="C417" s="3610"/>
      <c r="D417" s="3334"/>
    </row>
    <row r="418" spans="3:4" ht="12.6" customHeight="1">
      <c r="C418" s="3610"/>
      <c r="D418" s="3334"/>
    </row>
    <row r="419" spans="3:4" ht="12.6" customHeight="1">
      <c r="C419" s="3610"/>
      <c r="D419" s="3334"/>
    </row>
    <row r="420" spans="3:4" ht="12.6" customHeight="1">
      <c r="C420" s="3610"/>
      <c r="D420" s="3334"/>
    </row>
    <row r="421" spans="3:4" ht="12.6" customHeight="1">
      <c r="C421" s="3610"/>
      <c r="D421" s="3334"/>
    </row>
    <row r="422" spans="3:4" ht="12.6" customHeight="1">
      <c r="C422" s="3610"/>
      <c r="D422" s="3334"/>
    </row>
    <row r="423" spans="3:4" ht="12.6" customHeight="1">
      <c r="C423" s="3610"/>
      <c r="D423" s="3334"/>
    </row>
    <row r="424" spans="3:4" ht="12.6" customHeight="1">
      <c r="C424" s="3610"/>
      <c r="D424" s="3334"/>
    </row>
    <row r="425" spans="3:4" ht="12.6" customHeight="1">
      <c r="C425" s="3610"/>
      <c r="D425" s="3334"/>
    </row>
    <row r="426" spans="3:4" ht="12.6" customHeight="1">
      <c r="C426" s="3610"/>
      <c r="D426" s="3334"/>
    </row>
    <row r="427" spans="3:4" ht="12.6" customHeight="1">
      <c r="C427" s="3610"/>
      <c r="D427" s="3334"/>
    </row>
    <row r="428" spans="3:4" ht="12.6" customHeight="1">
      <c r="C428" s="3610"/>
      <c r="D428" s="3334"/>
    </row>
    <row r="429" spans="3:4" ht="12.6" customHeight="1">
      <c r="C429" s="3610"/>
      <c r="D429" s="3334"/>
    </row>
    <row r="430" spans="3:4" ht="12.6" customHeight="1">
      <c r="C430" s="3610"/>
      <c r="D430" s="3334"/>
    </row>
    <row r="431" spans="3:4" ht="12.6" customHeight="1">
      <c r="C431" s="3610"/>
      <c r="D431" s="3334"/>
    </row>
    <row r="432" spans="3:4" ht="12.6" customHeight="1">
      <c r="C432" s="3610"/>
      <c r="D432" s="3334"/>
    </row>
    <row r="433" spans="3:4" ht="12.6" customHeight="1">
      <c r="C433" s="3610"/>
      <c r="D433" s="3334"/>
    </row>
    <row r="434" spans="3:4" ht="12.6" customHeight="1">
      <c r="C434" s="3610"/>
      <c r="D434" s="3334"/>
    </row>
    <row r="435" spans="3:4" ht="12.6" customHeight="1">
      <c r="C435" s="3610"/>
      <c r="D435" s="3334"/>
    </row>
    <row r="436" spans="3:4" ht="12.6" customHeight="1">
      <c r="C436" s="3610"/>
      <c r="D436" s="3334"/>
    </row>
    <row r="437" spans="3:4" ht="12.6" customHeight="1">
      <c r="C437" s="3610"/>
      <c r="D437" s="3334"/>
    </row>
    <row r="438" spans="3:4" ht="12.6" customHeight="1">
      <c r="C438" s="3610"/>
      <c r="D438" s="3334"/>
    </row>
    <row r="439" spans="3:4" ht="12.6" customHeight="1">
      <c r="C439" s="3610"/>
      <c r="D439" s="3334"/>
    </row>
    <row r="440" spans="3:4" ht="12.6" customHeight="1">
      <c r="C440" s="3610"/>
      <c r="D440" s="3334"/>
    </row>
    <row r="441" spans="3:4" ht="12.6" customHeight="1">
      <c r="C441" s="3610"/>
      <c r="D441" s="3334"/>
    </row>
    <row r="442" spans="3:4" ht="12.6" customHeight="1">
      <c r="C442" s="3610"/>
      <c r="D442" s="3334"/>
    </row>
    <row r="443" spans="3:4" ht="12.6" customHeight="1">
      <c r="C443" s="3610"/>
      <c r="D443" s="3334"/>
    </row>
    <row r="444" spans="3:4" ht="12.6" customHeight="1">
      <c r="C444" s="3610"/>
      <c r="D444" s="3334"/>
    </row>
    <row r="445" spans="3:4" ht="12.6" customHeight="1">
      <c r="C445" s="3610"/>
      <c r="D445" s="3334"/>
    </row>
    <row r="446" spans="3:4" ht="12.6" customHeight="1">
      <c r="C446" s="3610"/>
      <c r="D446" s="3334"/>
    </row>
    <row r="447" spans="3:4" ht="12.6" customHeight="1">
      <c r="C447" s="3610"/>
      <c r="D447" s="3334"/>
    </row>
    <row r="448" spans="3:4" ht="12.6" customHeight="1">
      <c r="C448" s="3610"/>
      <c r="D448" s="3334"/>
    </row>
    <row r="449" spans="3:4" ht="12.6" customHeight="1">
      <c r="C449" s="3610"/>
      <c r="D449" s="3334"/>
    </row>
    <row r="450" spans="3:4" ht="12.6" customHeight="1">
      <c r="C450" s="3610"/>
      <c r="D450" s="3334"/>
    </row>
    <row r="451" spans="3:4" ht="12.6" customHeight="1">
      <c r="C451" s="3610"/>
      <c r="D451" s="3334"/>
    </row>
    <row r="452" spans="3:4" ht="12.6" customHeight="1">
      <c r="C452" s="3610"/>
      <c r="D452" s="3334"/>
    </row>
    <row r="453" spans="3:4" ht="12.6" customHeight="1">
      <c r="C453" s="3610"/>
      <c r="D453" s="3334"/>
    </row>
    <row r="454" spans="3:4" ht="12.6" customHeight="1">
      <c r="C454" s="3610"/>
      <c r="D454" s="3334"/>
    </row>
    <row r="455" spans="3:4" ht="12.6" customHeight="1">
      <c r="C455" s="3610"/>
      <c r="D455" s="3334"/>
    </row>
    <row r="456" spans="3:4" ht="12.6" customHeight="1">
      <c r="C456" s="3610"/>
      <c r="D456" s="3334"/>
    </row>
    <row r="457" spans="3:4" ht="12.6" customHeight="1">
      <c r="C457" s="3610"/>
      <c r="D457" s="3334"/>
    </row>
    <row r="458" spans="3:4" ht="12.6" customHeight="1">
      <c r="C458" s="3610"/>
      <c r="D458" s="3334"/>
    </row>
    <row r="459" spans="3:4" ht="12.6" customHeight="1">
      <c r="C459" s="3610"/>
      <c r="D459" s="3334"/>
    </row>
    <row r="460" spans="3:4" ht="12.6" customHeight="1">
      <c r="C460" s="3610"/>
      <c r="D460" s="3334"/>
    </row>
    <row r="461" spans="3:4" ht="12.6" customHeight="1">
      <c r="C461" s="3610"/>
      <c r="D461" s="3334"/>
    </row>
    <row r="462" spans="3:4" ht="12.6" customHeight="1">
      <c r="C462" s="3610"/>
      <c r="D462" s="3334"/>
    </row>
    <row r="463" spans="3:4" ht="12.6" customHeight="1">
      <c r="C463" s="3610"/>
      <c r="D463" s="3334"/>
    </row>
    <row r="464" spans="3:4" ht="12.6" customHeight="1">
      <c r="C464" s="3610"/>
      <c r="D464" s="3334"/>
    </row>
    <row r="465" spans="3:4" ht="12.6" customHeight="1">
      <c r="C465" s="3610"/>
      <c r="D465" s="3334"/>
    </row>
    <row r="466" spans="3:4" ht="12.6" customHeight="1">
      <c r="C466" s="3610"/>
      <c r="D466" s="3334"/>
    </row>
    <row r="467" spans="3:4" ht="12.6" customHeight="1">
      <c r="C467" s="3610"/>
      <c r="D467" s="3334"/>
    </row>
    <row r="468" spans="3:4" ht="12.6" customHeight="1">
      <c r="C468" s="3610"/>
      <c r="D468" s="3334"/>
    </row>
    <row r="469" spans="3:4" ht="12.6" customHeight="1">
      <c r="C469" s="3610"/>
      <c r="D469" s="3334"/>
    </row>
    <row r="470" spans="3:4" ht="12.6" customHeight="1">
      <c r="C470" s="3610"/>
      <c r="D470" s="3334"/>
    </row>
    <row r="471" spans="3:4" ht="12.6" customHeight="1">
      <c r="C471" s="3610"/>
      <c r="D471" s="3334"/>
    </row>
    <row r="472" spans="3:4" ht="12.6" customHeight="1">
      <c r="C472" s="3610"/>
      <c r="D472" s="3334"/>
    </row>
    <row r="473" spans="3:4" ht="12.6" customHeight="1">
      <c r="C473" s="3610"/>
      <c r="D473" s="3334"/>
    </row>
    <row r="474" spans="3:4" ht="12.6" customHeight="1">
      <c r="C474" s="3610"/>
      <c r="D474" s="3334"/>
    </row>
    <row r="475" spans="3:4" ht="12.6" customHeight="1">
      <c r="C475" s="3610"/>
      <c r="D475" s="3334"/>
    </row>
    <row r="476" spans="3:4" ht="12.6" customHeight="1">
      <c r="C476" s="3610"/>
      <c r="D476" s="3334"/>
    </row>
    <row r="477" spans="3:4" ht="12.6" customHeight="1">
      <c r="C477" s="3610"/>
      <c r="D477" s="3334"/>
    </row>
    <row r="478" spans="3:4" ht="12.6" customHeight="1">
      <c r="C478" s="3610"/>
      <c r="D478" s="3334"/>
    </row>
    <row r="479" spans="3:4" ht="12.6" customHeight="1">
      <c r="C479" s="3610"/>
      <c r="D479" s="3334"/>
    </row>
    <row r="480" spans="3:4" ht="12.6" customHeight="1">
      <c r="C480" s="3610"/>
      <c r="D480" s="3334"/>
    </row>
    <row r="481" spans="3:4" ht="12.6" customHeight="1">
      <c r="C481" s="3610"/>
      <c r="D481" s="3334"/>
    </row>
    <row r="482" spans="3:4" ht="12.6" customHeight="1">
      <c r="C482" s="3610"/>
      <c r="D482" s="3334"/>
    </row>
    <row r="483" spans="3:4" ht="12.6" customHeight="1">
      <c r="C483" s="3610"/>
      <c r="D483" s="3334"/>
    </row>
    <row r="484" spans="3:4" ht="12.6" customHeight="1">
      <c r="C484" s="3610"/>
      <c r="D484" s="3334"/>
    </row>
    <row r="485" spans="3:4" ht="12.6" customHeight="1">
      <c r="C485" s="3610"/>
      <c r="D485" s="3334"/>
    </row>
    <row r="486" spans="3:4" ht="12.6" customHeight="1">
      <c r="C486" s="3610"/>
      <c r="D486" s="3334"/>
    </row>
    <row r="487" spans="3:4" ht="12.6" customHeight="1">
      <c r="C487" s="3610"/>
      <c r="D487" s="3334"/>
    </row>
    <row r="488" spans="3:4" ht="12.6" customHeight="1">
      <c r="C488" s="3610"/>
      <c r="D488" s="3334"/>
    </row>
    <row r="489" spans="3:4" ht="12.6" customHeight="1">
      <c r="C489" s="3610"/>
      <c r="D489" s="3334"/>
    </row>
    <row r="490" spans="3:4" ht="12.6" customHeight="1">
      <c r="C490" s="3610"/>
      <c r="D490" s="3334"/>
    </row>
    <row r="491" spans="3:4" ht="12.6" customHeight="1">
      <c r="C491" s="3610"/>
      <c r="D491" s="3334"/>
    </row>
    <row r="492" spans="3:4" ht="12.6" customHeight="1">
      <c r="C492" s="3610"/>
      <c r="D492" s="3334"/>
    </row>
    <row r="493" spans="3:4" ht="12.6" customHeight="1">
      <c r="C493" s="3610"/>
      <c r="D493" s="3334"/>
    </row>
    <row r="494" spans="3:4" ht="12.6" customHeight="1">
      <c r="C494" s="3610"/>
      <c r="D494" s="3334"/>
    </row>
    <row r="495" spans="3:4" ht="12.6" customHeight="1">
      <c r="C495" s="3610"/>
      <c r="D495" s="3334"/>
    </row>
    <row r="496" spans="3:4" ht="12.6" customHeight="1">
      <c r="C496" s="3610"/>
      <c r="D496" s="3334"/>
    </row>
    <row r="497" spans="3:4" ht="12.6" customHeight="1">
      <c r="C497" s="3610"/>
      <c r="D497" s="3334"/>
    </row>
    <row r="498" spans="3:4" ht="12.6" customHeight="1">
      <c r="C498" s="3610"/>
      <c r="D498" s="3334"/>
    </row>
    <row r="499" spans="3:4" ht="12.6" customHeight="1">
      <c r="C499" s="3610"/>
      <c r="D499" s="3334"/>
    </row>
    <row r="500" spans="3:4" ht="12.6" customHeight="1">
      <c r="C500" s="3610"/>
      <c r="D500" s="3334"/>
    </row>
    <row r="501" spans="3:4" ht="12.6" customHeight="1">
      <c r="C501" s="3610"/>
      <c r="D501" s="3334"/>
    </row>
    <row r="502" spans="3:4" ht="12.6" customHeight="1">
      <c r="C502" s="3610"/>
      <c r="D502" s="3334"/>
    </row>
    <row r="503" spans="3:4" ht="12.6" customHeight="1">
      <c r="C503" s="3610"/>
      <c r="D503" s="3334"/>
    </row>
    <row r="504" spans="3:4" ht="12.6" customHeight="1">
      <c r="C504" s="3610"/>
      <c r="D504" s="3334"/>
    </row>
    <row r="505" spans="3:4" ht="12.6" customHeight="1">
      <c r="C505" s="3610"/>
      <c r="D505" s="3334"/>
    </row>
    <row r="506" spans="3:4" ht="12.6" customHeight="1">
      <c r="C506" s="3610"/>
      <c r="D506" s="3334"/>
    </row>
    <row r="507" spans="3:4" ht="12.6" customHeight="1">
      <c r="C507" s="3610"/>
      <c r="D507" s="3334"/>
    </row>
    <row r="508" spans="3:4" ht="12.6" customHeight="1">
      <c r="C508" s="3610"/>
      <c r="D508" s="3334"/>
    </row>
    <row r="509" spans="3:4" ht="12.6" customHeight="1">
      <c r="C509" s="3610"/>
      <c r="D509" s="3334"/>
    </row>
    <row r="510" spans="3:4" ht="12.6" customHeight="1">
      <c r="C510" s="3610"/>
      <c r="D510" s="3334"/>
    </row>
    <row r="511" spans="3:4" ht="12.6" customHeight="1">
      <c r="C511" s="3610"/>
      <c r="D511" s="3334"/>
    </row>
    <row r="512" spans="3:4" ht="12.6" customHeight="1">
      <c r="C512" s="3610"/>
      <c r="D512" s="3334"/>
    </row>
    <row r="513" spans="3:4" ht="12.6" customHeight="1">
      <c r="C513" s="3610"/>
      <c r="D513" s="3334"/>
    </row>
    <row r="514" spans="3:4" ht="12.6" customHeight="1">
      <c r="C514" s="3610"/>
      <c r="D514" s="3334"/>
    </row>
    <row r="515" spans="3:4" ht="12.6" customHeight="1">
      <c r="C515" s="3610"/>
      <c r="D515" s="3334"/>
    </row>
    <row r="516" spans="3:4" ht="12.6" customHeight="1">
      <c r="C516" s="3610"/>
      <c r="D516" s="3334"/>
    </row>
    <row r="517" spans="3:4" ht="12.6" customHeight="1">
      <c r="C517" s="3610"/>
      <c r="D517" s="3334"/>
    </row>
    <row r="518" spans="3:4" ht="12.6" customHeight="1">
      <c r="C518" s="3610"/>
      <c r="D518" s="3334"/>
    </row>
    <row r="519" spans="3:4" ht="12.6" customHeight="1">
      <c r="C519" s="3610"/>
      <c r="D519" s="3334"/>
    </row>
    <row r="520" spans="3:4" ht="12.6" customHeight="1">
      <c r="C520" s="3610"/>
      <c r="D520" s="3334"/>
    </row>
    <row r="521" spans="3:4" ht="12.6" customHeight="1">
      <c r="C521" s="3610"/>
      <c r="D521" s="3334"/>
    </row>
    <row r="522" spans="3:4" ht="12.6" customHeight="1">
      <c r="C522" s="3610"/>
      <c r="D522" s="3334"/>
    </row>
    <row r="523" spans="3:4" ht="12.6" customHeight="1">
      <c r="C523" s="3610"/>
      <c r="D523" s="3334"/>
    </row>
    <row r="524" spans="3:4" ht="12.6" customHeight="1">
      <c r="C524" s="3610"/>
      <c r="D524" s="3334"/>
    </row>
    <row r="525" spans="3:4" ht="12.6" customHeight="1">
      <c r="C525" s="3610"/>
      <c r="D525" s="3334"/>
    </row>
    <row r="526" spans="3:4" ht="12.6" customHeight="1">
      <c r="C526" s="3610"/>
      <c r="D526" s="3334"/>
    </row>
    <row r="527" spans="3:4" ht="12.6" customHeight="1">
      <c r="C527" s="3610"/>
      <c r="D527" s="3334"/>
    </row>
    <row r="528" spans="3:4" ht="12.6" customHeight="1">
      <c r="C528" s="3610"/>
      <c r="D528" s="3334"/>
    </row>
    <row r="529" spans="3:4" ht="12.6" customHeight="1">
      <c r="C529" s="3610"/>
      <c r="D529" s="3334"/>
    </row>
    <row r="530" spans="3:4" ht="12.6" customHeight="1">
      <c r="C530" s="3610"/>
      <c r="D530" s="3334"/>
    </row>
    <row r="531" spans="3:4" ht="12.6" customHeight="1">
      <c r="C531" s="3610"/>
      <c r="D531" s="3334"/>
    </row>
    <row r="532" spans="3:4" ht="12.6" customHeight="1">
      <c r="C532" s="3610"/>
      <c r="D532" s="3334"/>
    </row>
    <row r="533" spans="3:4" ht="12.6" customHeight="1">
      <c r="C533" s="3610"/>
      <c r="D533" s="3334"/>
    </row>
    <row r="534" spans="3:4" ht="12.6" customHeight="1">
      <c r="C534" s="3610"/>
      <c r="D534" s="3334"/>
    </row>
    <row r="535" spans="3:4" ht="12.6" customHeight="1">
      <c r="C535" s="3610"/>
      <c r="D535" s="3334"/>
    </row>
    <row r="536" spans="3:4" ht="12.6" customHeight="1">
      <c r="C536" s="3610"/>
      <c r="D536" s="3334"/>
    </row>
    <row r="537" spans="3:4" ht="12.6" customHeight="1">
      <c r="C537" s="3610"/>
      <c r="D537" s="3334"/>
    </row>
    <row r="538" spans="3:4" ht="12.6" customHeight="1">
      <c r="C538" s="3610"/>
      <c r="D538" s="3334"/>
    </row>
    <row r="539" spans="3:4" ht="12.6" customHeight="1">
      <c r="C539" s="3610"/>
      <c r="D539" s="3334"/>
    </row>
    <row r="540" spans="3:4" ht="12.6" customHeight="1">
      <c r="C540" s="3610"/>
      <c r="D540" s="3334"/>
    </row>
    <row r="541" spans="3:4" ht="12.6" customHeight="1">
      <c r="C541" s="3610"/>
      <c r="D541" s="3334"/>
    </row>
    <row r="542" spans="3:4" ht="12.6" customHeight="1">
      <c r="C542" s="3610"/>
      <c r="D542" s="3334"/>
    </row>
    <row r="543" spans="3:4" ht="12.6" customHeight="1">
      <c r="C543" s="3610"/>
      <c r="D543" s="3334"/>
    </row>
    <row r="544" spans="3:4" ht="12.6" customHeight="1">
      <c r="C544" s="3610"/>
      <c r="D544" s="3334"/>
    </row>
    <row r="545" spans="3:4" ht="12.6" customHeight="1">
      <c r="C545" s="3610"/>
      <c r="D545" s="3334"/>
    </row>
    <row r="546" spans="3:4" ht="12.6" customHeight="1">
      <c r="C546" s="3610"/>
      <c r="D546" s="3334"/>
    </row>
    <row r="547" spans="3:4" ht="12.6" customHeight="1">
      <c r="C547" s="3610"/>
      <c r="D547" s="3334"/>
    </row>
    <row r="548" spans="3:4" ht="12.6" customHeight="1">
      <c r="C548" s="3610"/>
      <c r="D548" s="3334"/>
    </row>
    <row r="549" spans="3:4" ht="12.6" customHeight="1">
      <c r="C549" s="3610"/>
      <c r="D549" s="3334"/>
    </row>
    <row r="550" spans="3:4" ht="12.6" customHeight="1">
      <c r="C550" s="3610"/>
      <c r="D550" s="3334"/>
    </row>
    <row r="551" spans="3:4" ht="12.6" customHeight="1">
      <c r="C551" s="3610"/>
      <c r="D551" s="3334"/>
    </row>
    <row r="552" spans="3:4" ht="12.6" customHeight="1">
      <c r="C552" s="3610"/>
      <c r="D552" s="3334"/>
    </row>
    <row r="553" spans="3:4" ht="12.6" customHeight="1">
      <c r="C553" s="3610"/>
      <c r="D553" s="3334"/>
    </row>
    <row r="554" spans="3:4" ht="12.6" customHeight="1">
      <c r="C554" s="3610"/>
      <c r="D554" s="3334"/>
    </row>
    <row r="555" spans="3:4" ht="12.6" customHeight="1">
      <c r="C555" s="3610"/>
      <c r="D555" s="3334"/>
    </row>
    <row r="556" spans="3:4" ht="12.6" customHeight="1">
      <c r="C556" s="3610"/>
      <c r="D556" s="3334"/>
    </row>
    <row r="557" spans="3:4" ht="12.6" customHeight="1">
      <c r="C557" s="3610"/>
      <c r="D557" s="3334"/>
    </row>
    <row r="558" spans="3:4" ht="12.6" customHeight="1">
      <c r="C558" s="3610"/>
      <c r="D558" s="3334"/>
    </row>
    <row r="559" spans="3:4" ht="12.6" customHeight="1">
      <c r="C559" s="3610"/>
      <c r="D559" s="3334"/>
    </row>
    <row r="560" spans="3:4" ht="12.6" customHeight="1">
      <c r="C560" s="3610"/>
      <c r="D560" s="3334"/>
    </row>
    <row r="561" spans="3:4" ht="12.6" customHeight="1">
      <c r="C561" s="3610"/>
      <c r="D561" s="3334"/>
    </row>
    <row r="562" spans="3:4" ht="12.6" customHeight="1">
      <c r="C562" s="3610"/>
      <c r="D562" s="3334"/>
    </row>
    <row r="563" spans="3:4" ht="12.6" customHeight="1">
      <c r="C563" s="3610"/>
      <c r="D563" s="3334"/>
    </row>
    <row r="564" spans="3:4" ht="12.6" customHeight="1">
      <c r="C564" s="3610"/>
      <c r="D564" s="3334"/>
    </row>
    <row r="565" spans="3:4" ht="12.6" customHeight="1">
      <c r="C565" s="3610"/>
      <c r="D565" s="3334"/>
    </row>
    <row r="566" spans="3:4" ht="12.6" customHeight="1">
      <c r="C566" s="3610"/>
      <c r="D566" s="3334"/>
    </row>
    <row r="567" spans="3:4" ht="12.6" customHeight="1">
      <c r="C567" s="3610"/>
      <c r="D567" s="3334"/>
    </row>
    <row r="568" spans="3:4" ht="12.6" customHeight="1">
      <c r="C568" s="3610"/>
      <c r="D568" s="3334"/>
    </row>
    <row r="569" spans="3:4" ht="12.6" customHeight="1">
      <c r="C569" s="3610"/>
      <c r="D569" s="3334"/>
    </row>
    <row r="570" spans="3:4" ht="12.6" customHeight="1">
      <c r="C570" s="3610"/>
      <c r="D570" s="3334"/>
    </row>
    <row r="571" spans="3:4" ht="12.6" customHeight="1">
      <c r="C571" s="3610"/>
      <c r="D571" s="3334"/>
    </row>
    <row r="572" spans="3:4" ht="12.6" customHeight="1">
      <c r="C572" s="3610"/>
      <c r="D572" s="3334"/>
    </row>
    <row r="573" spans="3:4" ht="12.6" customHeight="1">
      <c r="C573" s="3610"/>
      <c r="D573" s="3334"/>
    </row>
    <row r="574" spans="3:4" ht="12.6" customHeight="1">
      <c r="C574" s="3610"/>
      <c r="D574" s="3334"/>
    </row>
    <row r="575" spans="3:4" ht="12.6" customHeight="1">
      <c r="C575" s="3610"/>
      <c r="D575" s="3334"/>
    </row>
    <row r="576" spans="3:4" ht="12.6" customHeight="1">
      <c r="C576" s="3610"/>
      <c r="D576" s="3334"/>
    </row>
    <row r="577" spans="3:4" ht="12.6" customHeight="1">
      <c r="C577" s="3610"/>
      <c r="D577" s="3334"/>
    </row>
    <row r="578" spans="3:4" ht="12.6" customHeight="1">
      <c r="C578" s="3610"/>
      <c r="D578" s="3334"/>
    </row>
    <row r="579" spans="3:4" ht="12.6" customHeight="1">
      <c r="C579" s="3610"/>
      <c r="D579" s="3334"/>
    </row>
    <row r="580" spans="3:4" ht="12.6" customHeight="1">
      <c r="C580" s="3610"/>
      <c r="D580" s="3334"/>
    </row>
    <row r="581" spans="3:4" ht="12.6" customHeight="1">
      <c r="C581" s="3610"/>
      <c r="D581" s="3334"/>
    </row>
    <row r="582" spans="3:4" ht="12.6" customHeight="1">
      <c r="C582" s="3610"/>
      <c r="D582" s="3334"/>
    </row>
    <row r="583" spans="3:4" ht="12.6" customHeight="1">
      <c r="C583" s="3610"/>
      <c r="D583" s="3334"/>
    </row>
    <row r="584" spans="3:4" ht="12.6" customHeight="1">
      <c r="C584" s="3610"/>
      <c r="D584" s="3334"/>
    </row>
    <row r="585" spans="3:4" ht="12.6" customHeight="1">
      <c r="C585" s="3610"/>
      <c r="D585" s="3334"/>
    </row>
    <row r="586" spans="3:4" ht="12.6" customHeight="1">
      <c r="C586" s="3610"/>
      <c r="D586" s="3334"/>
    </row>
    <row r="587" spans="3:4" ht="12.6" customHeight="1">
      <c r="C587" s="3610"/>
      <c r="D587" s="3334"/>
    </row>
    <row r="588" spans="3:4" ht="12.6" customHeight="1">
      <c r="C588" s="3610"/>
      <c r="D588" s="3334"/>
    </row>
    <row r="589" spans="3:4" ht="12.6" customHeight="1">
      <c r="C589" s="3610"/>
      <c r="D589" s="3334"/>
    </row>
    <row r="590" spans="3:4" ht="12.6" customHeight="1">
      <c r="C590" s="3610"/>
      <c r="D590" s="3334"/>
    </row>
    <row r="591" spans="3:4" ht="12.6" customHeight="1">
      <c r="C591" s="3610"/>
      <c r="D591" s="3334"/>
    </row>
    <row r="592" spans="3:4" ht="12.6" customHeight="1">
      <c r="C592" s="3610"/>
      <c r="D592" s="3334"/>
    </row>
    <row r="593" spans="3:4" ht="12.6" customHeight="1">
      <c r="C593" s="3610"/>
      <c r="D593" s="3334"/>
    </row>
    <row r="594" spans="3:4" ht="12.6" customHeight="1">
      <c r="C594" s="3610"/>
      <c r="D594" s="3334"/>
    </row>
    <row r="595" spans="3:4" ht="12.6" customHeight="1">
      <c r="C595" s="3610"/>
      <c r="D595" s="3334"/>
    </row>
    <row r="596" spans="3:4" ht="12.6" customHeight="1">
      <c r="C596" s="3610"/>
      <c r="D596" s="3334"/>
    </row>
    <row r="597" spans="3:4" ht="12.6" customHeight="1">
      <c r="C597" s="3610"/>
      <c r="D597" s="3334"/>
    </row>
    <row r="598" spans="3:4" ht="12.6" customHeight="1">
      <c r="C598" s="3610"/>
      <c r="D598" s="3334"/>
    </row>
    <row r="599" spans="3:4" ht="12.6" customHeight="1">
      <c r="C599" s="3610"/>
      <c r="D599" s="3334"/>
    </row>
    <row r="600" spans="3:4" ht="12.6" customHeight="1">
      <c r="C600" s="3610"/>
      <c r="D600" s="3334"/>
    </row>
    <row r="601" spans="3:4" ht="12.6" customHeight="1">
      <c r="C601" s="3610"/>
      <c r="D601" s="3334"/>
    </row>
    <row r="602" spans="3:4" ht="12.6" customHeight="1">
      <c r="C602" s="3610"/>
      <c r="D602" s="3334"/>
    </row>
    <row r="603" spans="3:4" ht="12.6" customHeight="1">
      <c r="C603" s="3610"/>
      <c r="D603" s="3334"/>
    </row>
    <row r="604" spans="3:4" ht="12.6" customHeight="1">
      <c r="C604" s="3610"/>
      <c r="D604" s="3334"/>
    </row>
    <row r="605" spans="3:4" ht="12.6" customHeight="1">
      <c r="C605" s="3610"/>
      <c r="D605" s="3334"/>
    </row>
    <row r="606" spans="3:4" ht="12.6" customHeight="1">
      <c r="C606" s="3610"/>
      <c r="D606" s="3334"/>
    </row>
    <row r="607" spans="3:4" ht="12.6" customHeight="1">
      <c r="C607" s="3610"/>
      <c r="D607" s="3334"/>
    </row>
    <row r="608" spans="3:4" ht="12.6" customHeight="1">
      <c r="C608" s="3610"/>
      <c r="D608" s="3334"/>
    </row>
    <row r="609" spans="3:4" ht="12.6" customHeight="1">
      <c r="C609" s="3610"/>
      <c r="D609" s="3334"/>
    </row>
    <row r="610" spans="3:4" ht="12.6" customHeight="1">
      <c r="C610" s="3610"/>
      <c r="D610" s="3334"/>
    </row>
    <row r="611" spans="3:4" ht="12.6" customHeight="1">
      <c r="C611" s="3610"/>
      <c r="D611" s="3334"/>
    </row>
    <row r="612" spans="3:4" ht="12.6" customHeight="1">
      <c r="C612" s="3610"/>
      <c r="D612" s="3334"/>
    </row>
    <row r="613" spans="3:4" ht="12.6" customHeight="1">
      <c r="C613" s="3610"/>
      <c r="D613" s="3334"/>
    </row>
    <row r="614" spans="3:4" ht="12.6" customHeight="1">
      <c r="C614" s="3610"/>
      <c r="D614" s="3334"/>
    </row>
    <row r="615" spans="3:4" ht="12.6" customHeight="1">
      <c r="C615" s="3610"/>
      <c r="D615" s="3334"/>
    </row>
    <row r="616" spans="3:4" ht="12.6" customHeight="1">
      <c r="C616" s="3610"/>
      <c r="D616" s="3334"/>
    </row>
    <row r="617" spans="3:4" ht="12.6" customHeight="1">
      <c r="C617" s="3610"/>
      <c r="D617" s="3334"/>
    </row>
    <row r="618" spans="3:4" ht="12.6" customHeight="1">
      <c r="C618" s="3610"/>
      <c r="D618" s="3334"/>
    </row>
    <row r="619" spans="3:4" ht="12.6" customHeight="1">
      <c r="C619" s="3610"/>
      <c r="D619" s="3334"/>
    </row>
    <row r="620" spans="3:4" ht="12.6" customHeight="1">
      <c r="C620" s="3610"/>
      <c r="D620" s="3334"/>
    </row>
    <row r="621" spans="3:4" ht="12.6" customHeight="1">
      <c r="C621" s="3610"/>
      <c r="D621" s="3334"/>
    </row>
    <row r="622" spans="3:4" ht="12.6" customHeight="1">
      <c r="C622" s="3610"/>
      <c r="D622" s="3334"/>
    </row>
    <row r="623" spans="3:4" ht="12.6" customHeight="1">
      <c r="C623" s="3610"/>
      <c r="D623" s="3334"/>
    </row>
    <row r="624" spans="3:4" ht="12.6" customHeight="1">
      <c r="C624" s="3610"/>
      <c r="D624" s="3334"/>
    </row>
    <row r="625" spans="3:4" ht="12.6" customHeight="1">
      <c r="C625" s="3610"/>
      <c r="D625" s="3334"/>
    </row>
    <row r="626" spans="3:4" ht="12.6" customHeight="1">
      <c r="C626" s="3610"/>
      <c r="D626" s="3334"/>
    </row>
    <row r="627" spans="3:4" ht="12.6" customHeight="1">
      <c r="C627" s="3610"/>
      <c r="D627" s="3334"/>
    </row>
  </sheetData>
  <sheetProtection algorithmName="SHA-512" hashValue="hm1jTi+nwq9XjITQ1e8W+0YUN2frA+EvORVJqY/oLJK8rfPjXdT+vfC3v/+MOxRJ0yURtqdizAeWCe0TaXGw7w==" saltValue="LnZfsJdhBJySnj4M2lIzcQ==" spinCount="100000" sheet="1" objects="1" scenarios="1"/>
  <mergeCells count="1">
    <mergeCell ref="A71:E71"/>
  </mergeCells>
  <phoneticPr fontId="10" type="noConversion"/>
  <dataValidations count="5">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zero." sqref="G9 C10:D10 C14 C15:D15 C17:D20 C22:D25 C52:E56 C59:E62 C48:E50 C86:E94 C100:E105 C107:E111 C117:E121 C64:E69 C144:E148 C150:E154 C173:E176 C178:E183 C185:E186 C188:E188 C123:E129 C294:E304 C306:C308 C309:D310 C291:E292 C171:E171 C141:E142 C114:E115 C97:E98 C83:E84 C190:E197 C276:E288 C207:E266 C311:C320 D306:E320 D28">
      <formula1>0</formula1>
    </dataValidation>
    <dataValidation allowBlank="1" sqref="C27:C28 D29:E31 C29:C30"/>
    <dataValidation type="whole" operator="greaterThanOrEqual" showInputMessage="1" showErrorMessage="1" errorTitle="Invalid Data Entry" error="Please enter a positive number or press the delete key or enter a zero." sqref="C157:E158 C160:E168">
      <formula1>0</formula1>
    </dataValidation>
    <dataValidation type="whole" operator="greaterThanOrEqual" showErrorMessage="1" errorTitle="Invalid Data Entry" error="Please enter a positive number or press the delete key or enter a zero." sqref="C31">
      <formula1>0</formula1>
    </dataValidation>
  </dataValidations>
  <hyperlinks>
    <hyperlink ref="G1" location="Contents!F1" display="Return to Contents page"/>
  </hyperlinks>
  <printOptions horizontalCentered="1"/>
  <pageMargins left="0.25" right="0.25" top="0.25" bottom="0.25" header="0.5" footer="0.5"/>
  <pageSetup scale="85" fitToHeight="4" orientation="portrait" blackAndWhite="1" r:id="rId1"/>
  <headerFooter alignWithMargins="0">
    <oddFooter>&amp;L&amp;D     &amp;T &amp;CCode No. 08&amp;RPage &amp;P</oddFooter>
  </headerFooter>
  <rowBreaks count="4" manualBreakCount="4">
    <brk id="69" max="16383" man="1"/>
    <brk id="128" max="16383" man="1"/>
    <brk id="196" max="16383" man="1"/>
    <brk id="265" max="16383"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4" tint="0.39997558519241921"/>
  </sheetPr>
  <dimension ref="A1:S193"/>
  <sheetViews>
    <sheetView zoomScaleNormal="100" workbookViewId="0">
      <selection activeCell="C9" sqref="C9"/>
    </sheetView>
  </sheetViews>
  <sheetFormatPr defaultColWidth="10.7109375" defaultRowHeight="12" customHeight="1"/>
  <cols>
    <col min="1" max="1" width="40.7109375" style="698" customWidth="1"/>
    <col min="2" max="2" width="4.85546875" style="699" customWidth="1"/>
    <col min="3" max="4" width="14.85546875" style="600" customWidth="1"/>
    <col min="5" max="5" width="14.140625" style="600" customWidth="1"/>
    <col min="6" max="6" width="14.42578125" style="600" customWidth="1"/>
    <col min="7" max="7" width="2.7109375" style="600" customWidth="1"/>
    <col min="8" max="8" width="21.42578125" style="600" customWidth="1"/>
    <col min="9" max="16384" width="10.7109375" style="600"/>
  </cols>
  <sheetData>
    <row r="1" spans="1:19" ht="12" customHeight="1">
      <c r="A1" s="596" t="s">
        <v>1019</v>
      </c>
      <c r="B1" s="597">
        <f>OPEN!$B$4</f>
        <v>270</v>
      </c>
      <c r="C1" s="598"/>
      <c r="D1" s="598"/>
      <c r="E1" s="598"/>
      <c r="F1" s="596" t="s">
        <v>1020</v>
      </c>
      <c r="G1" s="599"/>
      <c r="H1" s="3013" t="s">
        <v>866</v>
      </c>
      <c r="I1" s="599"/>
      <c r="J1" s="599"/>
      <c r="K1" s="599"/>
      <c r="L1" s="599"/>
      <c r="M1" s="599"/>
      <c r="N1" s="599"/>
      <c r="O1" s="599"/>
      <c r="P1" s="599"/>
      <c r="Q1" s="599"/>
      <c r="R1" s="599"/>
      <c r="S1" s="599"/>
    </row>
    <row r="2" spans="1:19" ht="12" customHeight="1">
      <c r="A2" s="598"/>
      <c r="B2" s="601"/>
      <c r="C2" s="598"/>
      <c r="D2" s="598"/>
      <c r="E2" s="598"/>
      <c r="F2" s="596" t="s">
        <v>1212</v>
      </c>
      <c r="G2" s="599"/>
      <c r="H2" s="599"/>
      <c r="I2" s="599"/>
      <c r="J2" s="599"/>
      <c r="K2" s="599"/>
      <c r="L2" s="599"/>
      <c r="M2" s="599"/>
      <c r="N2" s="599"/>
      <c r="O2" s="599"/>
      <c r="P2" s="599"/>
      <c r="Q2" s="599"/>
      <c r="R2" s="599"/>
      <c r="S2" s="599"/>
    </row>
    <row r="3" spans="1:19" ht="12" customHeight="1">
      <c r="A3" s="598"/>
      <c r="B3" s="601"/>
      <c r="C3" s="598"/>
      <c r="D3" s="598"/>
      <c r="E3" s="598"/>
      <c r="F3" s="596" t="str">
        <f>OPEN!N2</f>
        <v>2016-2017</v>
      </c>
      <c r="G3" s="599"/>
      <c r="H3" s="599"/>
      <c r="I3" s="599"/>
      <c r="J3" s="599"/>
      <c r="K3" s="599"/>
      <c r="L3" s="599"/>
      <c r="M3" s="599"/>
      <c r="N3" s="599"/>
      <c r="O3" s="599"/>
      <c r="P3" s="599"/>
      <c r="Q3" s="599"/>
      <c r="R3" s="599"/>
      <c r="S3" s="599"/>
    </row>
    <row r="4" spans="1:19" ht="5.0999999999999996" customHeight="1">
      <c r="A4" s="598"/>
      <c r="B4" s="601"/>
      <c r="C4" s="598"/>
      <c r="D4" s="598"/>
      <c r="E4" s="598"/>
      <c r="F4" s="598"/>
      <c r="G4" s="599"/>
      <c r="H4" s="599"/>
      <c r="I4" s="599"/>
      <c r="J4" s="599"/>
      <c r="K4" s="599"/>
      <c r="L4" s="599"/>
      <c r="M4" s="599"/>
      <c r="N4" s="599"/>
      <c r="O4" s="599"/>
      <c r="P4" s="599"/>
      <c r="Q4" s="599"/>
      <c r="R4" s="599"/>
      <c r="S4" s="599"/>
    </row>
    <row r="5" spans="1:19" ht="12" customHeight="1">
      <c r="A5" s="598"/>
      <c r="B5" s="601"/>
      <c r="C5" s="602" t="s">
        <v>1213</v>
      </c>
      <c r="D5" s="602" t="s">
        <v>1213</v>
      </c>
      <c r="E5" s="602" t="s">
        <v>1213</v>
      </c>
      <c r="F5" s="602" t="s">
        <v>10</v>
      </c>
      <c r="G5" s="599"/>
      <c r="H5" s="599"/>
      <c r="I5" s="599"/>
      <c r="J5" s="599"/>
      <c r="K5" s="599"/>
      <c r="L5" s="599"/>
      <c r="M5" s="599"/>
      <c r="N5" s="599"/>
      <c r="O5" s="599"/>
      <c r="P5" s="599"/>
      <c r="Q5" s="599"/>
      <c r="R5" s="599"/>
      <c r="S5" s="599"/>
    </row>
    <row r="6" spans="1:19" ht="12" customHeight="1">
      <c r="A6" s="598"/>
      <c r="B6" s="603" t="s">
        <v>1045</v>
      </c>
      <c r="C6" s="604" t="str">
        <f>OPEN!N4</f>
        <v>2014-2015</v>
      </c>
      <c r="D6" s="604" t="str">
        <f>OPEN!O4</f>
        <v>2015-2016</v>
      </c>
      <c r="E6" s="604" t="str">
        <f>OPEN!P4</f>
        <v>2016-2017</v>
      </c>
      <c r="F6" s="604" t="s">
        <v>11</v>
      </c>
      <c r="G6" s="599"/>
      <c r="H6" s="599"/>
      <c r="I6" s="599"/>
      <c r="J6" s="599"/>
      <c r="K6" s="598"/>
      <c r="L6" s="598"/>
      <c r="M6" s="598"/>
      <c r="N6" s="605"/>
      <c r="O6" s="598"/>
      <c r="P6" s="598"/>
      <c r="Q6" s="598"/>
      <c r="R6" s="599"/>
      <c r="S6" s="599"/>
    </row>
    <row r="7" spans="1:19" ht="12" customHeight="1">
      <c r="A7" s="606" t="s">
        <v>15</v>
      </c>
      <c r="B7" s="607">
        <v>10</v>
      </c>
      <c r="C7" s="608" t="s">
        <v>1139</v>
      </c>
      <c r="D7" s="608" t="s">
        <v>1139</v>
      </c>
      <c r="E7" s="608" t="s">
        <v>1215</v>
      </c>
      <c r="F7" s="608" t="s">
        <v>16</v>
      </c>
      <c r="G7" s="599"/>
      <c r="H7" s="599"/>
      <c r="I7" s="599"/>
      <c r="J7" s="599"/>
      <c r="K7" s="599"/>
      <c r="L7" s="599"/>
      <c r="M7" s="599"/>
      <c r="N7" s="598"/>
      <c r="O7" s="609"/>
      <c r="P7" s="609"/>
      <c r="Q7" s="609"/>
      <c r="R7" s="599"/>
      <c r="S7" s="599"/>
    </row>
    <row r="8" spans="1:19" ht="12" customHeight="1">
      <c r="A8" s="610"/>
      <c r="B8" s="611" t="s">
        <v>1051</v>
      </c>
      <c r="C8" s="612">
        <v>1</v>
      </c>
      <c r="D8" s="612">
        <v>2</v>
      </c>
      <c r="E8" s="612">
        <v>3</v>
      </c>
      <c r="F8" s="612">
        <v>4</v>
      </c>
      <c r="G8" s="599"/>
      <c r="H8" s="599"/>
      <c r="I8" s="599"/>
      <c r="J8" s="599"/>
      <c r="K8" s="599"/>
      <c r="L8" s="599"/>
      <c r="M8" s="599"/>
      <c r="N8" s="598"/>
      <c r="O8" s="609"/>
      <c r="P8" s="609"/>
      <c r="Q8" s="609"/>
      <c r="R8" s="599"/>
      <c r="S8" s="599"/>
    </row>
    <row r="9" spans="1:19" ht="12" customHeight="1">
      <c r="A9" s="613" t="s">
        <v>17</v>
      </c>
      <c r="B9" s="614">
        <v>1</v>
      </c>
      <c r="C9" s="635"/>
      <c r="D9" s="616">
        <f>C53</f>
        <v>0</v>
      </c>
      <c r="E9" s="617">
        <f>D53</f>
        <v>0</v>
      </c>
      <c r="F9" s="617">
        <f>E9</f>
        <v>0</v>
      </c>
      <c r="G9" s="599"/>
      <c r="H9" s="599"/>
      <c r="I9" s="599"/>
      <c r="J9" s="599"/>
      <c r="K9" s="599"/>
      <c r="L9" s="599"/>
      <c r="M9" s="599"/>
      <c r="N9" s="598"/>
      <c r="O9" s="609"/>
      <c r="P9" s="609"/>
      <c r="Q9" s="609"/>
      <c r="R9" s="599"/>
      <c r="S9" s="599"/>
    </row>
    <row r="10" spans="1:19" ht="12" customHeight="1">
      <c r="A10" s="618" t="s">
        <v>18</v>
      </c>
      <c r="B10" s="619">
        <v>3</v>
      </c>
      <c r="C10" s="662"/>
      <c r="D10" s="620"/>
      <c r="E10" s="621"/>
      <c r="F10" s="621"/>
      <c r="G10" s="599"/>
      <c r="H10" s="599"/>
      <c r="I10" s="599"/>
      <c r="J10" s="599"/>
      <c r="K10" s="599"/>
      <c r="L10" s="599"/>
      <c r="M10" s="599"/>
      <c r="N10" s="598"/>
      <c r="O10" s="609"/>
      <c r="P10" s="609"/>
      <c r="Q10" s="609"/>
      <c r="R10" s="599"/>
      <c r="S10" s="599"/>
    </row>
    <row r="11" spans="1:19" ht="12" customHeight="1">
      <c r="A11" s="622" t="s">
        <v>19</v>
      </c>
      <c r="B11" s="623"/>
      <c r="C11" s="641"/>
      <c r="D11" s="625"/>
      <c r="E11" s="621"/>
      <c r="F11" s="621"/>
      <c r="G11" s="599"/>
      <c r="H11" s="599"/>
      <c r="I11" s="599"/>
      <c r="J11" s="599"/>
      <c r="K11" s="599"/>
      <c r="L11" s="599"/>
      <c r="M11" s="599"/>
      <c r="N11" s="598"/>
      <c r="O11" s="609"/>
      <c r="P11" s="609"/>
      <c r="Q11" s="609"/>
      <c r="R11" s="599"/>
      <c r="S11" s="599"/>
    </row>
    <row r="12" spans="1:19" ht="12" customHeight="1">
      <c r="A12" s="622" t="s">
        <v>20</v>
      </c>
      <c r="B12" s="623"/>
      <c r="C12" s="621"/>
      <c r="D12" s="625"/>
      <c r="E12" s="621"/>
      <c r="F12" s="621"/>
      <c r="G12" s="599"/>
      <c r="H12" s="599"/>
      <c r="I12" s="599"/>
      <c r="J12" s="599"/>
      <c r="K12" s="599"/>
      <c r="L12" s="599"/>
      <c r="M12" s="599"/>
      <c r="N12" s="598"/>
      <c r="O12" s="609"/>
      <c r="P12" s="609"/>
      <c r="Q12" s="609"/>
      <c r="R12" s="599"/>
      <c r="S12" s="599"/>
    </row>
    <row r="13" spans="1:19" ht="12" customHeight="1">
      <c r="A13" s="626" t="s">
        <v>21</v>
      </c>
      <c r="B13" s="627"/>
      <c r="C13" s="2456"/>
      <c r="D13" s="625"/>
      <c r="E13" s="621"/>
      <c r="F13" s="621"/>
      <c r="G13" s="599"/>
      <c r="H13" s="599"/>
      <c r="I13" s="599"/>
      <c r="J13" s="599"/>
      <c r="K13" s="599"/>
      <c r="L13" s="599"/>
      <c r="M13" s="599"/>
      <c r="N13" s="598"/>
      <c r="O13" s="598"/>
      <c r="P13" s="598"/>
      <c r="Q13" s="598"/>
      <c r="R13" s="599"/>
      <c r="S13" s="599"/>
    </row>
    <row r="14" spans="1:19" ht="12" customHeight="1">
      <c r="A14" s="613" t="str">
        <f>OPEN!N8</f>
        <v xml:space="preserve">    2013  $</v>
      </c>
      <c r="B14" s="614">
        <v>5</v>
      </c>
      <c r="C14" s="662"/>
      <c r="D14" s="628"/>
      <c r="E14" s="621"/>
      <c r="F14" s="621"/>
      <c r="G14" s="599"/>
      <c r="H14" s="599"/>
      <c r="I14" s="599"/>
      <c r="J14" s="599"/>
      <c r="K14" s="599"/>
      <c r="L14" s="599"/>
      <c r="M14" s="599"/>
      <c r="N14" s="605"/>
      <c r="O14" s="598"/>
      <c r="P14" s="598"/>
      <c r="Q14" s="598"/>
      <c r="R14" s="599"/>
      <c r="S14" s="599"/>
    </row>
    <row r="15" spans="1:19" ht="12" customHeight="1">
      <c r="A15" s="613" t="str">
        <f>OPEN!N9</f>
        <v xml:space="preserve">    2014  $</v>
      </c>
      <c r="B15" s="614">
        <v>10</v>
      </c>
      <c r="C15" s="635"/>
      <c r="D15" s="620"/>
      <c r="E15" s="2456"/>
      <c r="F15" s="629"/>
      <c r="G15" s="599"/>
      <c r="H15" s="599"/>
      <c r="I15" s="599"/>
      <c r="J15" s="599"/>
      <c r="K15" s="599"/>
      <c r="L15" s="599"/>
      <c r="M15" s="599"/>
      <c r="N15" s="598"/>
      <c r="O15" s="630"/>
      <c r="P15" s="630"/>
      <c r="Q15" s="630"/>
      <c r="R15" s="599"/>
      <c r="S15" s="599"/>
    </row>
    <row r="16" spans="1:19" ht="12" customHeight="1">
      <c r="A16" s="613" t="str">
        <f>OPEN!N10</f>
        <v xml:space="preserve">    2015  $</v>
      </c>
      <c r="B16" s="614">
        <v>15</v>
      </c>
      <c r="C16" s="621"/>
      <c r="D16" s="631">
        <f>'C04'!$E$13</f>
        <v>0</v>
      </c>
      <c r="E16" s="632">
        <f>'F110'!$E$81</f>
        <v>0</v>
      </c>
      <c r="F16" s="632">
        <f>E16</f>
        <v>0</v>
      </c>
      <c r="G16" s="599"/>
      <c r="H16" s="633"/>
      <c r="I16" s="599"/>
      <c r="J16" s="599"/>
      <c r="K16" s="599"/>
      <c r="L16" s="599"/>
      <c r="M16" s="599"/>
      <c r="N16" s="598"/>
      <c r="O16" s="630"/>
      <c r="P16" s="630"/>
      <c r="Q16" s="630"/>
      <c r="R16" s="599"/>
      <c r="S16" s="633"/>
    </row>
    <row r="17" spans="1:19" ht="12" customHeight="1">
      <c r="A17" s="613" t="str">
        <f>OPEN!N11</f>
        <v xml:space="preserve">    2016  $</v>
      </c>
      <c r="B17" s="614">
        <v>20</v>
      </c>
      <c r="C17" s="621"/>
      <c r="D17" s="625"/>
      <c r="E17" s="2460">
        <f>'C04'!L13</f>
        <v>0</v>
      </c>
      <c r="F17" s="617">
        <f>'C04'!$L$33</f>
        <v>0</v>
      </c>
      <c r="G17" s="599"/>
      <c r="H17" s="3146" t="s">
        <v>382</v>
      </c>
      <c r="I17" s="3147">
        <f>IF(ISERROR(F17/OPEN!A14*1000),"See error below",F17/OPEN!A14*1000)</f>
        <v>0</v>
      </c>
      <c r="J17" s="599"/>
      <c r="K17" s="599"/>
      <c r="L17" s="599"/>
      <c r="M17" s="599"/>
      <c r="N17" s="598"/>
      <c r="O17" s="630"/>
      <c r="P17" s="630"/>
      <c r="Q17" s="630"/>
      <c r="R17" s="599"/>
      <c r="S17" s="633"/>
    </row>
    <row r="18" spans="1:19" ht="12" customHeight="1">
      <c r="A18" s="613" t="s">
        <v>1872</v>
      </c>
      <c r="B18" s="614">
        <v>25</v>
      </c>
      <c r="C18" s="2457"/>
      <c r="D18" s="634"/>
      <c r="E18" s="636">
        <f>0.667*F18</f>
        <v>0</v>
      </c>
      <c r="F18" s="4119">
        <f>'F110'!$E$85</f>
        <v>0</v>
      </c>
      <c r="G18" s="599"/>
      <c r="H18" s="3148" t="str">
        <f>OPEN!N40</f>
        <v/>
      </c>
      <c r="I18" s="598"/>
      <c r="J18" s="599"/>
      <c r="K18" s="599"/>
      <c r="L18" s="599"/>
      <c r="M18" s="599"/>
      <c r="N18" s="598"/>
      <c r="O18" s="630"/>
      <c r="P18" s="630"/>
      <c r="Q18" s="630"/>
      <c r="R18" s="599"/>
      <c r="S18" s="633"/>
    </row>
    <row r="19" spans="1:19" ht="12" customHeight="1">
      <c r="A19" s="613" t="s">
        <v>22</v>
      </c>
      <c r="B19" s="614">
        <v>30</v>
      </c>
      <c r="C19" s="635"/>
      <c r="D19" s="615"/>
      <c r="E19" s="2457"/>
      <c r="F19" s="617">
        <f>E19</f>
        <v>0</v>
      </c>
      <c r="G19" s="599"/>
      <c r="H19" s="599"/>
      <c r="I19" s="599"/>
      <c r="J19" s="599"/>
      <c r="K19" s="599"/>
      <c r="L19" s="599"/>
      <c r="M19" s="599"/>
      <c r="N19" s="598"/>
      <c r="O19" s="630"/>
      <c r="P19" s="630"/>
      <c r="Q19" s="630"/>
      <c r="R19" s="599"/>
      <c r="S19" s="633"/>
    </row>
    <row r="20" spans="1:19" ht="12" customHeight="1">
      <c r="A20" s="613" t="s">
        <v>23</v>
      </c>
      <c r="B20" s="614">
        <v>35</v>
      </c>
      <c r="C20" s="641"/>
      <c r="D20" s="624"/>
      <c r="E20" s="641"/>
      <c r="F20" s="635"/>
      <c r="G20" s="599"/>
      <c r="H20" s="599"/>
      <c r="I20" s="599"/>
      <c r="J20" s="599"/>
      <c r="K20" s="599"/>
      <c r="L20" s="599"/>
      <c r="M20" s="599"/>
      <c r="N20" s="598"/>
      <c r="O20" s="630"/>
      <c r="P20" s="630"/>
      <c r="Q20" s="630"/>
      <c r="R20" s="599"/>
      <c r="S20" s="599"/>
    </row>
    <row r="21" spans="1:19" ht="12" customHeight="1">
      <c r="A21" s="613" t="s">
        <v>24</v>
      </c>
      <c r="B21" s="614">
        <v>40</v>
      </c>
      <c r="C21" s="662"/>
      <c r="D21" s="4987" t="s">
        <v>1189</v>
      </c>
      <c r="E21" s="4178" t="s">
        <v>1431</v>
      </c>
      <c r="F21" s="4178" t="s">
        <v>1251</v>
      </c>
      <c r="G21" s="599"/>
      <c r="H21" s="599"/>
      <c r="I21" s="599"/>
      <c r="J21" s="599"/>
      <c r="K21" s="599"/>
      <c r="L21" s="599"/>
      <c r="M21" s="599"/>
      <c r="N21" s="598"/>
      <c r="O21" s="598"/>
      <c r="P21" s="598"/>
      <c r="Q21" s="598"/>
      <c r="R21" s="599"/>
      <c r="S21" s="599"/>
    </row>
    <row r="22" spans="1:19" ht="12" customHeight="1">
      <c r="A22" s="638" t="s">
        <v>25</v>
      </c>
      <c r="B22" s="2896"/>
      <c r="C22" s="621"/>
      <c r="D22" s="625"/>
      <c r="E22" s="4164"/>
      <c r="F22" s="621"/>
      <c r="G22" s="599"/>
      <c r="H22" s="599"/>
      <c r="I22" s="599"/>
      <c r="J22" s="599"/>
      <c r="K22" s="599"/>
      <c r="L22" s="599"/>
      <c r="M22" s="599"/>
      <c r="N22" s="598"/>
      <c r="O22" s="630"/>
      <c r="P22" s="630"/>
      <c r="Q22" s="630"/>
      <c r="R22" s="599"/>
      <c r="S22" s="599"/>
    </row>
    <row r="23" spans="1:19" ht="12" customHeight="1">
      <c r="A23" s="618" t="s">
        <v>26</v>
      </c>
      <c r="B23" s="2897">
        <v>50</v>
      </c>
      <c r="C23" s="662"/>
      <c r="D23" s="620"/>
      <c r="E23" s="4165"/>
      <c r="F23" s="636">
        <f>E23</f>
        <v>0</v>
      </c>
      <c r="G23" s="599"/>
      <c r="H23" s="599"/>
      <c r="I23" s="599"/>
      <c r="J23" s="599"/>
      <c r="K23" s="599"/>
      <c r="L23" s="599"/>
      <c r="M23" s="599"/>
      <c r="N23" s="599"/>
      <c r="O23" s="599"/>
      <c r="P23" s="599"/>
      <c r="Q23" s="599"/>
      <c r="R23" s="599"/>
      <c r="S23" s="599"/>
    </row>
    <row r="24" spans="1:19" ht="12" customHeight="1">
      <c r="A24" s="622" t="s">
        <v>23</v>
      </c>
      <c r="B24" s="637">
        <v>55</v>
      </c>
      <c r="C24" s="641"/>
      <c r="D24" s="624"/>
      <c r="E24" s="621"/>
      <c r="F24" s="662"/>
      <c r="G24" s="599"/>
      <c r="H24" s="599"/>
      <c r="I24" s="599"/>
      <c r="J24" s="599"/>
      <c r="K24" s="599"/>
      <c r="L24" s="599"/>
      <c r="M24" s="599"/>
      <c r="N24" s="599"/>
      <c r="O24" s="599"/>
      <c r="P24" s="599"/>
      <c r="Q24" s="599"/>
      <c r="R24" s="599"/>
      <c r="S24" s="599"/>
    </row>
    <row r="25" spans="1:19" ht="12" customHeight="1">
      <c r="A25" s="638" t="s">
        <v>27</v>
      </c>
      <c r="B25" s="637">
        <v>60</v>
      </c>
      <c r="C25" s="662"/>
      <c r="D25" s="620"/>
      <c r="E25" s="662"/>
      <c r="F25" s="636">
        <f>E25</f>
        <v>0</v>
      </c>
      <c r="G25" s="599"/>
      <c r="H25" s="599"/>
      <c r="I25" s="599"/>
      <c r="J25" s="599"/>
      <c r="K25" s="599"/>
      <c r="L25" s="599"/>
      <c r="M25" s="599"/>
      <c r="N25" s="599"/>
      <c r="O25" s="599"/>
      <c r="P25" s="599"/>
      <c r="Q25" s="599"/>
      <c r="R25" s="599"/>
      <c r="S25" s="599"/>
    </row>
    <row r="26" spans="1:19" ht="12" customHeight="1">
      <c r="A26" s="638" t="s">
        <v>23</v>
      </c>
      <c r="B26" s="614">
        <v>65</v>
      </c>
      <c r="C26" s="641"/>
      <c r="D26" s="624"/>
      <c r="E26" s="641"/>
      <c r="F26" s="635"/>
      <c r="G26" s="599"/>
      <c r="H26" s="599"/>
      <c r="I26" s="599"/>
      <c r="J26" s="599"/>
      <c r="K26" s="599"/>
      <c r="L26" s="599"/>
      <c r="M26" s="599"/>
      <c r="N26" s="599"/>
      <c r="O26" s="599"/>
      <c r="P26" s="599"/>
      <c r="Q26" s="599"/>
      <c r="R26" s="599"/>
      <c r="S26" s="599"/>
    </row>
    <row r="27" spans="1:19" ht="12" customHeight="1">
      <c r="A27" s="638" t="s">
        <v>28</v>
      </c>
      <c r="B27" s="637"/>
      <c r="C27" s="621"/>
      <c r="D27" s="625"/>
      <c r="E27" s="621"/>
      <c r="F27" s="621"/>
      <c r="G27" s="599"/>
      <c r="H27" s="599"/>
      <c r="I27" s="599"/>
      <c r="J27" s="599"/>
      <c r="K27" s="599"/>
      <c r="L27" s="599"/>
      <c r="M27" s="599"/>
      <c r="N27" s="599"/>
      <c r="O27" s="599"/>
      <c r="P27" s="599"/>
      <c r="Q27" s="599"/>
      <c r="R27" s="599"/>
      <c r="S27" s="599"/>
    </row>
    <row r="28" spans="1:19" ht="12" customHeight="1">
      <c r="A28" s="618" t="s">
        <v>285</v>
      </c>
      <c r="B28" s="619">
        <v>75</v>
      </c>
      <c r="C28" s="662"/>
      <c r="D28" s="620"/>
      <c r="E28" s="636">
        <f>IF(ISERROR('F194'!$H$77+'F194'!$H$19+'F194'!$P$77+'F194'!$P$19),0,('F194'!$H$77+'F194'!$H$19+'F194'!$P$77+'F194'!$P$19))</f>
        <v>0</v>
      </c>
      <c r="F28" s="636">
        <f>E28</f>
        <v>0</v>
      </c>
      <c r="G28" s="599"/>
      <c r="H28" s="599"/>
      <c r="I28" s="599"/>
      <c r="J28" s="599"/>
      <c r="K28" s="599"/>
      <c r="L28" s="599"/>
      <c r="M28" s="599"/>
      <c r="N28" s="599"/>
      <c r="O28" s="599"/>
      <c r="P28" s="599"/>
      <c r="Q28" s="599"/>
      <c r="R28" s="599"/>
      <c r="S28" s="599"/>
    </row>
    <row r="29" spans="1:19" ht="12" customHeight="1">
      <c r="A29" s="613" t="s">
        <v>30</v>
      </c>
      <c r="B29" s="614">
        <v>80</v>
      </c>
      <c r="C29" s="641"/>
      <c r="D29" s="624"/>
      <c r="E29" s="2458"/>
      <c r="F29" s="639">
        <f>F28*0.5</f>
        <v>0</v>
      </c>
      <c r="G29" s="599"/>
      <c r="H29" s="599"/>
      <c r="I29" s="599"/>
      <c r="J29" s="599"/>
      <c r="K29" s="599"/>
      <c r="L29" s="599"/>
      <c r="M29" s="599"/>
      <c r="N29" s="599"/>
      <c r="O29" s="599"/>
      <c r="P29" s="599"/>
      <c r="Q29" s="599"/>
      <c r="R29" s="599"/>
      <c r="S29" s="599"/>
    </row>
    <row r="30" spans="1:19" ht="12" customHeight="1">
      <c r="A30" s="638" t="s">
        <v>31</v>
      </c>
      <c r="B30" s="637">
        <v>85</v>
      </c>
      <c r="C30" s="662"/>
      <c r="D30" s="620"/>
      <c r="E30" s="2461">
        <f>IF(ISERROR('F194'!$L$19+'F194'!$L$77),0,('F194'!$L$19+'F194'!$L$77))</f>
        <v>0</v>
      </c>
      <c r="F30" s="639">
        <f>E30</f>
        <v>0</v>
      </c>
      <c r="G30" s="599"/>
      <c r="H30" s="599"/>
      <c r="I30" s="599"/>
      <c r="J30" s="599"/>
      <c r="K30" s="599"/>
      <c r="L30" s="599"/>
      <c r="M30" s="599"/>
      <c r="N30" s="599"/>
      <c r="O30" s="599"/>
      <c r="P30" s="599"/>
      <c r="Q30" s="599"/>
      <c r="R30" s="599"/>
      <c r="S30" s="599"/>
    </row>
    <row r="31" spans="1:19" ht="12" customHeight="1">
      <c r="A31" s="638" t="s">
        <v>32</v>
      </c>
      <c r="B31" s="637">
        <v>86</v>
      </c>
      <c r="C31" s="621"/>
      <c r="D31" s="625"/>
      <c r="E31" s="2458"/>
      <c r="F31" s="639">
        <f>F30*0.5</f>
        <v>0</v>
      </c>
      <c r="G31" s="599"/>
      <c r="H31" s="599"/>
      <c r="I31" s="599"/>
      <c r="J31" s="599"/>
      <c r="K31" s="599"/>
      <c r="L31" s="599"/>
      <c r="M31" s="599"/>
      <c r="N31" s="599"/>
      <c r="O31" s="599"/>
      <c r="P31" s="599"/>
      <c r="Q31" s="599"/>
      <c r="R31" s="599"/>
      <c r="S31" s="599"/>
    </row>
    <row r="32" spans="1:19" ht="12" customHeight="1">
      <c r="A32" s="2914" t="s">
        <v>1870</v>
      </c>
      <c r="B32" s="2915">
        <v>87</v>
      </c>
      <c r="C32" s="4180"/>
      <c r="D32" s="4180"/>
      <c r="E32" s="2459">
        <f>IF(ISERROR('F194'!$R$77+'F194'!$R$19),0,('F194'!$R$77+'F194'!$R$19))</f>
        <v>0</v>
      </c>
      <c r="F32" s="639">
        <f>E32</f>
        <v>0</v>
      </c>
      <c r="G32" s="599"/>
      <c r="H32" s="4116"/>
      <c r="I32" s="599"/>
      <c r="J32" s="599"/>
      <c r="K32" s="599"/>
      <c r="L32" s="599"/>
      <c r="M32" s="599"/>
      <c r="N32" s="599"/>
      <c r="O32" s="599"/>
      <c r="P32" s="599"/>
      <c r="Q32" s="599"/>
      <c r="R32" s="599"/>
      <c r="S32" s="599"/>
    </row>
    <row r="33" spans="1:19" ht="12" customHeight="1">
      <c r="A33" s="2914" t="s">
        <v>32</v>
      </c>
      <c r="B33" s="2915">
        <v>88</v>
      </c>
      <c r="C33" s="621"/>
      <c r="D33" s="625"/>
      <c r="E33" s="5128"/>
      <c r="F33" s="639">
        <f>F32*0.5</f>
        <v>0</v>
      </c>
      <c r="G33" s="599"/>
      <c r="H33" s="599"/>
      <c r="I33" s="599"/>
      <c r="J33" s="599"/>
      <c r="K33" s="599"/>
      <c r="L33" s="599"/>
      <c r="M33" s="599"/>
      <c r="N33" s="599"/>
      <c r="O33" s="599"/>
      <c r="P33" s="599"/>
      <c r="Q33" s="599"/>
      <c r="R33" s="599"/>
      <c r="S33" s="599"/>
    </row>
    <row r="34" spans="1:19" ht="12" customHeight="1">
      <c r="A34" s="638" t="s">
        <v>1937</v>
      </c>
      <c r="B34" s="637">
        <v>90</v>
      </c>
      <c r="C34" s="2457"/>
      <c r="D34" s="634"/>
      <c r="E34" s="636">
        <f>IF(ISERROR('F194'!$N$19+'F194'!$N$77),0,('F194'!$N$19+'F194'!$N$77))</f>
        <v>0</v>
      </c>
      <c r="F34" s="617">
        <f>IF(ISERROR(E34),0,(E34))</f>
        <v>0</v>
      </c>
      <c r="G34" s="599"/>
      <c r="H34" s="599"/>
      <c r="I34" s="599"/>
      <c r="J34" s="599"/>
      <c r="K34" s="599"/>
      <c r="L34" s="599"/>
      <c r="M34" s="599"/>
      <c r="N34" s="599"/>
      <c r="O34" s="599"/>
      <c r="P34" s="599"/>
      <c r="Q34" s="599"/>
      <c r="R34" s="599"/>
      <c r="S34" s="599"/>
    </row>
    <row r="35" spans="1:19" ht="12" customHeight="1">
      <c r="A35" s="638" t="s">
        <v>30</v>
      </c>
      <c r="B35" s="637">
        <v>95</v>
      </c>
      <c r="C35" s="641"/>
      <c r="D35" s="3387"/>
      <c r="E35" s="3350"/>
      <c r="F35" s="632">
        <f>F34*0.5</f>
        <v>0</v>
      </c>
      <c r="G35" s="599"/>
      <c r="H35" s="599"/>
      <c r="I35" s="599"/>
      <c r="J35" s="599"/>
      <c r="K35" s="599"/>
      <c r="L35" s="599"/>
      <c r="M35" s="599"/>
      <c r="N35" s="599"/>
      <c r="O35" s="599"/>
      <c r="P35" s="599"/>
      <c r="Q35" s="599"/>
      <c r="R35" s="599"/>
      <c r="S35" s="599"/>
    </row>
    <row r="36" spans="1:19" ht="12" customHeight="1">
      <c r="A36" s="638" t="s">
        <v>33</v>
      </c>
      <c r="B36" s="637"/>
      <c r="C36" s="621"/>
      <c r="D36" s="3351"/>
      <c r="E36" s="3351"/>
      <c r="F36" s="641"/>
      <c r="G36" s="599"/>
      <c r="H36" s="599"/>
      <c r="I36" s="599"/>
      <c r="J36" s="599"/>
      <c r="K36" s="599"/>
      <c r="L36" s="599"/>
      <c r="M36" s="599"/>
      <c r="N36" s="599"/>
      <c r="O36" s="599"/>
      <c r="P36" s="599"/>
      <c r="Q36" s="599"/>
      <c r="R36" s="599"/>
      <c r="S36" s="599"/>
    </row>
    <row r="37" spans="1:19" ht="12" customHeight="1">
      <c r="A37" s="642" t="s">
        <v>45</v>
      </c>
      <c r="B37" s="643">
        <v>100</v>
      </c>
      <c r="C37" s="662"/>
      <c r="D37" s="3352"/>
      <c r="E37" s="3352"/>
      <c r="F37" s="636">
        <f>E37</f>
        <v>0</v>
      </c>
      <c r="G37" s="599"/>
      <c r="H37" s="599"/>
      <c r="I37" s="599"/>
      <c r="J37" s="599"/>
      <c r="K37" s="599"/>
      <c r="L37" s="599"/>
      <c r="M37" s="599"/>
      <c r="N37" s="599"/>
      <c r="O37" s="599"/>
      <c r="P37" s="599"/>
      <c r="Q37" s="599"/>
      <c r="R37" s="599"/>
      <c r="S37" s="599"/>
    </row>
    <row r="38" spans="1:19" ht="12" customHeight="1">
      <c r="A38" s="644" t="s">
        <v>30</v>
      </c>
      <c r="B38" s="645">
        <v>105</v>
      </c>
      <c r="C38" s="621"/>
      <c r="D38" s="625"/>
      <c r="E38" s="641"/>
      <c r="F38" s="635"/>
      <c r="G38" s="599"/>
      <c r="H38" s="599"/>
      <c r="I38" s="599"/>
      <c r="J38" s="599"/>
      <c r="K38" s="599"/>
      <c r="L38" s="599"/>
      <c r="M38" s="599"/>
      <c r="N38" s="599"/>
      <c r="O38" s="599"/>
      <c r="P38" s="599"/>
      <c r="Q38" s="599"/>
      <c r="R38" s="599"/>
      <c r="S38" s="599"/>
    </row>
    <row r="39" spans="1:19" ht="12" customHeight="1">
      <c r="A39" s="646" t="s">
        <v>46</v>
      </c>
      <c r="B39" s="647"/>
      <c r="C39" s="621"/>
      <c r="D39" s="625"/>
      <c r="E39" s="621"/>
      <c r="F39" s="641"/>
      <c r="G39" s="599"/>
      <c r="H39" s="599"/>
      <c r="I39" s="599"/>
      <c r="J39" s="599"/>
      <c r="K39" s="599"/>
      <c r="L39" s="599"/>
      <c r="M39" s="599"/>
      <c r="N39" s="599"/>
      <c r="O39" s="599"/>
      <c r="P39" s="599"/>
      <c r="Q39" s="599"/>
      <c r="R39" s="599"/>
      <c r="S39" s="599"/>
    </row>
    <row r="40" spans="1:19" ht="12" customHeight="1">
      <c r="A40" s="642" t="s">
        <v>47</v>
      </c>
      <c r="B40" s="643">
        <v>110</v>
      </c>
      <c r="C40" s="662"/>
      <c r="D40" s="620"/>
      <c r="E40" s="662"/>
      <c r="F40" s="636">
        <f>E40</f>
        <v>0</v>
      </c>
      <c r="G40" s="599"/>
      <c r="H40" s="599"/>
      <c r="I40" s="599"/>
      <c r="J40" s="599"/>
      <c r="K40" s="599"/>
      <c r="L40" s="599"/>
      <c r="M40" s="599"/>
      <c r="N40" s="599"/>
      <c r="O40" s="599"/>
      <c r="P40" s="599"/>
      <c r="Q40" s="599"/>
      <c r="R40" s="599"/>
      <c r="S40" s="599"/>
    </row>
    <row r="41" spans="1:19" ht="12" customHeight="1">
      <c r="A41" s="648" t="s">
        <v>30</v>
      </c>
      <c r="B41" s="649">
        <v>115</v>
      </c>
      <c r="C41" s="652"/>
      <c r="D41" s="650"/>
      <c r="E41" s="652"/>
      <c r="F41" s="651"/>
      <c r="G41" s="599"/>
      <c r="H41" s="599"/>
      <c r="I41" s="599"/>
      <c r="J41" s="599"/>
      <c r="K41" s="599"/>
      <c r="L41" s="599"/>
      <c r="M41" s="599"/>
      <c r="N41" s="599"/>
      <c r="O41" s="599"/>
      <c r="P41" s="599"/>
      <c r="Q41" s="599"/>
      <c r="R41" s="599"/>
      <c r="S41" s="599"/>
    </row>
    <row r="42" spans="1:19" ht="12" customHeight="1">
      <c r="A42" s="646" t="s">
        <v>48</v>
      </c>
      <c r="B42" s="647"/>
      <c r="C42" s="2458"/>
      <c r="D42" s="640"/>
      <c r="E42" s="2458"/>
      <c r="F42" s="652"/>
      <c r="G42" s="599"/>
      <c r="H42" s="599"/>
      <c r="I42" s="599"/>
      <c r="J42" s="599"/>
      <c r="K42" s="599"/>
      <c r="L42" s="599"/>
      <c r="M42" s="599"/>
      <c r="N42" s="599"/>
      <c r="O42" s="599"/>
      <c r="P42" s="599"/>
      <c r="Q42" s="599"/>
      <c r="R42" s="599"/>
      <c r="S42" s="599"/>
    </row>
    <row r="43" spans="1:19" ht="12" customHeight="1">
      <c r="A43" s="642" t="s">
        <v>49</v>
      </c>
      <c r="B43" s="643">
        <v>120</v>
      </c>
      <c r="C43" s="2459">
        <f>'C06'!$C$337</f>
        <v>0</v>
      </c>
      <c r="D43" s="653">
        <f>'C06'!$D$337</f>
        <v>0</v>
      </c>
      <c r="E43" s="2459">
        <f>'C06'!$E$337</f>
        <v>0</v>
      </c>
      <c r="F43" s="2459">
        <f>E43</f>
        <v>0</v>
      </c>
      <c r="G43" s="599"/>
      <c r="H43" s="599"/>
      <c r="I43" s="599"/>
      <c r="J43" s="599"/>
      <c r="K43" s="599"/>
      <c r="L43" s="599"/>
      <c r="M43" s="599"/>
      <c r="N43" s="599"/>
      <c r="O43" s="599"/>
      <c r="P43" s="599"/>
      <c r="Q43" s="599"/>
      <c r="R43" s="599"/>
      <c r="S43" s="599"/>
    </row>
    <row r="44" spans="1:19" ht="12" customHeight="1">
      <c r="A44" s="648" t="s">
        <v>30</v>
      </c>
      <c r="B44" s="649">
        <v>125</v>
      </c>
      <c r="C44" s="652"/>
      <c r="D44" s="650"/>
      <c r="E44" s="652"/>
      <c r="F44" s="651"/>
      <c r="G44" s="599"/>
      <c r="H44" s="599"/>
      <c r="I44" s="599"/>
      <c r="J44" s="599"/>
      <c r="K44" s="599"/>
      <c r="L44" s="599"/>
      <c r="M44" s="599"/>
      <c r="N44" s="599"/>
      <c r="O44" s="599"/>
      <c r="P44" s="599"/>
      <c r="Q44" s="599"/>
      <c r="R44" s="599"/>
      <c r="S44" s="599"/>
    </row>
    <row r="45" spans="1:19" ht="12" customHeight="1">
      <c r="A45" s="648" t="s">
        <v>1243</v>
      </c>
      <c r="B45" s="649">
        <v>130</v>
      </c>
      <c r="C45" s="2459">
        <f>'C08'!$C$307</f>
        <v>0</v>
      </c>
      <c r="D45" s="653">
        <f>'C08'!$D$307</f>
        <v>0</v>
      </c>
      <c r="E45" s="2459">
        <f>'C08'!$E$307</f>
        <v>0</v>
      </c>
      <c r="F45" s="2460">
        <f>E45</f>
        <v>0</v>
      </c>
      <c r="G45" s="599"/>
      <c r="H45" s="599"/>
      <c r="I45" s="599"/>
      <c r="J45" s="599"/>
      <c r="K45" s="599"/>
      <c r="L45" s="599"/>
      <c r="M45" s="599"/>
      <c r="N45" s="599"/>
      <c r="O45" s="599"/>
      <c r="P45" s="599"/>
      <c r="Q45" s="599"/>
      <c r="R45" s="599"/>
      <c r="S45" s="599"/>
    </row>
    <row r="46" spans="1:19" ht="12" customHeight="1">
      <c r="A46" s="648" t="s">
        <v>30</v>
      </c>
      <c r="B46" s="649">
        <v>135</v>
      </c>
      <c r="C46" s="2458"/>
      <c r="D46" s="650"/>
      <c r="E46" s="652"/>
      <c r="F46" s="651"/>
      <c r="G46" s="599"/>
      <c r="H46" s="599"/>
      <c r="I46" s="599"/>
      <c r="J46" s="599"/>
      <c r="K46" s="599"/>
      <c r="L46" s="599"/>
      <c r="M46" s="599"/>
      <c r="N46" s="599"/>
      <c r="O46" s="599"/>
      <c r="P46" s="599"/>
      <c r="Q46" s="599"/>
      <c r="R46" s="599"/>
      <c r="S46" s="599"/>
    </row>
    <row r="47" spans="1:19" ht="12" customHeight="1">
      <c r="A47" s="648" t="s">
        <v>50</v>
      </c>
      <c r="B47" s="649">
        <v>140</v>
      </c>
      <c r="C47" s="2459">
        <f>'C053'!$C$261</f>
        <v>0</v>
      </c>
      <c r="D47" s="653">
        <f>'C053'!$D$261</f>
        <v>0</v>
      </c>
      <c r="E47" s="654" t="s">
        <v>51</v>
      </c>
      <c r="F47" s="654" t="s">
        <v>51</v>
      </c>
      <c r="G47" s="599"/>
      <c r="H47" s="599"/>
      <c r="I47" s="599"/>
      <c r="J47" s="599"/>
      <c r="K47" s="599"/>
      <c r="L47" s="599"/>
      <c r="M47" s="599"/>
      <c r="N47" s="599"/>
      <c r="O47" s="599"/>
      <c r="P47" s="599"/>
      <c r="Q47" s="599"/>
      <c r="R47" s="599"/>
      <c r="S47" s="599"/>
    </row>
    <row r="48" spans="1:19" ht="12" customHeight="1">
      <c r="A48" s="648" t="s">
        <v>30</v>
      </c>
      <c r="B48" s="649">
        <v>145</v>
      </c>
      <c r="C48" s="2458"/>
      <c r="D48" s="640"/>
      <c r="E48" s="2458"/>
      <c r="F48" s="654" t="s">
        <v>51</v>
      </c>
      <c r="G48" s="599"/>
      <c r="H48" s="599"/>
      <c r="I48" s="599"/>
      <c r="J48" s="599"/>
      <c r="K48" s="599"/>
      <c r="L48" s="599"/>
      <c r="M48" s="599"/>
      <c r="N48" s="599"/>
      <c r="O48" s="599"/>
      <c r="P48" s="599"/>
      <c r="Q48" s="599"/>
      <c r="R48" s="599"/>
      <c r="S48" s="599"/>
    </row>
    <row r="49" spans="1:19" ht="12" customHeight="1">
      <c r="A49" s="655" t="s">
        <v>52</v>
      </c>
      <c r="B49" s="656">
        <v>170</v>
      </c>
      <c r="C49" s="636">
        <f>SUM(C9:C48)</f>
        <v>0</v>
      </c>
      <c r="D49" s="631">
        <f>SUM(D9:D48)</f>
        <v>0</v>
      </c>
      <c r="E49" s="636">
        <f>SUM(E9:E48)</f>
        <v>0</v>
      </c>
      <c r="F49" s="617">
        <f>SUM(F9:F48)</f>
        <v>0</v>
      </c>
      <c r="G49" s="599"/>
      <c r="H49" s="599"/>
      <c r="I49" s="599"/>
      <c r="J49" s="599"/>
      <c r="K49" s="599"/>
      <c r="L49" s="599"/>
      <c r="M49" s="599"/>
      <c r="N49" s="599"/>
      <c r="O49" s="599"/>
      <c r="P49" s="599"/>
      <c r="Q49" s="599"/>
      <c r="R49" s="599"/>
      <c r="S49" s="599"/>
    </row>
    <row r="50" spans="1:19" ht="12" customHeight="1">
      <c r="A50" s="644" t="s">
        <v>53</v>
      </c>
      <c r="B50" s="645">
        <v>175</v>
      </c>
      <c r="C50" s="617">
        <f>C163</f>
        <v>0</v>
      </c>
      <c r="D50" s="616">
        <f>D163</f>
        <v>0</v>
      </c>
      <c r="E50" s="617">
        <f>E163</f>
        <v>0</v>
      </c>
      <c r="F50" s="617">
        <f>E50</f>
        <v>0</v>
      </c>
      <c r="G50" s="599"/>
      <c r="H50" s="599"/>
      <c r="I50" s="599"/>
      <c r="J50" s="599"/>
      <c r="K50" s="599"/>
      <c r="L50" s="599"/>
      <c r="M50" s="599"/>
      <c r="N50" s="599"/>
      <c r="O50" s="599"/>
      <c r="P50" s="599"/>
      <c r="Q50" s="599"/>
      <c r="R50" s="599"/>
      <c r="S50" s="599"/>
    </row>
    <row r="51" spans="1:19" ht="12" customHeight="1">
      <c r="A51" s="657" t="s">
        <v>30</v>
      </c>
      <c r="B51" s="645">
        <v>180</v>
      </c>
      <c r="C51" s="654" t="s">
        <v>54</v>
      </c>
      <c r="D51" s="658" t="s">
        <v>54</v>
      </c>
      <c r="E51" s="654" t="s">
        <v>51</v>
      </c>
      <c r="F51" s="617">
        <f>F49-F50</f>
        <v>0</v>
      </c>
      <c r="G51" s="599"/>
      <c r="H51" s="599"/>
      <c r="I51" s="599"/>
      <c r="J51" s="599"/>
      <c r="K51" s="599"/>
      <c r="L51" s="599"/>
      <c r="M51" s="599"/>
      <c r="N51" s="599"/>
      <c r="O51" s="599"/>
      <c r="P51" s="599"/>
      <c r="Q51" s="599"/>
      <c r="R51" s="599"/>
      <c r="S51" s="599"/>
    </row>
    <row r="52" spans="1:19" ht="12" customHeight="1">
      <c r="A52" s="644" t="s">
        <v>55</v>
      </c>
      <c r="B52" s="645">
        <v>185</v>
      </c>
      <c r="C52" s="654" t="s">
        <v>54</v>
      </c>
      <c r="D52" s="658" t="s">
        <v>54</v>
      </c>
      <c r="E52" s="654" t="s">
        <v>51</v>
      </c>
      <c r="F52" s="617">
        <f>F49</f>
        <v>0</v>
      </c>
      <c r="G52" s="599"/>
      <c r="H52" s="3094" t="str">
        <f>IF(F52="ERROR","Lines 175 + 180 must equal Line 170 (Resources Available)","")</f>
        <v/>
      </c>
      <c r="I52" s="599"/>
      <c r="J52" s="599"/>
      <c r="K52" s="599"/>
      <c r="L52" s="599"/>
      <c r="M52" s="599"/>
      <c r="N52" s="599"/>
      <c r="O52" s="599"/>
      <c r="P52" s="599"/>
      <c r="Q52" s="599"/>
      <c r="R52" s="599"/>
      <c r="S52" s="599"/>
    </row>
    <row r="53" spans="1:19" ht="12" customHeight="1">
      <c r="A53" s="657" t="s">
        <v>1250</v>
      </c>
      <c r="B53" s="645">
        <v>190</v>
      </c>
      <c r="C53" s="2460">
        <f>C49-C50</f>
        <v>0</v>
      </c>
      <c r="D53" s="659">
        <f>D49-D50</f>
        <v>0</v>
      </c>
      <c r="E53" s="2460">
        <f>E49-E50</f>
        <v>0</v>
      </c>
      <c r="F53" s="654" t="s">
        <v>1189</v>
      </c>
      <c r="G53" s="599"/>
      <c r="H53" s="599"/>
      <c r="I53" s="599"/>
      <c r="J53" s="599"/>
      <c r="K53" s="599"/>
      <c r="L53" s="599"/>
      <c r="M53" s="599"/>
      <c r="N53" s="599"/>
      <c r="O53" s="599"/>
      <c r="P53" s="599"/>
      <c r="Q53" s="599"/>
      <c r="R53" s="599"/>
      <c r="S53" s="599"/>
    </row>
    <row r="54" spans="1:19" ht="12" customHeight="1">
      <c r="A54" s="598"/>
      <c r="B54" s="602"/>
      <c r="C54" s="598"/>
      <c r="D54" s="598"/>
      <c r="E54" s="598"/>
      <c r="F54" s="598"/>
      <c r="G54" s="599"/>
      <c r="H54" s="599"/>
      <c r="I54" s="599"/>
      <c r="J54" s="599"/>
      <c r="K54" s="599"/>
      <c r="L54" s="599"/>
      <c r="M54" s="599"/>
      <c r="N54" s="599"/>
      <c r="O54" s="599"/>
      <c r="P54" s="599"/>
      <c r="Q54" s="599"/>
      <c r="R54" s="599"/>
      <c r="S54" s="599"/>
    </row>
    <row r="55" spans="1:19" ht="12" customHeight="1">
      <c r="A55" s="598" t="s">
        <v>56</v>
      </c>
      <c r="B55" s="602"/>
      <c r="C55" s="598"/>
      <c r="D55" s="598"/>
      <c r="E55" s="598"/>
      <c r="F55" s="598"/>
      <c r="G55" s="599"/>
      <c r="H55" s="599"/>
      <c r="I55" s="599"/>
      <c r="J55" s="599"/>
      <c r="K55" s="599"/>
      <c r="L55" s="599"/>
      <c r="M55" s="599"/>
      <c r="N55" s="599"/>
      <c r="O55" s="599"/>
      <c r="P55" s="599"/>
      <c r="Q55" s="599"/>
      <c r="R55" s="599"/>
      <c r="S55" s="599"/>
    </row>
    <row r="56" spans="1:19" ht="12" customHeight="1">
      <c r="A56" s="598"/>
      <c r="B56" s="602"/>
      <c r="C56" s="598"/>
      <c r="D56" s="598"/>
      <c r="E56" s="598"/>
      <c r="F56" s="598"/>
      <c r="G56" s="599"/>
      <c r="H56" s="599"/>
      <c r="I56" s="599"/>
      <c r="J56" s="599"/>
      <c r="K56" s="599"/>
      <c r="L56" s="599"/>
      <c r="M56" s="599"/>
      <c r="N56" s="599"/>
      <c r="O56" s="599"/>
      <c r="P56" s="599"/>
      <c r="Q56" s="599"/>
      <c r="R56" s="599"/>
      <c r="S56" s="599"/>
    </row>
    <row r="57" spans="1:19" ht="12" customHeight="1">
      <c r="A57" s="598"/>
      <c r="B57" s="602"/>
      <c r="C57" s="598"/>
      <c r="D57" s="598"/>
      <c r="E57" s="598"/>
      <c r="F57" s="598"/>
      <c r="G57" s="599"/>
      <c r="H57" s="599"/>
      <c r="I57" s="599"/>
      <c r="J57" s="599"/>
      <c r="K57" s="599"/>
      <c r="L57" s="599"/>
      <c r="M57" s="599"/>
      <c r="N57" s="599"/>
      <c r="O57" s="599"/>
      <c r="P57" s="599"/>
      <c r="Q57" s="599"/>
      <c r="R57" s="599"/>
      <c r="S57" s="599"/>
    </row>
    <row r="58" spans="1:19" ht="12" customHeight="1">
      <c r="A58" s="660"/>
      <c r="B58" s="660"/>
      <c r="C58" s="660"/>
      <c r="D58" s="660"/>
      <c r="E58" s="660"/>
      <c r="F58" s="660"/>
      <c r="G58" s="599"/>
      <c r="H58" s="599"/>
      <c r="I58" s="599"/>
      <c r="J58" s="599"/>
      <c r="K58" s="599"/>
      <c r="L58" s="599"/>
      <c r="M58" s="599"/>
      <c r="N58" s="599"/>
      <c r="O58" s="599"/>
      <c r="P58" s="599"/>
      <c r="Q58" s="599"/>
      <c r="R58" s="599"/>
      <c r="S58" s="599"/>
    </row>
    <row r="59" spans="1:19" ht="15.75" customHeight="1">
      <c r="A59" s="596" t="s">
        <v>1019</v>
      </c>
      <c r="B59" s="601">
        <f>B1</f>
        <v>270</v>
      </c>
      <c r="C59" s="598"/>
      <c r="D59" s="598"/>
      <c r="E59" s="598"/>
      <c r="F59" s="596" t="s">
        <v>1020</v>
      </c>
      <c r="G59" s="599"/>
      <c r="H59" s="599"/>
      <c r="I59" s="599"/>
      <c r="J59" s="599"/>
      <c r="K59" s="599"/>
      <c r="L59" s="599"/>
      <c r="M59" s="599"/>
      <c r="N59" s="599"/>
      <c r="O59" s="599"/>
      <c r="P59" s="599"/>
      <c r="Q59" s="599"/>
      <c r="R59" s="599"/>
      <c r="S59" s="599"/>
    </row>
    <row r="60" spans="1:19" ht="12" customHeight="1">
      <c r="A60" s="598"/>
      <c r="B60" s="601"/>
      <c r="C60" s="598"/>
      <c r="D60" s="598"/>
      <c r="E60" s="598"/>
      <c r="F60" s="596" t="s">
        <v>1212</v>
      </c>
      <c r="G60" s="599"/>
      <c r="H60" s="599"/>
      <c r="I60" s="599"/>
      <c r="J60" s="599"/>
      <c r="K60" s="599"/>
      <c r="L60" s="599"/>
      <c r="M60" s="599"/>
      <c r="N60" s="599"/>
      <c r="O60" s="599"/>
      <c r="P60" s="599"/>
      <c r="Q60" s="599"/>
      <c r="R60" s="599"/>
      <c r="S60" s="599"/>
    </row>
    <row r="61" spans="1:19" ht="12" customHeight="1">
      <c r="A61" s="598"/>
      <c r="B61" s="601"/>
      <c r="C61" s="598"/>
      <c r="D61" s="598"/>
      <c r="E61" s="598"/>
      <c r="F61" s="596" t="str">
        <f>F3</f>
        <v>2016-2017</v>
      </c>
      <c r="G61" s="599"/>
      <c r="H61" s="599"/>
      <c r="I61" s="599"/>
      <c r="J61" s="599"/>
      <c r="K61" s="599"/>
      <c r="L61" s="599"/>
      <c r="M61" s="599"/>
      <c r="N61" s="599"/>
      <c r="O61" s="599"/>
      <c r="P61" s="599"/>
      <c r="Q61" s="599"/>
      <c r="R61" s="599"/>
      <c r="S61" s="599"/>
    </row>
    <row r="62" spans="1:19" ht="12" customHeight="1">
      <c r="A62" s="598"/>
      <c r="B62" s="601"/>
      <c r="C62" s="598"/>
      <c r="D62" s="598"/>
      <c r="E62" s="598"/>
      <c r="F62" s="598"/>
      <c r="G62" s="599"/>
      <c r="H62" s="599"/>
      <c r="I62" s="599"/>
      <c r="J62" s="599"/>
      <c r="K62" s="599"/>
      <c r="L62" s="599"/>
      <c r="M62" s="599"/>
      <c r="N62" s="599"/>
      <c r="O62" s="599"/>
      <c r="P62" s="599"/>
      <c r="Q62" s="599"/>
      <c r="R62" s="599"/>
      <c r="S62" s="599"/>
    </row>
    <row r="63" spans="1:19" ht="12" customHeight="1">
      <c r="A63" s="598"/>
      <c r="B63" s="601"/>
      <c r="C63" s="602" t="s">
        <v>1213</v>
      </c>
      <c r="D63" s="602" t="s">
        <v>1213</v>
      </c>
      <c r="E63" s="602" t="s">
        <v>1213</v>
      </c>
      <c r="F63" s="661"/>
      <c r="G63" s="599"/>
      <c r="H63" s="599"/>
      <c r="I63" s="599"/>
      <c r="J63" s="599"/>
      <c r="K63" s="599"/>
      <c r="L63" s="599"/>
      <c r="M63" s="599"/>
      <c r="N63" s="599"/>
      <c r="O63" s="599"/>
      <c r="P63" s="599"/>
      <c r="Q63" s="599"/>
      <c r="R63" s="599"/>
      <c r="S63" s="599"/>
    </row>
    <row r="64" spans="1:19" ht="12.75" customHeight="1">
      <c r="A64" s="598"/>
      <c r="B64" s="603" t="s">
        <v>1045</v>
      </c>
      <c r="C64" s="604" t="str">
        <f>C6</f>
        <v>2014-2015</v>
      </c>
      <c r="D64" s="604" t="str">
        <f>D6</f>
        <v>2015-2016</v>
      </c>
      <c r="E64" s="604" t="str">
        <f>E6</f>
        <v>2016-2017</v>
      </c>
      <c r="F64" s="661"/>
      <c r="G64" s="599"/>
      <c r="H64" s="599"/>
      <c r="I64" s="599"/>
      <c r="J64" s="599"/>
      <c r="K64" s="599"/>
      <c r="L64" s="599"/>
      <c r="M64" s="599"/>
      <c r="N64" s="599"/>
      <c r="O64" s="599"/>
      <c r="P64" s="599"/>
      <c r="Q64" s="599"/>
      <c r="R64" s="599"/>
      <c r="S64" s="599"/>
    </row>
    <row r="65" spans="1:19" ht="12" customHeight="1">
      <c r="A65" s="2731" t="s">
        <v>57</v>
      </c>
      <c r="B65" s="607">
        <v>10</v>
      </c>
      <c r="C65" s="608" t="s">
        <v>1139</v>
      </c>
      <c r="D65" s="608" t="s">
        <v>1139</v>
      </c>
      <c r="E65" s="608" t="s">
        <v>1215</v>
      </c>
      <c r="F65" s="661"/>
      <c r="G65" s="599"/>
      <c r="H65" s="599"/>
      <c r="I65" s="599"/>
      <c r="J65" s="599"/>
      <c r="K65" s="599"/>
      <c r="L65" s="599"/>
      <c r="M65" s="599"/>
      <c r="N65" s="599"/>
      <c r="O65" s="599"/>
      <c r="P65" s="599"/>
      <c r="Q65" s="599"/>
      <c r="R65" s="599"/>
      <c r="S65" s="599"/>
    </row>
    <row r="66" spans="1:19" ht="12" customHeight="1">
      <c r="A66" s="610"/>
      <c r="B66" s="611" t="s">
        <v>1051</v>
      </c>
      <c r="C66" s="612">
        <v>1</v>
      </c>
      <c r="D66" s="612">
        <v>2</v>
      </c>
      <c r="E66" s="612">
        <v>3</v>
      </c>
      <c r="F66" s="661"/>
      <c r="G66" s="599"/>
      <c r="H66" s="599"/>
      <c r="I66" s="599"/>
      <c r="J66" s="599"/>
      <c r="K66" s="599"/>
      <c r="L66" s="599"/>
      <c r="M66" s="599"/>
      <c r="N66" s="599"/>
      <c r="O66" s="599"/>
      <c r="P66" s="599"/>
      <c r="Q66" s="599"/>
      <c r="R66" s="599"/>
      <c r="S66" s="599"/>
    </row>
    <row r="67" spans="1:19" ht="12" customHeight="1">
      <c r="A67" s="638" t="s">
        <v>1267</v>
      </c>
      <c r="B67" s="637"/>
      <c r="C67" s="641"/>
      <c r="D67" s="624"/>
      <c r="E67" s="641"/>
      <c r="F67" s="625"/>
      <c r="G67" s="599"/>
      <c r="H67" s="599"/>
      <c r="I67" s="599"/>
      <c r="J67" s="599"/>
      <c r="K67" s="599"/>
      <c r="L67" s="599"/>
      <c r="M67" s="599"/>
      <c r="N67" s="599"/>
      <c r="O67" s="599"/>
      <c r="P67" s="599"/>
      <c r="Q67" s="599"/>
      <c r="R67" s="599"/>
      <c r="S67" s="599"/>
    </row>
    <row r="68" spans="1:19" ht="12" customHeight="1">
      <c r="A68" s="622" t="s">
        <v>1268</v>
      </c>
      <c r="B68" s="623"/>
      <c r="C68" s="621"/>
      <c r="D68" s="625"/>
      <c r="E68" s="621"/>
      <c r="F68" s="625"/>
      <c r="G68" s="599"/>
      <c r="H68" s="599"/>
      <c r="I68" s="599"/>
      <c r="J68" s="599"/>
      <c r="K68" s="599"/>
      <c r="L68" s="599"/>
      <c r="M68" s="599"/>
      <c r="N68" s="599"/>
      <c r="O68" s="599"/>
      <c r="P68" s="599"/>
      <c r="Q68" s="599"/>
      <c r="R68" s="599"/>
      <c r="S68" s="599"/>
    </row>
    <row r="69" spans="1:19" ht="12" customHeight="1">
      <c r="A69" s="642" t="s">
        <v>1269</v>
      </c>
      <c r="B69" s="643">
        <v>210</v>
      </c>
      <c r="C69" s="662"/>
      <c r="D69" s="620"/>
      <c r="E69" s="662"/>
      <c r="F69" s="625"/>
      <c r="G69" s="599"/>
      <c r="H69" s="599"/>
      <c r="I69" s="599"/>
      <c r="J69" s="599"/>
      <c r="K69" s="599"/>
      <c r="L69" s="599"/>
      <c r="M69" s="599"/>
      <c r="N69" s="599"/>
      <c r="O69" s="599"/>
      <c r="P69" s="599"/>
      <c r="Q69" s="599"/>
      <c r="R69" s="599"/>
      <c r="S69" s="599"/>
    </row>
    <row r="70" spans="1:19" ht="12" customHeight="1">
      <c r="A70" s="613" t="s">
        <v>58</v>
      </c>
      <c r="B70" s="614">
        <v>215</v>
      </c>
      <c r="C70" s="635"/>
      <c r="D70" s="615"/>
      <c r="E70" s="635"/>
      <c r="F70" s="625"/>
      <c r="G70" s="599"/>
      <c r="H70" s="599"/>
      <c r="I70" s="599"/>
      <c r="J70" s="599"/>
      <c r="K70" s="599"/>
      <c r="L70" s="599"/>
      <c r="M70" s="599"/>
      <c r="N70" s="599"/>
      <c r="O70" s="599"/>
      <c r="P70" s="599"/>
      <c r="Q70" s="599"/>
      <c r="R70" s="599"/>
      <c r="S70" s="599"/>
    </row>
    <row r="71" spans="1:19" ht="12" customHeight="1">
      <c r="A71" s="622" t="s">
        <v>1271</v>
      </c>
      <c r="B71" s="623"/>
      <c r="C71" s="621"/>
      <c r="D71" s="625"/>
      <c r="E71" s="621"/>
      <c r="F71" s="625"/>
      <c r="G71" s="599"/>
      <c r="H71" s="599"/>
      <c r="I71" s="599"/>
      <c r="J71" s="599"/>
      <c r="K71" s="599"/>
      <c r="L71" s="599"/>
      <c r="M71" s="599"/>
      <c r="N71" s="599"/>
      <c r="O71" s="599"/>
      <c r="P71" s="599"/>
      <c r="Q71" s="599"/>
      <c r="R71" s="599"/>
      <c r="S71" s="599"/>
    </row>
    <row r="72" spans="1:19" ht="12" customHeight="1">
      <c r="A72" s="618" t="s">
        <v>1272</v>
      </c>
      <c r="B72" s="619">
        <v>220</v>
      </c>
      <c r="C72" s="662"/>
      <c r="D72" s="620"/>
      <c r="E72" s="662"/>
      <c r="F72" s="625"/>
      <c r="G72" s="599"/>
      <c r="H72" s="599"/>
      <c r="I72" s="599"/>
      <c r="J72" s="599"/>
      <c r="K72" s="599"/>
      <c r="L72" s="599"/>
      <c r="M72" s="599"/>
      <c r="N72" s="599"/>
      <c r="O72" s="599"/>
      <c r="P72" s="599"/>
      <c r="Q72" s="599"/>
      <c r="R72" s="599"/>
      <c r="S72" s="599"/>
    </row>
    <row r="73" spans="1:19" ht="12" customHeight="1">
      <c r="A73" s="613" t="s">
        <v>1273</v>
      </c>
      <c r="B73" s="614">
        <v>225</v>
      </c>
      <c r="C73" s="635"/>
      <c r="D73" s="615"/>
      <c r="E73" s="635"/>
      <c r="F73" s="625"/>
      <c r="G73" s="599"/>
      <c r="H73" s="599"/>
      <c r="I73" s="599"/>
      <c r="J73" s="599"/>
      <c r="K73" s="599"/>
      <c r="L73" s="599"/>
      <c r="M73" s="599"/>
      <c r="N73" s="599"/>
      <c r="O73" s="599"/>
      <c r="P73" s="599"/>
      <c r="Q73" s="599"/>
      <c r="R73" s="599"/>
      <c r="S73" s="599"/>
    </row>
    <row r="74" spans="1:19" ht="12" customHeight="1">
      <c r="A74" s="618" t="s">
        <v>1276</v>
      </c>
      <c r="B74" s="619">
        <v>230</v>
      </c>
      <c r="C74" s="662"/>
      <c r="D74" s="620"/>
      <c r="E74" s="662"/>
      <c r="F74" s="625"/>
      <c r="G74" s="599"/>
      <c r="H74" s="599"/>
      <c r="I74" s="599"/>
      <c r="J74" s="599"/>
      <c r="K74" s="599"/>
      <c r="L74" s="599"/>
      <c r="M74" s="599"/>
      <c r="N74" s="599"/>
      <c r="O74" s="599"/>
      <c r="P74" s="599"/>
      <c r="Q74" s="599"/>
      <c r="R74" s="599"/>
      <c r="S74" s="599"/>
    </row>
    <row r="75" spans="1:19" ht="12" customHeight="1">
      <c r="A75" s="638" t="s">
        <v>59</v>
      </c>
      <c r="B75" s="637">
        <v>235</v>
      </c>
      <c r="C75" s="2462"/>
      <c r="D75" s="663"/>
      <c r="E75" s="2462"/>
      <c r="F75" s="625"/>
      <c r="G75" s="599"/>
      <c r="H75" s="599"/>
      <c r="I75" s="599"/>
      <c r="J75" s="599"/>
      <c r="K75" s="599"/>
      <c r="L75" s="599"/>
      <c r="M75" s="599"/>
      <c r="N75" s="599"/>
      <c r="O75" s="599"/>
      <c r="P75" s="599"/>
      <c r="Q75" s="599"/>
      <c r="R75" s="599"/>
      <c r="S75" s="599"/>
    </row>
    <row r="76" spans="1:19" ht="12" customHeight="1">
      <c r="A76" s="2914" t="s">
        <v>711</v>
      </c>
      <c r="B76" s="2915">
        <v>237</v>
      </c>
      <c r="C76" s="2462"/>
      <c r="D76" s="663"/>
      <c r="E76" s="2462"/>
      <c r="F76" s="625"/>
      <c r="G76" s="599"/>
      <c r="H76" s="599"/>
      <c r="I76" s="599"/>
      <c r="J76" s="599"/>
      <c r="K76" s="599"/>
      <c r="L76" s="599"/>
      <c r="M76" s="599"/>
      <c r="N76" s="599"/>
      <c r="O76" s="599"/>
      <c r="P76" s="599"/>
      <c r="Q76" s="599"/>
      <c r="R76" s="599"/>
      <c r="S76" s="599"/>
    </row>
    <row r="77" spans="1:19" ht="12" customHeight="1">
      <c r="A77" s="638" t="s">
        <v>1282</v>
      </c>
      <c r="B77" s="637"/>
      <c r="C77" s="641"/>
      <c r="D77" s="624"/>
      <c r="E77" s="641"/>
      <c r="F77" s="625"/>
      <c r="G77" s="599"/>
      <c r="H77" s="599"/>
      <c r="I77" s="599"/>
      <c r="J77" s="599"/>
      <c r="K77" s="599"/>
      <c r="L77" s="599"/>
      <c r="M77" s="599"/>
      <c r="N77" s="599"/>
      <c r="O77" s="599"/>
      <c r="P77" s="599"/>
      <c r="Q77" s="599"/>
      <c r="R77" s="599"/>
      <c r="S77" s="599"/>
    </row>
    <row r="78" spans="1:19" ht="12" customHeight="1">
      <c r="A78" s="618" t="s">
        <v>1283</v>
      </c>
      <c r="B78" s="619">
        <v>240</v>
      </c>
      <c r="C78" s="662"/>
      <c r="D78" s="620"/>
      <c r="E78" s="662"/>
      <c r="F78" s="625"/>
      <c r="G78" s="599"/>
      <c r="H78" s="599"/>
      <c r="I78" s="599"/>
      <c r="J78" s="599"/>
      <c r="K78" s="599"/>
      <c r="L78" s="599"/>
      <c r="M78" s="599"/>
      <c r="N78" s="599"/>
      <c r="O78" s="599"/>
      <c r="P78" s="599"/>
      <c r="Q78" s="599"/>
      <c r="R78" s="599"/>
      <c r="S78" s="599"/>
    </row>
    <row r="79" spans="1:19" ht="12" customHeight="1">
      <c r="A79" s="638" t="s">
        <v>1287</v>
      </c>
      <c r="B79" s="637">
        <v>245</v>
      </c>
      <c r="C79" s="2462"/>
      <c r="D79" s="663"/>
      <c r="E79" s="2462"/>
      <c r="F79" s="625"/>
      <c r="G79" s="599"/>
      <c r="H79" s="599"/>
      <c r="I79" s="599"/>
      <c r="J79" s="599"/>
      <c r="K79" s="599"/>
      <c r="L79" s="599"/>
      <c r="M79" s="599"/>
      <c r="N79" s="599"/>
      <c r="O79" s="599"/>
      <c r="P79" s="599"/>
      <c r="Q79" s="599"/>
      <c r="R79" s="599"/>
      <c r="S79" s="599"/>
    </row>
    <row r="80" spans="1:19" ht="12" customHeight="1">
      <c r="A80" s="638" t="s">
        <v>1288</v>
      </c>
      <c r="B80" s="637"/>
      <c r="C80" s="641"/>
      <c r="D80" s="624"/>
      <c r="E80" s="641"/>
      <c r="F80" s="625"/>
      <c r="G80" s="599"/>
      <c r="H80" s="599"/>
      <c r="I80" s="599"/>
      <c r="J80" s="599"/>
      <c r="K80" s="599"/>
      <c r="L80" s="599"/>
      <c r="M80" s="599"/>
      <c r="N80" s="599"/>
      <c r="O80" s="599"/>
      <c r="P80" s="599"/>
      <c r="Q80" s="599"/>
      <c r="R80" s="599"/>
      <c r="S80" s="599"/>
    </row>
    <row r="81" spans="1:19" ht="12" customHeight="1">
      <c r="A81" s="618" t="s">
        <v>1434</v>
      </c>
      <c r="B81" s="619">
        <v>250</v>
      </c>
      <c r="C81" s="662"/>
      <c r="D81" s="620"/>
      <c r="E81" s="662"/>
      <c r="F81" s="625"/>
      <c r="G81" s="599"/>
      <c r="H81" s="599"/>
      <c r="I81" s="599"/>
      <c r="J81" s="599"/>
      <c r="K81" s="599"/>
      <c r="L81" s="599"/>
      <c r="M81" s="599"/>
      <c r="N81" s="599"/>
      <c r="O81" s="599"/>
      <c r="P81" s="599"/>
      <c r="Q81" s="599"/>
      <c r="R81" s="599"/>
      <c r="S81" s="599"/>
    </row>
    <row r="82" spans="1:19" ht="12" customHeight="1">
      <c r="A82" s="618" t="s">
        <v>1290</v>
      </c>
      <c r="B82" s="619">
        <v>255</v>
      </c>
      <c r="C82" s="662"/>
      <c r="D82" s="620"/>
      <c r="E82" s="662"/>
      <c r="F82" s="625"/>
      <c r="G82" s="599"/>
      <c r="H82" s="599"/>
      <c r="I82" s="599"/>
      <c r="J82" s="599"/>
      <c r="K82" s="599"/>
      <c r="L82" s="599"/>
      <c r="M82" s="599"/>
      <c r="N82" s="599"/>
      <c r="O82" s="599"/>
      <c r="P82" s="599"/>
      <c r="Q82" s="599"/>
      <c r="R82" s="599"/>
      <c r="S82" s="599"/>
    </row>
    <row r="83" spans="1:19" ht="12" customHeight="1">
      <c r="A83" s="2916" t="s">
        <v>1256</v>
      </c>
      <c r="B83" s="2917">
        <v>257</v>
      </c>
      <c r="C83" s="662"/>
      <c r="D83" s="620"/>
      <c r="E83" s="662"/>
      <c r="F83" s="625"/>
      <c r="G83" s="599"/>
      <c r="H83" s="599"/>
      <c r="I83" s="599"/>
      <c r="J83" s="599"/>
      <c r="K83" s="599"/>
      <c r="L83" s="599"/>
      <c r="M83" s="599"/>
      <c r="N83" s="599"/>
      <c r="O83" s="599"/>
      <c r="P83" s="599"/>
      <c r="Q83" s="599"/>
      <c r="R83" s="599"/>
      <c r="S83" s="599"/>
    </row>
    <row r="84" spans="1:19" ht="12" customHeight="1">
      <c r="A84" s="613" t="s">
        <v>1291</v>
      </c>
      <c r="B84" s="614">
        <v>260</v>
      </c>
      <c r="C84" s="635"/>
      <c r="D84" s="615"/>
      <c r="E84" s="635"/>
      <c r="F84" s="625"/>
      <c r="G84" s="599"/>
      <c r="H84" s="599"/>
      <c r="I84" s="599"/>
      <c r="J84" s="599"/>
      <c r="K84" s="599"/>
      <c r="L84" s="599"/>
      <c r="M84" s="599"/>
      <c r="N84" s="599"/>
      <c r="O84" s="599"/>
      <c r="P84" s="599"/>
      <c r="Q84" s="599"/>
      <c r="R84" s="599"/>
      <c r="S84" s="599"/>
    </row>
    <row r="85" spans="1:19" ht="12" customHeight="1">
      <c r="A85" s="618" t="s">
        <v>1292</v>
      </c>
      <c r="B85" s="619">
        <v>265</v>
      </c>
      <c r="C85" s="662"/>
      <c r="D85" s="620"/>
      <c r="E85" s="662"/>
      <c r="F85" s="625"/>
      <c r="G85" s="599"/>
      <c r="H85" s="599"/>
      <c r="I85" s="599"/>
      <c r="J85" s="599"/>
      <c r="K85" s="599"/>
      <c r="L85" s="599"/>
      <c r="M85" s="599"/>
      <c r="N85" s="599"/>
      <c r="O85" s="599"/>
      <c r="P85" s="599"/>
      <c r="Q85" s="599"/>
      <c r="R85" s="599"/>
      <c r="S85" s="599"/>
    </row>
    <row r="86" spans="1:19" ht="12" customHeight="1">
      <c r="A86" s="613" t="s">
        <v>1293</v>
      </c>
      <c r="B86" s="614">
        <v>270</v>
      </c>
      <c r="C86" s="635"/>
      <c r="D86" s="615"/>
      <c r="E86" s="635"/>
      <c r="F86" s="625"/>
      <c r="G86" s="599"/>
      <c r="H86" s="599"/>
      <c r="I86" s="599"/>
      <c r="J86" s="599"/>
      <c r="K86" s="599"/>
      <c r="L86" s="599"/>
      <c r="M86" s="599"/>
      <c r="N86" s="599"/>
      <c r="O86" s="599"/>
      <c r="P86" s="599"/>
      <c r="Q86" s="599"/>
      <c r="R86" s="599"/>
      <c r="S86" s="599"/>
    </row>
    <row r="87" spans="1:19" ht="12" customHeight="1">
      <c r="A87" s="638" t="s">
        <v>1294</v>
      </c>
      <c r="B87" s="637"/>
      <c r="C87" s="641"/>
      <c r="D87" s="624"/>
      <c r="E87" s="641"/>
      <c r="F87" s="625"/>
      <c r="G87" s="599"/>
      <c r="H87" s="599"/>
      <c r="I87" s="599"/>
      <c r="J87" s="599"/>
      <c r="K87" s="599"/>
      <c r="L87" s="599"/>
      <c r="M87" s="599"/>
      <c r="N87" s="599"/>
      <c r="O87" s="599"/>
      <c r="P87" s="599"/>
      <c r="Q87" s="599"/>
      <c r="R87" s="599"/>
      <c r="S87" s="599"/>
    </row>
    <row r="88" spans="1:19" ht="12" customHeight="1">
      <c r="A88" s="664" t="s">
        <v>1295</v>
      </c>
      <c r="B88" s="627"/>
      <c r="C88" s="621"/>
      <c r="D88" s="625"/>
      <c r="E88" s="621"/>
      <c r="F88" s="625"/>
      <c r="G88" s="599"/>
      <c r="H88" s="599"/>
      <c r="I88" s="599"/>
      <c r="J88" s="599"/>
      <c r="K88" s="599"/>
      <c r="L88" s="599"/>
      <c r="M88" s="599"/>
      <c r="N88" s="599"/>
      <c r="O88" s="599"/>
      <c r="P88" s="599"/>
      <c r="Q88" s="599"/>
      <c r="R88" s="599"/>
      <c r="S88" s="599"/>
    </row>
    <row r="89" spans="1:19" ht="12" customHeight="1">
      <c r="A89" s="664" t="s">
        <v>1268</v>
      </c>
      <c r="B89" s="627"/>
      <c r="C89" s="621"/>
      <c r="D89" s="625"/>
      <c r="E89" s="621"/>
      <c r="F89" s="625"/>
      <c r="G89" s="599"/>
      <c r="H89" s="599"/>
      <c r="I89" s="599"/>
      <c r="J89" s="599"/>
      <c r="K89" s="599"/>
      <c r="L89" s="599"/>
      <c r="M89" s="599"/>
      <c r="N89" s="599"/>
      <c r="O89" s="599"/>
      <c r="P89" s="599"/>
      <c r="Q89" s="599"/>
      <c r="R89" s="599"/>
      <c r="S89" s="599"/>
    </row>
    <row r="90" spans="1:19" ht="12" customHeight="1">
      <c r="A90" s="642" t="s">
        <v>1269</v>
      </c>
      <c r="B90" s="643">
        <v>275</v>
      </c>
      <c r="C90" s="662"/>
      <c r="D90" s="620"/>
      <c r="E90" s="662"/>
      <c r="F90" s="625"/>
      <c r="G90" s="599"/>
      <c r="H90" s="599"/>
      <c r="I90" s="599"/>
      <c r="J90" s="599"/>
      <c r="K90" s="599"/>
      <c r="L90" s="599"/>
      <c r="M90" s="599"/>
      <c r="N90" s="599"/>
      <c r="O90" s="599"/>
      <c r="P90" s="599"/>
      <c r="Q90" s="599"/>
      <c r="R90" s="599"/>
      <c r="S90" s="599"/>
    </row>
    <row r="91" spans="1:19" ht="12" customHeight="1">
      <c r="A91" s="644" t="s">
        <v>58</v>
      </c>
      <c r="B91" s="645">
        <v>280</v>
      </c>
      <c r="C91" s="635"/>
      <c r="D91" s="615"/>
      <c r="E91" s="635"/>
      <c r="F91" s="625"/>
      <c r="G91" s="599"/>
      <c r="H91" s="599"/>
      <c r="I91" s="599"/>
      <c r="J91" s="599"/>
      <c r="K91" s="599"/>
      <c r="L91" s="599"/>
      <c r="M91" s="599"/>
      <c r="N91" s="599"/>
      <c r="O91" s="599"/>
      <c r="P91" s="599"/>
      <c r="Q91" s="599"/>
      <c r="R91" s="599"/>
      <c r="S91" s="599"/>
    </row>
    <row r="92" spans="1:19" ht="12" customHeight="1">
      <c r="A92" s="646" t="s">
        <v>1271</v>
      </c>
      <c r="B92" s="647"/>
      <c r="C92" s="641"/>
      <c r="D92" s="624"/>
      <c r="E92" s="641"/>
      <c r="F92" s="625"/>
      <c r="G92" s="599"/>
      <c r="H92" s="599"/>
      <c r="I92" s="599"/>
      <c r="J92" s="599"/>
      <c r="K92" s="599"/>
      <c r="L92" s="599"/>
      <c r="M92" s="599"/>
      <c r="N92" s="599"/>
      <c r="O92" s="599"/>
      <c r="P92" s="599"/>
      <c r="Q92" s="599"/>
      <c r="R92" s="599"/>
      <c r="S92" s="599"/>
    </row>
    <row r="93" spans="1:19" ht="12" customHeight="1">
      <c r="A93" s="642" t="s">
        <v>1272</v>
      </c>
      <c r="B93" s="643">
        <v>285</v>
      </c>
      <c r="C93" s="662"/>
      <c r="D93" s="620"/>
      <c r="E93" s="662"/>
      <c r="F93" s="625"/>
      <c r="G93" s="599"/>
      <c r="H93" s="599"/>
      <c r="I93" s="599"/>
      <c r="J93" s="599"/>
      <c r="K93" s="599"/>
      <c r="L93" s="599"/>
      <c r="M93" s="599"/>
      <c r="N93" s="599"/>
      <c r="O93" s="599"/>
      <c r="P93" s="599"/>
      <c r="Q93" s="599"/>
      <c r="R93" s="599"/>
      <c r="S93" s="599"/>
    </row>
    <row r="94" spans="1:19" ht="12" customHeight="1">
      <c r="A94" s="644" t="s">
        <v>1273</v>
      </c>
      <c r="B94" s="645">
        <v>290</v>
      </c>
      <c r="C94" s="635"/>
      <c r="D94" s="615"/>
      <c r="E94" s="635"/>
      <c r="F94" s="625"/>
      <c r="G94" s="599"/>
      <c r="H94" s="599"/>
      <c r="I94" s="599"/>
      <c r="J94" s="599"/>
      <c r="K94" s="599"/>
      <c r="L94" s="599"/>
      <c r="M94" s="599"/>
      <c r="N94" s="599"/>
      <c r="O94" s="599"/>
      <c r="P94" s="599"/>
      <c r="Q94" s="599"/>
      <c r="R94" s="599"/>
      <c r="S94" s="599"/>
    </row>
    <row r="95" spans="1:19" ht="12" customHeight="1">
      <c r="A95" s="644" t="s">
        <v>1276</v>
      </c>
      <c r="B95" s="645">
        <v>295</v>
      </c>
      <c r="C95" s="635"/>
      <c r="D95" s="615"/>
      <c r="E95" s="635"/>
      <c r="F95" s="625"/>
      <c r="G95" s="599"/>
      <c r="H95" s="599"/>
      <c r="I95" s="599"/>
      <c r="J95" s="599"/>
      <c r="K95" s="599"/>
      <c r="L95" s="599"/>
      <c r="M95" s="599"/>
      <c r="N95" s="599"/>
      <c r="O95" s="599"/>
      <c r="P95" s="599"/>
      <c r="Q95" s="599"/>
      <c r="R95" s="599"/>
      <c r="S95" s="599"/>
    </row>
    <row r="96" spans="1:19" ht="12" customHeight="1">
      <c r="A96" s="644" t="s">
        <v>60</v>
      </c>
      <c r="B96" s="645">
        <v>300</v>
      </c>
      <c r="C96" s="635"/>
      <c r="D96" s="615"/>
      <c r="E96" s="635"/>
      <c r="F96" s="625"/>
      <c r="G96" s="599"/>
      <c r="H96" s="599"/>
      <c r="I96" s="599"/>
      <c r="J96" s="599"/>
      <c r="K96" s="599"/>
      <c r="L96" s="599"/>
      <c r="M96" s="599"/>
      <c r="N96" s="599"/>
      <c r="O96" s="599"/>
      <c r="P96" s="599"/>
      <c r="Q96" s="599"/>
      <c r="R96" s="599"/>
      <c r="S96" s="599"/>
    </row>
    <row r="97" spans="1:19" ht="12" customHeight="1">
      <c r="A97" s="648" t="s">
        <v>711</v>
      </c>
      <c r="B97" s="649">
        <v>303</v>
      </c>
      <c r="C97" s="635"/>
      <c r="D97" s="615"/>
      <c r="E97" s="635"/>
      <c r="F97" s="625"/>
      <c r="G97" s="599"/>
      <c r="H97" s="599"/>
      <c r="I97" s="599"/>
      <c r="J97" s="599"/>
      <c r="K97" s="599"/>
      <c r="L97" s="599"/>
      <c r="M97" s="599"/>
      <c r="N97" s="599"/>
      <c r="O97" s="599"/>
      <c r="P97" s="599"/>
      <c r="Q97" s="599"/>
      <c r="R97" s="599"/>
      <c r="S97" s="599"/>
    </row>
    <row r="98" spans="1:19" ht="12" customHeight="1">
      <c r="A98" s="664" t="s">
        <v>1282</v>
      </c>
      <c r="B98" s="627">
        <v>305</v>
      </c>
      <c r="C98" s="2457"/>
      <c r="D98" s="634"/>
      <c r="E98" s="2457"/>
      <c r="F98" s="625"/>
      <c r="G98" s="599"/>
      <c r="H98" s="599"/>
      <c r="I98" s="599"/>
      <c r="J98" s="599"/>
      <c r="K98" s="599"/>
      <c r="L98" s="599"/>
      <c r="M98" s="599"/>
      <c r="N98" s="599"/>
      <c r="O98" s="599"/>
      <c r="P98" s="599"/>
      <c r="Q98" s="599"/>
      <c r="R98" s="599"/>
      <c r="S98" s="599"/>
    </row>
    <row r="99" spans="1:19" ht="12" customHeight="1">
      <c r="A99" s="644" t="s">
        <v>1288</v>
      </c>
      <c r="B99" s="645">
        <v>310</v>
      </c>
      <c r="C99" s="635"/>
      <c r="D99" s="615"/>
      <c r="E99" s="635"/>
      <c r="F99" s="625"/>
      <c r="G99" s="599"/>
      <c r="H99" s="599"/>
      <c r="I99" s="599"/>
      <c r="J99" s="599"/>
      <c r="K99" s="599"/>
      <c r="L99" s="599"/>
      <c r="M99" s="599"/>
      <c r="N99" s="599"/>
      <c r="O99" s="599"/>
      <c r="P99" s="599"/>
      <c r="Q99" s="599"/>
      <c r="R99" s="599"/>
      <c r="S99" s="599"/>
    </row>
    <row r="100" spans="1:19" ht="12" customHeight="1">
      <c r="A100" s="644" t="s">
        <v>1292</v>
      </c>
      <c r="B100" s="645">
        <v>315</v>
      </c>
      <c r="C100" s="635"/>
      <c r="D100" s="615"/>
      <c r="E100" s="635"/>
      <c r="F100" s="625"/>
      <c r="G100" s="599"/>
      <c r="H100" s="599"/>
      <c r="I100" s="599"/>
      <c r="J100" s="599"/>
      <c r="K100" s="599"/>
      <c r="L100" s="599"/>
      <c r="M100" s="599"/>
      <c r="N100" s="599"/>
      <c r="O100" s="599"/>
      <c r="P100" s="599"/>
      <c r="Q100" s="599"/>
      <c r="R100" s="599"/>
      <c r="S100" s="599"/>
    </row>
    <row r="101" spans="1:19" ht="12" customHeight="1">
      <c r="A101" s="644" t="s">
        <v>1293</v>
      </c>
      <c r="B101" s="645">
        <v>320</v>
      </c>
      <c r="C101" s="635"/>
      <c r="D101" s="615"/>
      <c r="E101" s="635"/>
      <c r="F101" s="625"/>
      <c r="G101" s="599"/>
      <c r="H101" s="599"/>
      <c r="I101" s="599"/>
      <c r="J101" s="599"/>
      <c r="K101" s="599"/>
      <c r="L101" s="599"/>
      <c r="M101" s="599"/>
      <c r="N101" s="599"/>
      <c r="O101" s="599"/>
      <c r="P101" s="599"/>
      <c r="Q101" s="599"/>
      <c r="R101" s="599"/>
      <c r="S101" s="599"/>
    </row>
    <row r="102" spans="1:19" ht="12" customHeight="1">
      <c r="A102" s="646" t="s">
        <v>61</v>
      </c>
      <c r="B102" s="647"/>
      <c r="C102" s="641"/>
      <c r="D102" s="624"/>
      <c r="E102" s="641"/>
      <c r="F102" s="625"/>
      <c r="G102" s="599"/>
      <c r="H102" s="599"/>
      <c r="I102" s="599"/>
      <c r="J102" s="599"/>
      <c r="K102" s="599"/>
      <c r="L102" s="599"/>
      <c r="M102" s="599"/>
      <c r="N102" s="599"/>
      <c r="O102" s="599"/>
      <c r="P102" s="599"/>
      <c r="Q102" s="599"/>
      <c r="R102" s="599"/>
      <c r="S102" s="599"/>
    </row>
    <row r="103" spans="1:19" ht="12" customHeight="1">
      <c r="A103" s="664" t="s">
        <v>1268</v>
      </c>
      <c r="B103" s="627"/>
      <c r="C103" s="621"/>
      <c r="D103" s="625"/>
      <c r="E103" s="621"/>
      <c r="F103" s="625"/>
      <c r="G103" s="599"/>
      <c r="H103" s="599"/>
      <c r="I103" s="599"/>
      <c r="J103" s="599"/>
      <c r="K103" s="599"/>
      <c r="L103" s="599"/>
      <c r="M103" s="599"/>
      <c r="N103" s="599"/>
      <c r="O103" s="599"/>
      <c r="P103" s="599"/>
      <c r="Q103" s="599"/>
      <c r="R103" s="599"/>
      <c r="S103" s="599"/>
    </row>
    <row r="104" spans="1:19" ht="12" customHeight="1">
      <c r="A104" s="642" t="s">
        <v>1269</v>
      </c>
      <c r="B104" s="643">
        <v>325</v>
      </c>
      <c r="C104" s="662"/>
      <c r="D104" s="620"/>
      <c r="E104" s="662"/>
      <c r="F104" s="625"/>
      <c r="G104" s="599"/>
      <c r="H104" s="599"/>
      <c r="I104" s="599"/>
      <c r="J104" s="599"/>
      <c r="K104" s="599"/>
      <c r="L104" s="599"/>
      <c r="M104" s="599"/>
      <c r="N104" s="599"/>
      <c r="O104" s="599"/>
      <c r="P104" s="599"/>
      <c r="Q104" s="599"/>
      <c r="R104" s="599"/>
      <c r="S104" s="599"/>
    </row>
    <row r="105" spans="1:19" ht="12" customHeight="1">
      <c r="A105" s="644" t="s">
        <v>58</v>
      </c>
      <c r="B105" s="645">
        <v>330</v>
      </c>
      <c r="C105" s="635"/>
      <c r="D105" s="615"/>
      <c r="E105" s="635"/>
      <c r="F105" s="625"/>
      <c r="G105" s="599"/>
      <c r="H105" s="599"/>
      <c r="I105" s="599"/>
      <c r="J105" s="599"/>
      <c r="K105" s="599"/>
      <c r="L105" s="599"/>
      <c r="M105" s="599"/>
      <c r="N105" s="599"/>
      <c r="O105" s="599"/>
      <c r="P105" s="599"/>
      <c r="Q105" s="599"/>
      <c r="R105" s="599"/>
      <c r="S105" s="599"/>
    </row>
    <row r="106" spans="1:19" ht="12" customHeight="1">
      <c r="A106" s="646" t="s">
        <v>1271</v>
      </c>
      <c r="B106" s="647"/>
      <c r="C106" s="641"/>
      <c r="D106" s="624"/>
      <c r="E106" s="641"/>
      <c r="F106" s="625"/>
      <c r="G106" s="599"/>
      <c r="H106" s="599"/>
      <c r="I106" s="599"/>
      <c r="J106" s="599"/>
      <c r="K106" s="599"/>
      <c r="L106" s="599"/>
      <c r="M106" s="599"/>
      <c r="N106" s="599"/>
      <c r="O106" s="599"/>
      <c r="P106" s="599"/>
      <c r="Q106" s="599"/>
      <c r="R106" s="599"/>
      <c r="S106" s="599"/>
    </row>
    <row r="107" spans="1:19" ht="12" customHeight="1">
      <c r="A107" s="642" t="s">
        <v>1272</v>
      </c>
      <c r="B107" s="643">
        <v>335</v>
      </c>
      <c r="C107" s="662"/>
      <c r="D107" s="620"/>
      <c r="E107" s="662"/>
      <c r="F107" s="625"/>
      <c r="G107" s="599"/>
      <c r="H107" s="599"/>
      <c r="I107" s="599"/>
      <c r="J107" s="599"/>
      <c r="K107" s="599"/>
      <c r="L107" s="599"/>
      <c r="M107" s="599"/>
      <c r="N107" s="599"/>
      <c r="O107" s="599"/>
      <c r="P107" s="599"/>
      <c r="Q107" s="599"/>
      <c r="R107" s="599"/>
      <c r="S107" s="599"/>
    </row>
    <row r="108" spans="1:19" ht="12" customHeight="1">
      <c r="A108" s="644" t="s">
        <v>1273</v>
      </c>
      <c r="B108" s="645">
        <v>340</v>
      </c>
      <c r="C108" s="635"/>
      <c r="D108" s="615"/>
      <c r="E108" s="635"/>
      <c r="F108" s="625"/>
      <c r="G108" s="599"/>
      <c r="H108" s="599"/>
      <c r="I108" s="599"/>
      <c r="J108" s="599"/>
      <c r="K108" s="599"/>
      <c r="L108" s="599"/>
      <c r="M108" s="599"/>
      <c r="N108" s="599"/>
      <c r="O108" s="599"/>
      <c r="P108" s="599"/>
      <c r="Q108" s="599"/>
      <c r="R108" s="599"/>
      <c r="S108" s="599"/>
    </row>
    <row r="109" spans="1:19" ht="12" customHeight="1">
      <c r="A109" s="644" t="s">
        <v>1276</v>
      </c>
      <c r="B109" s="645">
        <v>345</v>
      </c>
      <c r="C109" s="635"/>
      <c r="D109" s="615"/>
      <c r="E109" s="635"/>
      <c r="F109" s="625"/>
      <c r="G109" s="599"/>
      <c r="H109" s="599"/>
      <c r="I109" s="599"/>
      <c r="J109" s="599"/>
      <c r="K109" s="599"/>
      <c r="L109" s="599"/>
      <c r="M109" s="599"/>
      <c r="N109" s="599"/>
      <c r="O109" s="599"/>
      <c r="P109" s="599"/>
      <c r="Q109" s="599"/>
      <c r="R109" s="599"/>
      <c r="S109" s="599"/>
    </row>
    <row r="110" spans="1:19" ht="12" customHeight="1">
      <c r="A110" s="644" t="s">
        <v>62</v>
      </c>
      <c r="B110" s="645">
        <v>350</v>
      </c>
      <c r="C110" s="635"/>
      <c r="D110" s="615"/>
      <c r="E110" s="635"/>
      <c r="F110" s="625"/>
      <c r="G110" s="599"/>
      <c r="H110" s="599"/>
      <c r="I110" s="599"/>
      <c r="J110" s="599"/>
      <c r="K110" s="599"/>
      <c r="L110" s="599"/>
      <c r="M110" s="599"/>
      <c r="N110" s="599"/>
      <c r="O110" s="599"/>
      <c r="P110" s="599"/>
      <c r="Q110" s="599"/>
      <c r="R110" s="599"/>
      <c r="S110" s="599"/>
    </row>
    <row r="111" spans="1:19" ht="12" customHeight="1">
      <c r="A111" s="648" t="s">
        <v>711</v>
      </c>
      <c r="B111" s="649">
        <v>353</v>
      </c>
      <c r="C111" s="635"/>
      <c r="D111" s="615"/>
      <c r="E111" s="635"/>
      <c r="F111" s="625"/>
      <c r="G111" s="599"/>
      <c r="H111" s="599"/>
      <c r="I111" s="599"/>
      <c r="J111" s="599"/>
      <c r="K111" s="599"/>
      <c r="L111" s="599"/>
      <c r="M111" s="599"/>
      <c r="N111" s="599"/>
      <c r="O111" s="599"/>
      <c r="P111" s="599"/>
      <c r="Q111" s="599"/>
      <c r="R111" s="599"/>
      <c r="S111" s="599"/>
    </row>
    <row r="112" spans="1:19" ht="12" customHeight="1">
      <c r="A112" s="644" t="s">
        <v>1282</v>
      </c>
      <c r="B112" s="645">
        <v>355</v>
      </c>
      <c r="C112" s="635"/>
      <c r="D112" s="615"/>
      <c r="E112" s="635"/>
      <c r="F112" s="625"/>
      <c r="G112" s="599"/>
      <c r="H112" s="599"/>
      <c r="I112" s="599"/>
      <c r="J112" s="599"/>
      <c r="K112" s="599"/>
      <c r="L112" s="599"/>
      <c r="M112" s="599"/>
      <c r="N112" s="599"/>
      <c r="O112" s="599"/>
      <c r="P112" s="599"/>
      <c r="Q112" s="599"/>
      <c r="R112" s="599"/>
      <c r="S112" s="599"/>
    </row>
    <row r="113" spans="1:19" ht="12" customHeight="1">
      <c r="A113" s="646" t="s">
        <v>1288</v>
      </c>
      <c r="B113" s="647"/>
      <c r="C113" s="641"/>
      <c r="D113" s="624"/>
      <c r="E113" s="641"/>
      <c r="F113" s="625"/>
      <c r="G113" s="599"/>
      <c r="H113" s="599"/>
      <c r="I113" s="599"/>
      <c r="J113" s="599"/>
      <c r="K113" s="599"/>
      <c r="L113" s="599"/>
      <c r="M113" s="599"/>
      <c r="N113" s="599"/>
      <c r="O113" s="599"/>
      <c r="P113" s="599"/>
      <c r="Q113" s="599"/>
      <c r="R113" s="599"/>
      <c r="S113" s="599"/>
    </row>
    <row r="114" spans="1:19" ht="12" customHeight="1">
      <c r="A114" s="642" t="s">
        <v>64</v>
      </c>
      <c r="B114" s="643">
        <v>360</v>
      </c>
      <c r="C114" s="662"/>
      <c r="D114" s="620"/>
      <c r="E114" s="662"/>
      <c r="F114" s="625"/>
      <c r="G114" s="599"/>
      <c r="H114" s="599"/>
      <c r="I114" s="599"/>
      <c r="J114" s="599"/>
      <c r="K114" s="599"/>
      <c r="L114" s="599"/>
      <c r="M114" s="599"/>
      <c r="N114" s="599"/>
      <c r="O114" s="599"/>
      <c r="P114" s="599"/>
      <c r="Q114" s="599"/>
      <c r="R114" s="599"/>
      <c r="S114" s="599"/>
    </row>
    <row r="115" spans="1:19" ht="12" customHeight="1">
      <c r="A115" s="644" t="s">
        <v>795</v>
      </c>
      <c r="B115" s="645">
        <v>365</v>
      </c>
      <c r="C115" s="635"/>
      <c r="D115" s="615"/>
      <c r="E115" s="635"/>
      <c r="F115" s="625"/>
      <c r="G115" s="599"/>
      <c r="H115" s="599"/>
      <c r="I115" s="599"/>
      <c r="J115" s="599"/>
      <c r="K115" s="599"/>
      <c r="L115" s="599"/>
      <c r="M115" s="599"/>
      <c r="N115" s="599"/>
      <c r="O115" s="599"/>
      <c r="P115" s="599"/>
      <c r="Q115" s="599"/>
      <c r="R115" s="599"/>
      <c r="S115" s="599"/>
    </row>
    <row r="116" spans="1:19" ht="12" customHeight="1">
      <c r="A116" s="644" t="s">
        <v>1291</v>
      </c>
      <c r="B116" s="645">
        <v>370</v>
      </c>
      <c r="C116" s="635"/>
      <c r="D116" s="615"/>
      <c r="E116" s="635"/>
      <c r="F116" s="625"/>
      <c r="G116" s="599"/>
      <c r="H116" s="599"/>
      <c r="I116" s="599"/>
      <c r="J116" s="599"/>
      <c r="K116" s="599"/>
      <c r="L116" s="599"/>
      <c r="M116" s="599"/>
      <c r="N116" s="599"/>
      <c r="O116" s="599"/>
      <c r="P116" s="599"/>
      <c r="Q116" s="599"/>
      <c r="R116" s="599"/>
      <c r="S116" s="599"/>
    </row>
    <row r="117" spans="1:19" ht="12" customHeight="1">
      <c r="A117" s="644" t="s">
        <v>1292</v>
      </c>
      <c r="B117" s="645">
        <v>375</v>
      </c>
      <c r="C117" s="635"/>
      <c r="D117" s="615"/>
      <c r="E117" s="635"/>
      <c r="F117" s="625"/>
      <c r="G117" s="599"/>
      <c r="H117" s="599"/>
      <c r="I117" s="599"/>
      <c r="J117" s="599"/>
      <c r="K117" s="599"/>
      <c r="L117" s="599"/>
      <c r="M117" s="599"/>
      <c r="N117" s="599"/>
      <c r="O117" s="599"/>
      <c r="P117" s="599"/>
      <c r="Q117" s="599"/>
      <c r="R117" s="599"/>
      <c r="S117" s="599"/>
    </row>
    <row r="118" spans="1:19" ht="12" customHeight="1">
      <c r="A118" s="644" t="s">
        <v>1293</v>
      </c>
      <c r="B118" s="645">
        <v>380</v>
      </c>
      <c r="C118" s="635"/>
      <c r="D118" s="615"/>
      <c r="E118" s="635"/>
      <c r="F118" s="625"/>
      <c r="G118" s="599"/>
      <c r="H118" s="599"/>
      <c r="I118" s="599"/>
      <c r="J118" s="599"/>
      <c r="K118" s="599"/>
      <c r="L118" s="599"/>
      <c r="M118" s="599"/>
      <c r="N118" s="599"/>
      <c r="O118" s="599"/>
      <c r="P118" s="599"/>
      <c r="Q118" s="599"/>
      <c r="R118" s="599"/>
      <c r="S118" s="599"/>
    </row>
    <row r="119" spans="1:19" ht="12" customHeight="1">
      <c r="A119" s="598"/>
      <c r="B119" s="602"/>
      <c r="C119" s="599"/>
      <c r="D119" s="599"/>
      <c r="E119" s="599"/>
      <c r="F119" s="599"/>
      <c r="G119" s="599"/>
      <c r="H119" s="599"/>
      <c r="I119" s="599"/>
      <c r="J119" s="599"/>
      <c r="K119" s="599"/>
      <c r="L119" s="599"/>
      <c r="M119" s="599"/>
      <c r="N119" s="599"/>
      <c r="O119" s="599"/>
      <c r="P119" s="599"/>
      <c r="Q119" s="599"/>
      <c r="R119" s="599"/>
      <c r="S119" s="599"/>
    </row>
    <row r="120" spans="1:19" ht="12" customHeight="1">
      <c r="A120" s="660"/>
      <c r="B120" s="660"/>
      <c r="C120" s="665"/>
      <c r="D120" s="665"/>
      <c r="E120" s="665"/>
      <c r="F120" s="665"/>
      <c r="G120" s="599"/>
      <c r="H120" s="599"/>
      <c r="I120" s="599"/>
      <c r="J120" s="599"/>
      <c r="K120" s="599"/>
      <c r="L120" s="599"/>
      <c r="M120" s="599"/>
      <c r="N120" s="599"/>
      <c r="O120" s="599"/>
      <c r="P120" s="599"/>
      <c r="Q120" s="599"/>
      <c r="R120" s="599"/>
      <c r="S120" s="599"/>
    </row>
    <row r="121" spans="1:19" ht="12" customHeight="1">
      <c r="A121" s="596" t="s">
        <v>1019</v>
      </c>
      <c r="B121" s="601">
        <f>B1</f>
        <v>270</v>
      </c>
      <c r="C121" s="598"/>
      <c r="D121" s="598"/>
      <c r="E121" s="598"/>
      <c r="F121" s="596" t="s">
        <v>1020</v>
      </c>
      <c r="G121" s="599"/>
      <c r="H121" s="599"/>
      <c r="I121" s="599"/>
      <c r="J121" s="599"/>
      <c r="K121" s="599"/>
      <c r="L121" s="599"/>
      <c r="M121" s="599"/>
      <c r="N121" s="599"/>
      <c r="O121" s="599"/>
      <c r="P121" s="599"/>
      <c r="Q121" s="599"/>
      <c r="R121" s="599"/>
      <c r="S121" s="599"/>
    </row>
    <row r="122" spans="1:19" ht="12" customHeight="1">
      <c r="A122" s="598"/>
      <c r="B122" s="601"/>
      <c r="C122" s="598"/>
      <c r="D122" s="598"/>
      <c r="E122" s="598"/>
      <c r="F122" s="596" t="s">
        <v>1212</v>
      </c>
      <c r="G122" s="599"/>
      <c r="H122" s="599"/>
      <c r="I122" s="599"/>
      <c r="J122" s="599"/>
      <c r="K122" s="599"/>
      <c r="L122" s="599"/>
      <c r="M122" s="599"/>
      <c r="N122" s="599"/>
      <c r="O122" s="599"/>
      <c r="P122" s="599"/>
      <c r="Q122" s="599"/>
      <c r="R122" s="599"/>
      <c r="S122" s="599"/>
    </row>
    <row r="123" spans="1:19" ht="12" customHeight="1">
      <c r="A123" s="598"/>
      <c r="B123" s="601"/>
      <c r="C123" s="598"/>
      <c r="D123" s="598"/>
      <c r="E123" s="598"/>
      <c r="F123" s="596" t="str">
        <f>F3</f>
        <v>2016-2017</v>
      </c>
      <c r="G123" s="599"/>
      <c r="H123" s="599"/>
      <c r="I123" s="599"/>
      <c r="J123" s="599"/>
      <c r="K123" s="599"/>
      <c r="L123" s="599"/>
      <c r="M123" s="599"/>
      <c r="N123" s="599"/>
      <c r="O123" s="599"/>
      <c r="P123" s="599"/>
      <c r="Q123" s="599"/>
      <c r="R123" s="599"/>
      <c r="S123" s="599"/>
    </row>
    <row r="124" spans="1:19" ht="12" customHeight="1">
      <c r="A124" s="598"/>
      <c r="B124" s="601"/>
      <c r="C124" s="598"/>
      <c r="D124" s="598"/>
      <c r="E124" s="598"/>
      <c r="F124" s="598"/>
      <c r="G124" s="599"/>
      <c r="H124" s="599"/>
      <c r="I124" s="599"/>
      <c r="J124" s="599"/>
      <c r="K124" s="599"/>
      <c r="L124" s="599"/>
      <c r="M124" s="599"/>
      <c r="N124" s="599"/>
      <c r="O124" s="599"/>
      <c r="P124" s="599"/>
      <c r="Q124" s="599"/>
      <c r="R124" s="599"/>
      <c r="S124" s="599"/>
    </row>
    <row r="125" spans="1:19" ht="12" customHeight="1">
      <c r="A125" s="666"/>
      <c r="B125" s="667"/>
      <c r="C125" s="668" t="s">
        <v>1213</v>
      </c>
      <c r="D125" s="668" t="s">
        <v>1213</v>
      </c>
      <c r="E125" s="668" t="s">
        <v>1213</v>
      </c>
      <c r="F125" s="661"/>
      <c r="G125" s="599"/>
      <c r="H125" s="599"/>
      <c r="I125" s="599"/>
      <c r="J125" s="599"/>
      <c r="K125" s="599"/>
      <c r="L125" s="599"/>
      <c r="M125" s="599"/>
      <c r="N125" s="599"/>
      <c r="O125" s="599"/>
      <c r="P125" s="599"/>
      <c r="Q125" s="599"/>
      <c r="R125" s="599"/>
      <c r="S125" s="599"/>
    </row>
    <row r="126" spans="1:19" ht="12.75" customHeight="1">
      <c r="A126" s="666"/>
      <c r="B126" s="669" t="s">
        <v>1045</v>
      </c>
      <c r="C126" s="604" t="str">
        <f>C6</f>
        <v>2014-2015</v>
      </c>
      <c r="D126" s="604" t="str">
        <f>D6</f>
        <v>2015-2016</v>
      </c>
      <c r="E126" s="604" t="str">
        <f>E6</f>
        <v>2016-2017</v>
      </c>
      <c r="F126" s="661"/>
      <c r="G126" s="599"/>
      <c r="H126" s="599"/>
      <c r="I126" s="599"/>
      <c r="J126" s="599"/>
      <c r="K126" s="599"/>
      <c r="L126" s="599"/>
      <c r="M126" s="599"/>
      <c r="N126" s="599"/>
      <c r="O126" s="599"/>
      <c r="P126" s="599"/>
      <c r="Q126" s="599"/>
      <c r="R126" s="599"/>
      <c r="S126" s="599"/>
    </row>
    <row r="127" spans="1:19" ht="12" customHeight="1">
      <c r="A127" s="2732" t="s">
        <v>57</v>
      </c>
      <c r="B127" s="670">
        <v>10</v>
      </c>
      <c r="C127" s="671" t="s">
        <v>1139</v>
      </c>
      <c r="D127" s="671" t="s">
        <v>1139</v>
      </c>
      <c r="E127" s="671" t="s">
        <v>1215</v>
      </c>
      <c r="F127" s="661"/>
      <c r="G127" s="599"/>
      <c r="H127" s="599"/>
      <c r="I127" s="599"/>
      <c r="J127" s="599"/>
      <c r="K127" s="599"/>
      <c r="L127" s="599"/>
      <c r="M127" s="599"/>
      <c r="N127" s="599"/>
      <c r="O127" s="599"/>
      <c r="P127" s="599"/>
      <c r="Q127" s="599"/>
      <c r="R127" s="599"/>
      <c r="S127" s="599"/>
    </row>
    <row r="128" spans="1:19" ht="12" customHeight="1">
      <c r="A128" s="672"/>
      <c r="B128" s="673" t="s">
        <v>1051</v>
      </c>
      <c r="C128" s="674">
        <v>1</v>
      </c>
      <c r="D128" s="674">
        <v>2</v>
      </c>
      <c r="E128" s="674">
        <v>3</v>
      </c>
      <c r="F128" s="661"/>
      <c r="G128" s="599"/>
      <c r="H128" s="599"/>
      <c r="I128" s="599"/>
      <c r="J128" s="599"/>
      <c r="K128" s="599"/>
      <c r="L128" s="599"/>
      <c r="M128" s="599"/>
      <c r="N128" s="599"/>
      <c r="O128" s="599"/>
      <c r="P128" s="599"/>
      <c r="Q128" s="599"/>
      <c r="R128" s="599"/>
      <c r="S128" s="599"/>
    </row>
    <row r="129" spans="1:19" ht="12" customHeight="1">
      <c r="A129" s="675" t="s">
        <v>65</v>
      </c>
      <c r="B129" s="676"/>
      <c r="C129" s="677"/>
      <c r="D129" s="688"/>
      <c r="E129" s="677"/>
      <c r="F129" s="678"/>
      <c r="G129" s="599"/>
      <c r="H129" s="599"/>
      <c r="I129" s="599"/>
      <c r="J129" s="599"/>
      <c r="K129" s="599"/>
      <c r="L129" s="599"/>
      <c r="M129" s="599"/>
      <c r="N129" s="599"/>
      <c r="O129" s="599"/>
      <c r="P129" s="599"/>
      <c r="Q129" s="599"/>
      <c r="R129" s="599"/>
      <c r="S129" s="599"/>
    </row>
    <row r="130" spans="1:19" ht="12" customHeight="1">
      <c r="A130" s="679" t="s">
        <v>1309</v>
      </c>
      <c r="B130" s="680"/>
      <c r="C130" s="681"/>
      <c r="D130" s="692"/>
      <c r="E130" s="681"/>
      <c r="F130" s="678"/>
      <c r="G130" s="599"/>
      <c r="H130" s="599"/>
      <c r="I130" s="599"/>
      <c r="J130" s="599"/>
      <c r="K130" s="599"/>
      <c r="L130" s="599"/>
      <c r="M130" s="599"/>
      <c r="N130" s="599"/>
      <c r="O130" s="599"/>
      <c r="P130" s="599"/>
      <c r="Q130" s="599"/>
      <c r="R130" s="599"/>
      <c r="S130" s="599"/>
    </row>
    <row r="131" spans="1:19" ht="12" customHeight="1">
      <c r="A131" s="682" t="s">
        <v>1347</v>
      </c>
      <c r="B131" s="683">
        <v>385</v>
      </c>
      <c r="C131" s="684"/>
      <c r="D131" s="689"/>
      <c r="E131" s="684"/>
      <c r="F131" s="678"/>
      <c r="G131" s="599"/>
      <c r="H131" s="599"/>
      <c r="I131" s="599"/>
      <c r="J131" s="599"/>
      <c r="K131" s="599"/>
      <c r="L131" s="599"/>
      <c r="M131" s="599"/>
      <c r="N131" s="599"/>
      <c r="O131" s="599"/>
      <c r="P131" s="599"/>
      <c r="Q131" s="599"/>
      <c r="R131" s="599"/>
      <c r="S131" s="599"/>
    </row>
    <row r="132" spans="1:19" ht="12" customHeight="1">
      <c r="A132" s="685" t="s">
        <v>1270</v>
      </c>
      <c r="B132" s="686">
        <v>390</v>
      </c>
      <c r="C132" s="687"/>
      <c r="D132" s="690"/>
      <c r="E132" s="687"/>
      <c r="F132" s="678"/>
      <c r="G132" s="599"/>
      <c r="H132" s="599"/>
      <c r="I132" s="599"/>
      <c r="J132" s="599"/>
      <c r="K132" s="599"/>
      <c r="L132" s="599"/>
      <c r="M132" s="599"/>
      <c r="N132" s="599"/>
      <c r="O132" s="599"/>
      <c r="P132" s="599"/>
      <c r="Q132" s="599"/>
      <c r="R132" s="599"/>
      <c r="S132" s="599"/>
    </row>
    <row r="133" spans="1:19" ht="12" customHeight="1">
      <c r="A133" s="675" t="s">
        <v>1310</v>
      </c>
      <c r="B133" s="676"/>
      <c r="C133" s="677"/>
      <c r="D133" s="688"/>
      <c r="E133" s="677"/>
      <c r="F133" s="678"/>
      <c r="G133" s="599"/>
      <c r="H133" s="599"/>
      <c r="I133" s="599"/>
      <c r="J133" s="599"/>
      <c r="K133" s="599"/>
      <c r="L133" s="599"/>
      <c r="M133" s="599"/>
      <c r="N133" s="599"/>
      <c r="O133" s="599"/>
      <c r="P133" s="599"/>
      <c r="Q133" s="599"/>
      <c r="R133" s="599"/>
      <c r="S133" s="599"/>
    </row>
    <row r="134" spans="1:19" ht="12" customHeight="1">
      <c r="A134" s="682" t="s">
        <v>1311</v>
      </c>
      <c r="B134" s="683">
        <v>395</v>
      </c>
      <c r="C134" s="684"/>
      <c r="D134" s="689"/>
      <c r="E134" s="684"/>
      <c r="F134" s="678"/>
      <c r="G134" s="599"/>
      <c r="H134" s="599"/>
      <c r="I134" s="599"/>
      <c r="J134" s="599"/>
      <c r="K134" s="599"/>
      <c r="L134" s="599"/>
      <c r="M134" s="599"/>
      <c r="N134" s="599"/>
      <c r="O134" s="599"/>
      <c r="P134" s="599"/>
      <c r="Q134" s="599"/>
      <c r="R134" s="599"/>
      <c r="S134" s="599"/>
    </row>
    <row r="135" spans="1:19" ht="12" customHeight="1">
      <c r="A135" s="685" t="s">
        <v>1314</v>
      </c>
      <c r="B135" s="686">
        <v>400</v>
      </c>
      <c r="C135" s="687"/>
      <c r="D135" s="690"/>
      <c r="E135" s="687"/>
      <c r="F135" s="678"/>
      <c r="G135" s="599"/>
      <c r="H135" s="599"/>
      <c r="I135" s="599"/>
      <c r="J135" s="599"/>
      <c r="K135" s="599"/>
      <c r="L135" s="599"/>
      <c r="M135" s="599"/>
      <c r="N135" s="599"/>
      <c r="O135" s="599"/>
      <c r="P135" s="599"/>
      <c r="Q135" s="599"/>
      <c r="R135" s="599"/>
      <c r="S135" s="599"/>
    </row>
    <row r="136" spans="1:19" ht="12" customHeight="1">
      <c r="A136" s="685" t="s">
        <v>1315</v>
      </c>
      <c r="B136" s="686">
        <v>405</v>
      </c>
      <c r="C136" s="687"/>
      <c r="D136" s="690"/>
      <c r="E136" s="687"/>
      <c r="F136" s="678"/>
      <c r="G136" s="599"/>
      <c r="H136" s="599"/>
      <c r="I136" s="599"/>
      <c r="J136" s="599"/>
      <c r="K136" s="599"/>
      <c r="L136" s="599"/>
      <c r="M136" s="599"/>
      <c r="N136" s="599"/>
      <c r="O136" s="599"/>
      <c r="P136" s="599"/>
      <c r="Q136" s="599"/>
      <c r="R136" s="599"/>
      <c r="S136" s="599"/>
    </row>
    <row r="137" spans="1:19" ht="12" customHeight="1">
      <c r="A137" s="675" t="s">
        <v>66</v>
      </c>
      <c r="B137" s="676">
        <v>410</v>
      </c>
      <c r="C137" s="2463"/>
      <c r="D137" s="691"/>
      <c r="E137" s="2463"/>
      <c r="F137" s="678"/>
      <c r="G137" s="599"/>
      <c r="H137" s="599"/>
      <c r="I137" s="599"/>
      <c r="J137" s="599"/>
      <c r="K137" s="599"/>
      <c r="L137" s="599"/>
      <c r="M137" s="599"/>
      <c r="N137" s="599"/>
      <c r="O137" s="599"/>
      <c r="P137" s="599"/>
      <c r="Q137" s="599"/>
      <c r="R137" s="599"/>
      <c r="S137" s="599"/>
    </row>
    <row r="138" spans="1:19" ht="12" customHeight="1">
      <c r="A138" s="685" t="s">
        <v>1318</v>
      </c>
      <c r="B138" s="686">
        <v>415</v>
      </c>
      <c r="C138" s="687"/>
      <c r="D138" s="690"/>
      <c r="E138" s="687"/>
      <c r="F138" s="678"/>
      <c r="G138" s="599"/>
      <c r="H138" s="599"/>
      <c r="I138" s="599"/>
      <c r="J138" s="599"/>
      <c r="K138" s="599"/>
      <c r="L138" s="599"/>
      <c r="M138" s="599"/>
      <c r="N138" s="599"/>
      <c r="O138" s="599"/>
      <c r="P138" s="599"/>
      <c r="Q138" s="599"/>
      <c r="R138" s="599"/>
      <c r="S138" s="599"/>
    </row>
    <row r="139" spans="1:19" ht="12" customHeight="1">
      <c r="A139" s="685" t="s">
        <v>1327</v>
      </c>
      <c r="B139" s="686">
        <v>420</v>
      </c>
      <c r="C139" s="687"/>
      <c r="D139" s="690"/>
      <c r="E139" s="687"/>
      <c r="F139" s="678"/>
      <c r="G139" s="599"/>
      <c r="H139" s="599"/>
      <c r="I139" s="599"/>
      <c r="J139" s="599"/>
      <c r="K139" s="599"/>
      <c r="L139" s="599"/>
      <c r="M139" s="599"/>
      <c r="N139" s="599"/>
      <c r="O139" s="599"/>
      <c r="P139" s="599"/>
      <c r="Q139" s="599"/>
      <c r="R139" s="599"/>
      <c r="S139" s="599"/>
    </row>
    <row r="140" spans="1:19" ht="12" customHeight="1">
      <c r="A140" s="685" t="s">
        <v>1337</v>
      </c>
      <c r="B140" s="686">
        <v>425</v>
      </c>
      <c r="C140" s="687"/>
      <c r="D140" s="690"/>
      <c r="E140" s="687"/>
      <c r="F140" s="678"/>
      <c r="G140" s="599"/>
      <c r="H140" s="599"/>
      <c r="I140" s="599"/>
      <c r="J140" s="599"/>
      <c r="K140" s="599"/>
      <c r="L140" s="599"/>
      <c r="M140" s="599"/>
      <c r="N140" s="599"/>
      <c r="O140" s="599"/>
      <c r="P140" s="599"/>
      <c r="Q140" s="599"/>
      <c r="R140" s="599"/>
      <c r="S140" s="599"/>
    </row>
    <row r="141" spans="1:19" ht="12" customHeight="1">
      <c r="A141" s="685" t="s">
        <v>1345</v>
      </c>
      <c r="B141" s="686">
        <v>430</v>
      </c>
      <c r="C141" s="687"/>
      <c r="D141" s="690"/>
      <c r="E141" s="687"/>
      <c r="F141" s="678"/>
      <c r="G141" s="599"/>
      <c r="H141" s="599"/>
      <c r="I141" s="599"/>
      <c r="J141" s="599"/>
      <c r="K141" s="599"/>
      <c r="L141" s="599"/>
      <c r="M141" s="599"/>
      <c r="N141" s="599"/>
      <c r="O141" s="599"/>
      <c r="P141" s="599"/>
      <c r="Q141" s="599"/>
      <c r="R141" s="599"/>
      <c r="S141" s="599"/>
    </row>
    <row r="142" spans="1:19" ht="12" customHeight="1">
      <c r="A142" s="685" t="s">
        <v>1346</v>
      </c>
      <c r="B142" s="686">
        <v>435</v>
      </c>
      <c r="C142" s="687"/>
      <c r="D142" s="690"/>
      <c r="E142" s="687"/>
      <c r="F142" s="678"/>
      <c r="G142" s="599"/>
      <c r="H142" s="599"/>
      <c r="I142" s="599"/>
      <c r="J142" s="599"/>
      <c r="K142" s="599"/>
      <c r="L142" s="599"/>
      <c r="M142" s="599"/>
      <c r="N142" s="599"/>
      <c r="O142" s="599"/>
      <c r="P142" s="599"/>
      <c r="Q142" s="599"/>
      <c r="R142" s="599"/>
      <c r="S142" s="599"/>
    </row>
    <row r="143" spans="1:19" ht="12" customHeight="1">
      <c r="A143" s="675" t="s">
        <v>1308</v>
      </c>
      <c r="B143" s="676"/>
      <c r="C143" s="677"/>
      <c r="D143" s="688"/>
      <c r="E143" s="677"/>
      <c r="F143" s="678"/>
      <c r="G143" s="599"/>
      <c r="H143" s="599"/>
      <c r="I143" s="599"/>
      <c r="J143" s="599"/>
      <c r="K143" s="599"/>
      <c r="L143" s="599"/>
      <c r="M143" s="599"/>
      <c r="N143" s="599"/>
      <c r="O143" s="599"/>
      <c r="P143" s="599"/>
      <c r="Q143" s="599"/>
      <c r="R143" s="599"/>
      <c r="S143" s="599"/>
    </row>
    <row r="144" spans="1:19" ht="12" customHeight="1">
      <c r="A144" s="679" t="s">
        <v>1309</v>
      </c>
      <c r="B144" s="680"/>
      <c r="C144" s="681"/>
      <c r="D144" s="692"/>
      <c r="E144" s="681"/>
      <c r="F144" s="678"/>
      <c r="G144" s="599"/>
      <c r="H144" s="599"/>
      <c r="I144" s="599"/>
      <c r="J144" s="599"/>
      <c r="K144" s="599"/>
      <c r="L144" s="599"/>
      <c r="M144" s="599"/>
      <c r="N144" s="599"/>
      <c r="O144" s="599"/>
      <c r="P144" s="599"/>
      <c r="Q144" s="599"/>
      <c r="R144" s="599"/>
      <c r="S144" s="599"/>
    </row>
    <row r="145" spans="1:19" ht="12" customHeight="1">
      <c r="A145" s="682" t="s">
        <v>1270</v>
      </c>
      <c r="B145" s="683">
        <v>440</v>
      </c>
      <c r="C145" s="684"/>
      <c r="D145" s="689"/>
      <c r="E145" s="684"/>
      <c r="F145" s="678"/>
      <c r="G145" s="599"/>
      <c r="H145" s="599"/>
      <c r="I145" s="599"/>
      <c r="J145" s="599"/>
      <c r="K145" s="599"/>
      <c r="L145" s="599"/>
      <c r="M145" s="599"/>
      <c r="N145" s="599"/>
      <c r="O145" s="599"/>
      <c r="P145" s="599"/>
      <c r="Q145" s="599"/>
      <c r="R145" s="599"/>
      <c r="S145" s="599"/>
    </row>
    <row r="146" spans="1:19" ht="12" customHeight="1">
      <c r="A146" s="675" t="s">
        <v>1310</v>
      </c>
      <c r="B146" s="676"/>
      <c r="C146" s="677"/>
      <c r="D146" s="688"/>
      <c r="E146" s="677"/>
      <c r="F146" s="678"/>
      <c r="G146" s="599"/>
      <c r="H146" s="599"/>
      <c r="I146" s="599"/>
      <c r="J146" s="599"/>
      <c r="K146" s="599"/>
      <c r="L146" s="599"/>
      <c r="M146" s="599"/>
      <c r="N146" s="599"/>
      <c r="O146" s="599"/>
      <c r="P146" s="599"/>
      <c r="Q146" s="599"/>
      <c r="R146" s="599"/>
      <c r="S146" s="599"/>
    </row>
    <row r="147" spans="1:19" ht="12" customHeight="1">
      <c r="A147" s="682" t="s">
        <v>1311</v>
      </c>
      <c r="B147" s="683">
        <v>445</v>
      </c>
      <c r="C147" s="684"/>
      <c r="D147" s="689"/>
      <c r="E147" s="684"/>
      <c r="F147" s="678"/>
      <c r="G147" s="599"/>
      <c r="H147" s="599"/>
      <c r="I147" s="599"/>
      <c r="J147" s="599"/>
      <c r="K147" s="599"/>
      <c r="L147" s="599"/>
      <c r="M147" s="599"/>
      <c r="N147" s="599"/>
      <c r="O147" s="599"/>
      <c r="P147" s="599"/>
      <c r="Q147" s="599"/>
      <c r="R147" s="599"/>
      <c r="S147" s="599"/>
    </row>
    <row r="148" spans="1:19" ht="12" customHeight="1">
      <c r="A148" s="685" t="s">
        <v>1314</v>
      </c>
      <c r="B148" s="686">
        <v>450</v>
      </c>
      <c r="C148" s="687"/>
      <c r="D148" s="690"/>
      <c r="E148" s="687"/>
      <c r="F148" s="678"/>
      <c r="G148" s="599"/>
      <c r="H148" s="599"/>
      <c r="I148" s="599"/>
      <c r="J148" s="599"/>
      <c r="K148" s="599"/>
      <c r="L148" s="599"/>
      <c r="M148" s="599"/>
      <c r="N148" s="599"/>
      <c r="O148" s="599"/>
      <c r="P148" s="599"/>
      <c r="Q148" s="599"/>
      <c r="R148" s="599"/>
      <c r="S148" s="599"/>
    </row>
    <row r="149" spans="1:19" ht="12" customHeight="1">
      <c r="A149" s="685" t="s">
        <v>1315</v>
      </c>
      <c r="B149" s="686">
        <v>455</v>
      </c>
      <c r="C149" s="687"/>
      <c r="D149" s="690"/>
      <c r="E149" s="687"/>
      <c r="F149" s="678"/>
      <c r="G149" s="599"/>
      <c r="H149" s="599"/>
      <c r="I149" s="599"/>
      <c r="J149" s="599"/>
      <c r="K149" s="599"/>
      <c r="L149" s="599"/>
      <c r="M149" s="599"/>
      <c r="N149" s="599"/>
      <c r="O149" s="599"/>
      <c r="P149" s="599"/>
      <c r="Q149" s="599"/>
      <c r="R149" s="599"/>
      <c r="S149" s="599"/>
    </row>
    <row r="150" spans="1:19" ht="12" customHeight="1">
      <c r="A150" s="675" t="s">
        <v>66</v>
      </c>
      <c r="B150" s="676">
        <v>460</v>
      </c>
      <c r="C150" s="2463"/>
      <c r="D150" s="691"/>
      <c r="E150" s="2463"/>
      <c r="F150" s="678"/>
      <c r="G150" s="599"/>
      <c r="H150" s="599"/>
      <c r="I150" s="599"/>
      <c r="J150" s="599"/>
      <c r="K150" s="599"/>
      <c r="L150" s="599"/>
      <c r="M150" s="599"/>
      <c r="N150" s="599"/>
      <c r="O150" s="599"/>
      <c r="P150" s="599"/>
      <c r="Q150" s="599"/>
      <c r="R150" s="599"/>
      <c r="S150" s="599"/>
    </row>
    <row r="151" spans="1:19" ht="12" customHeight="1">
      <c r="A151" s="685" t="s">
        <v>1318</v>
      </c>
      <c r="B151" s="686">
        <v>465</v>
      </c>
      <c r="C151" s="687"/>
      <c r="D151" s="690"/>
      <c r="E151" s="687"/>
      <c r="F151" s="678"/>
      <c r="G151" s="599"/>
      <c r="H151" s="599"/>
      <c r="I151" s="599"/>
      <c r="J151" s="599"/>
      <c r="K151" s="599"/>
      <c r="L151" s="599"/>
      <c r="M151" s="599"/>
      <c r="N151" s="599"/>
      <c r="O151" s="599"/>
      <c r="P151" s="599"/>
      <c r="Q151" s="599"/>
      <c r="R151" s="599"/>
      <c r="S151" s="599"/>
    </row>
    <row r="152" spans="1:19" ht="12" customHeight="1">
      <c r="A152" s="685" t="s">
        <v>1327</v>
      </c>
      <c r="B152" s="686">
        <v>470</v>
      </c>
      <c r="C152" s="687"/>
      <c r="D152" s="690"/>
      <c r="E152" s="687"/>
      <c r="F152" s="678"/>
      <c r="G152" s="599"/>
      <c r="H152" s="599"/>
      <c r="I152" s="599"/>
      <c r="J152" s="599"/>
      <c r="K152" s="599"/>
      <c r="L152" s="599"/>
      <c r="M152" s="599"/>
      <c r="N152" s="599"/>
      <c r="O152" s="599"/>
      <c r="P152" s="599"/>
      <c r="Q152" s="599"/>
      <c r="R152" s="599"/>
      <c r="S152" s="599"/>
    </row>
    <row r="153" spans="1:19" ht="12" customHeight="1">
      <c r="A153" s="675" t="s">
        <v>1337</v>
      </c>
      <c r="B153" s="676"/>
      <c r="C153" s="677"/>
      <c r="D153" s="688"/>
      <c r="E153" s="677"/>
      <c r="F153" s="678"/>
      <c r="G153" s="599"/>
      <c r="H153" s="599"/>
      <c r="I153" s="599"/>
      <c r="J153" s="599"/>
      <c r="K153" s="599"/>
      <c r="L153" s="599"/>
      <c r="M153" s="599"/>
      <c r="N153" s="599"/>
      <c r="O153" s="599"/>
      <c r="P153" s="599"/>
      <c r="Q153" s="599"/>
      <c r="R153" s="599"/>
      <c r="S153" s="599"/>
    </row>
    <row r="154" spans="1:19" ht="12" customHeight="1">
      <c r="A154" s="682" t="s">
        <v>1338</v>
      </c>
      <c r="B154" s="683">
        <v>475</v>
      </c>
      <c r="C154" s="684"/>
      <c r="D154" s="689"/>
      <c r="E154" s="684"/>
      <c r="F154" s="678"/>
      <c r="G154" s="599"/>
      <c r="H154" s="599"/>
      <c r="I154" s="599"/>
      <c r="J154" s="599"/>
      <c r="K154" s="599"/>
      <c r="L154" s="599"/>
      <c r="M154" s="599"/>
      <c r="N154" s="599"/>
      <c r="O154" s="599"/>
      <c r="P154" s="599"/>
      <c r="Q154" s="599"/>
      <c r="R154" s="599"/>
      <c r="S154" s="599"/>
    </row>
    <row r="155" spans="1:19" ht="12" customHeight="1">
      <c r="A155" s="675" t="s">
        <v>1339</v>
      </c>
      <c r="B155" s="676"/>
      <c r="C155" s="677"/>
      <c r="D155" s="688"/>
      <c r="E155" s="677"/>
      <c r="F155" s="678"/>
      <c r="G155" s="599"/>
      <c r="H155" s="599"/>
      <c r="I155" s="599"/>
      <c r="J155" s="599"/>
      <c r="K155" s="599"/>
      <c r="L155" s="599"/>
      <c r="M155" s="599"/>
      <c r="N155" s="599"/>
      <c r="O155" s="599"/>
      <c r="P155" s="599"/>
      <c r="Q155" s="599"/>
      <c r="R155" s="599"/>
      <c r="S155" s="599"/>
    </row>
    <row r="156" spans="1:19" ht="12" customHeight="1">
      <c r="A156" s="682" t="s">
        <v>1340</v>
      </c>
      <c r="B156" s="683">
        <v>480</v>
      </c>
      <c r="C156" s="684"/>
      <c r="D156" s="689"/>
      <c r="E156" s="684"/>
      <c r="F156" s="678"/>
      <c r="G156" s="599"/>
      <c r="H156" s="599"/>
      <c r="I156" s="599"/>
      <c r="J156" s="599"/>
      <c r="K156" s="599"/>
      <c r="L156" s="599"/>
      <c r="M156" s="599"/>
      <c r="N156" s="599"/>
      <c r="O156" s="599"/>
      <c r="P156" s="599"/>
      <c r="Q156" s="599"/>
      <c r="R156" s="599"/>
      <c r="S156" s="599"/>
    </row>
    <row r="157" spans="1:19" ht="12" customHeight="1">
      <c r="A157" s="685" t="s">
        <v>1341</v>
      </c>
      <c r="B157" s="686">
        <v>485</v>
      </c>
      <c r="C157" s="687"/>
      <c r="D157" s="690"/>
      <c r="E157" s="687"/>
      <c r="F157" s="678"/>
      <c r="G157" s="599"/>
      <c r="H157" s="599"/>
      <c r="I157" s="599"/>
      <c r="J157" s="599"/>
      <c r="K157" s="599"/>
      <c r="L157" s="599"/>
      <c r="M157" s="599"/>
      <c r="N157" s="599"/>
      <c r="O157" s="599"/>
      <c r="P157" s="599"/>
      <c r="Q157" s="599"/>
      <c r="R157" s="599"/>
      <c r="S157" s="599"/>
    </row>
    <row r="158" spans="1:19" ht="12" customHeight="1">
      <c r="A158" s="685" t="s">
        <v>69</v>
      </c>
      <c r="B158" s="686">
        <v>490</v>
      </c>
      <c r="C158" s="687"/>
      <c r="D158" s="690"/>
      <c r="E158" s="687"/>
      <c r="F158" s="678"/>
      <c r="G158" s="599"/>
      <c r="H158" s="599"/>
      <c r="I158" s="599"/>
      <c r="J158" s="599"/>
      <c r="K158" s="599"/>
      <c r="L158" s="599"/>
      <c r="M158" s="599"/>
      <c r="N158" s="599"/>
      <c r="O158" s="599"/>
      <c r="P158" s="599"/>
      <c r="Q158" s="599"/>
      <c r="R158" s="599"/>
      <c r="S158" s="599"/>
    </row>
    <row r="159" spans="1:19" ht="12" customHeight="1">
      <c r="A159" s="685" t="s">
        <v>1343</v>
      </c>
      <c r="B159" s="686">
        <v>495</v>
      </c>
      <c r="C159" s="687"/>
      <c r="D159" s="690"/>
      <c r="E159" s="687"/>
      <c r="F159" s="678"/>
      <c r="G159" s="599"/>
      <c r="H159" s="599"/>
      <c r="I159" s="599"/>
      <c r="J159" s="599"/>
      <c r="K159" s="599"/>
      <c r="L159" s="599"/>
      <c r="M159" s="599"/>
      <c r="N159" s="599"/>
      <c r="O159" s="599"/>
      <c r="P159" s="599"/>
      <c r="Q159" s="599"/>
      <c r="R159" s="599"/>
      <c r="S159" s="599"/>
    </row>
    <row r="160" spans="1:19" ht="12" customHeight="1">
      <c r="A160" s="685" t="s">
        <v>1344</v>
      </c>
      <c r="B160" s="686">
        <v>500</v>
      </c>
      <c r="C160" s="687"/>
      <c r="D160" s="690"/>
      <c r="E160" s="687"/>
      <c r="F160" s="678"/>
      <c r="G160" s="599"/>
      <c r="H160" s="599"/>
      <c r="I160" s="599"/>
      <c r="J160" s="599"/>
      <c r="K160" s="599"/>
      <c r="L160" s="599"/>
      <c r="M160" s="599"/>
      <c r="N160" s="599"/>
      <c r="O160" s="599"/>
      <c r="P160" s="599"/>
      <c r="Q160" s="599"/>
      <c r="R160" s="599"/>
      <c r="S160" s="599"/>
    </row>
    <row r="161" spans="1:19" ht="12" customHeight="1">
      <c r="A161" s="685" t="s">
        <v>1345</v>
      </c>
      <c r="B161" s="686">
        <v>505</v>
      </c>
      <c r="C161" s="687"/>
      <c r="D161" s="690"/>
      <c r="E161" s="687"/>
      <c r="F161" s="678"/>
      <c r="G161" s="599"/>
      <c r="H161" s="599"/>
      <c r="I161" s="599"/>
      <c r="J161" s="599"/>
      <c r="K161" s="599"/>
      <c r="L161" s="599"/>
      <c r="M161" s="599"/>
      <c r="N161" s="599"/>
      <c r="O161" s="599"/>
      <c r="P161" s="599"/>
      <c r="Q161" s="599"/>
      <c r="R161" s="599"/>
      <c r="S161" s="599"/>
    </row>
    <row r="162" spans="1:19" ht="12" customHeight="1">
      <c r="A162" s="685" t="s">
        <v>1346</v>
      </c>
      <c r="B162" s="686">
        <v>510</v>
      </c>
      <c r="C162" s="687"/>
      <c r="D162" s="690"/>
      <c r="E162" s="687"/>
      <c r="F162" s="678"/>
      <c r="G162" s="599"/>
      <c r="H162" s="599"/>
      <c r="I162" s="599"/>
      <c r="J162" s="599"/>
      <c r="K162" s="599"/>
      <c r="L162" s="599"/>
      <c r="M162" s="599"/>
      <c r="N162" s="599"/>
      <c r="O162" s="599"/>
      <c r="P162" s="599"/>
      <c r="Q162" s="599"/>
      <c r="R162" s="599"/>
      <c r="S162" s="599"/>
    </row>
    <row r="163" spans="1:19" ht="12" customHeight="1">
      <c r="A163" s="685" t="s">
        <v>1248</v>
      </c>
      <c r="B163" s="693" t="s">
        <v>71</v>
      </c>
      <c r="C163" s="2464">
        <f>SUM(C67:C118,C129:C162)</f>
        <v>0</v>
      </c>
      <c r="D163" s="694">
        <f>SUM(D67:D118,D129:D162)</f>
        <v>0</v>
      </c>
      <c r="E163" s="2464">
        <f>SUM(E67:E118,E129:E162)</f>
        <v>0</v>
      </c>
      <c r="F163" s="678"/>
      <c r="G163" s="599"/>
      <c r="H163" s="599"/>
      <c r="I163" s="599"/>
      <c r="J163" s="599"/>
      <c r="K163" s="599"/>
      <c r="L163" s="599"/>
      <c r="M163" s="599"/>
      <c r="N163" s="599"/>
      <c r="O163" s="599"/>
      <c r="P163" s="599"/>
      <c r="Q163" s="599"/>
      <c r="R163" s="599"/>
      <c r="S163" s="599"/>
    </row>
    <row r="164" spans="1:19" ht="12" customHeight="1">
      <c r="A164" s="666"/>
      <c r="B164" s="668"/>
      <c r="C164" s="695"/>
      <c r="D164" s="696"/>
      <c r="E164" s="696"/>
      <c r="F164" s="696"/>
      <c r="G164" s="599"/>
      <c r="H164" s="599"/>
      <c r="I164" s="599"/>
      <c r="J164" s="599"/>
      <c r="K164" s="599"/>
      <c r="L164" s="599"/>
      <c r="M164" s="599"/>
      <c r="N164" s="599"/>
      <c r="O164" s="599"/>
      <c r="P164" s="599"/>
      <c r="Q164" s="599"/>
      <c r="R164" s="599"/>
      <c r="S164" s="599"/>
    </row>
    <row r="165" spans="1:19" ht="12" customHeight="1">
      <c r="A165" s="666"/>
      <c r="B165" s="668"/>
      <c r="C165" s="695"/>
      <c r="D165" s="696"/>
      <c r="E165" s="696"/>
      <c r="F165" s="696"/>
      <c r="G165" s="599"/>
      <c r="H165" s="599"/>
      <c r="I165" s="599"/>
      <c r="J165" s="599"/>
      <c r="K165" s="599"/>
      <c r="L165" s="599"/>
      <c r="M165" s="599"/>
      <c r="N165" s="599"/>
      <c r="O165" s="599"/>
      <c r="P165" s="599"/>
      <c r="Q165" s="599"/>
      <c r="R165" s="599"/>
      <c r="S165" s="599"/>
    </row>
    <row r="166" spans="1:19" ht="12" customHeight="1">
      <c r="A166" s="598"/>
      <c r="B166" s="697"/>
      <c r="C166" s="695"/>
      <c r="D166" s="695"/>
      <c r="E166" s="695"/>
      <c r="F166" s="695"/>
      <c r="G166" s="599"/>
      <c r="H166" s="599"/>
      <c r="I166" s="599"/>
      <c r="J166" s="599"/>
      <c r="K166" s="599"/>
      <c r="L166" s="599"/>
      <c r="M166" s="599"/>
      <c r="N166" s="599"/>
      <c r="O166" s="599"/>
      <c r="P166" s="599"/>
      <c r="Q166" s="599"/>
      <c r="R166" s="599"/>
      <c r="S166" s="599"/>
    </row>
    <row r="167" spans="1:19" ht="12" hidden="1" customHeight="1">
      <c r="A167" s="598"/>
      <c r="B167" s="602"/>
      <c r="C167" s="599"/>
      <c r="D167" s="599"/>
      <c r="E167" s="599"/>
      <c r="F167" s="599"/>
      <c r="G167" s="599"/>
      <c r="H167" s="599"/>
      <c r="I167" s="599"/>
      <c r="J167" s="599"/>
      <c r="K167" s="599"/>
      <c r="L167" s="599"/>
      <c r="M167" s="599"/>
      <c r="N167" s="599"/>
      <c r="O167" s="599"/>
      <c r="P167" s="599"/>
      <c r="Q167" s="599"/>
      <c r="R167" s="599"/>
      <c r="S167" s="599"/>
    </row>
    <row r="168" spans="1:19" ht="12" customHeight="1">
      <c r="A168" s="598"/>
      <c r="B168" s="602"/>
      <c r="C168" s="599"/>
      <c r="D168" s="599"/>
      <c r="E168" s="599"/>
      <c r="F168" s="599"/>
      <c r="G168" s="599"/>
      <c r="H168" s="599"/>
      <c r="I168" s="599"/>
      <c r="J168" s="599"/>
      <c r="K168" s="599"/>
      <c r="L168" s="599"/>
      <c r="M168" s="599"/>
      <c r="N168" s="599"/>
      <c r="O168" s="599"/>
      <c r="P168" s="599"/>
      <c r="Q168" s="599"/>
      <c r="R168" s="599"/>
      <c r="S168" s="599"/>
    </row>
    <row r="169" spans="1:19" ht="12" customHeight="1">
      <c r="A169" s="598"/>
      <c r="B169" s="602"/>
      <c r="C169" s="599"/>
      <c r="D169" s="599"/>
      <c r="E169" s="599"/>
      <c r="F169" s="599"/>
      <c r="G169" s="599"/>
      <c r="H169" s="599"/>
      <c r="I169" s="599"/>
      <c r="J169" s="599"/>
      <c r="K169" s="599"/>
      <c r="L169" s="599"/>
      <c r="M169" s="599"/>
      <c r="N169" s="599"/>
      <c r="O169" s="599"/>
      <c r="P169" s="599"/>
      <c r="Q169" s="599"/>
      <c r="R169" s="599"/>
      <c r="S169" s="599"/>
    </row>
    <row r="170" spans="1:19" ht="12" customHeight="1">
      <c r="A170" s="598"/>
      <c r="B170" s="602"/>
      <c r="C170" s="599"/>
      <c r="D170" s="599"/>
      <c r="E170" s="599"/>
      <c r="F170" s="599"/>
      <c r="G170" s="599"/>
      <c r="H170" s="599"/>
      <c r="I170" s="599"/>
      <c r="J170" s="599"/>
      <c r="K170" s="599"/>
      <c r="L170" s="599"/>
      <c r="M170" s="599"/>
      <c r="N170" s="599"/>
      <c r="O170" s="599"/>
      <c r="P170" s="599"/>
      <c r="Q170" s="599"/>
      <c r="R170" s="599"/>
      <c r="S170" s="599"/>
    </row>
    <row r="171" spans="1:19" ht="12" customHeight="1">
      <c r="A171" s="598"/>
      <c r="B171" s="602"/>
      <c r="C171" s="599"/>
      <c r="D171" s="599"/>
      <c r="E171" s="599"/>
      <c r="F171" s="599"/>
      <c r="G171" s="599"/>
      <c r="H171" s="599"/>
      <c r="I171" s="599"/>
      <c r="J171" s="599"/>
      <c r="K171" s="599"/>
      <c r="L171" s="599"/>
      <c r="M171" s="599"/>
      <c r="N171" s="599"/>
      <c r="O171" s="599"/>
      <c r="P171" s="599"/>
      <c r="Q171" s="599"/>
      <c r="R171" s="599"/>
      <c r="S171" s="599"/>
    </row>
    <row r="172" spans="1:19" ht="12" customHeight="1">
      <c r="A172" s="598"/>
      <c r="B172" s="602"/>
      <c r="C172" s="599"/>
      <c r="D172" s="599"/>
      <c r="E172" s="599"/>
      <c r="F172" s="599"/>
      <c r="G172" s="599"/>
      <c r="H172" s="599"/>
      <c r="I172" s="599"/>
      <c r="J172" s="599"/>
      <c r="K172" s="599"/>
      <c r="L172" s="599"/>
      <c r="M172" s="599"/>
      <c r="N172" s="599"/>
      <c r="O172" s="599"/>
      <c r="P172" s="599"/>
      <c r="Q172" s="599"/>
      <c r="R172" s="599"/>
      <c r="S172" s="599"/>
    </row>
    <row r="173" spans="1:19" ht="12" customHeight="1">
      <c r="A173" s="598"/>
      <c r="B173" s="602"/>
      <c r="C173" s="599"/>
      <c r="D173" s="599"/>
      <c r="E173" s="599"/>
      <c r="F173" s="599"/>
      <c r="G173" s="599"/>
      <c r="H173" s="599"/>
      <c r="I173" s="599"/>
      <c r="J173" s="599"/>
      <c r="K173" s="599"/>
      <c r="L173" s="599"/>
      <c r="M173" s="599"/>
      <c r="N173" s="599"/>
      <c r="O173" s="599"/>
      <c r="P173" s="599"/>
      <c r="Q173" s="599"/>
      <c r="R173" s="599"/>
      <c r="S173" s="599"/>
    </row>
    <row r="174" spans="1:19" ht="12" customHeight="1">
      <c r="A174" s="598"/>
      <c r="B174" s="602"/>
      <c r="C174" s="599"/>
      <c r="D174" s="599"/>
      <c r="E174" s="599"/>
      <c r="F174" s="599"/>
      <c r="G174" s="599"/>
      <c r="H174" s="599"/>
      <c r="I174" s="599"/>
      <c r="J174" s="599"/>
      <c r="K174" s="599"/>
      <c r="L174" s="599"/>
      <c r="M174" s="599"/>
      <c r="N174" s="599"/>
      <c r="O174" s="599"/>
      <c r="P174" s="599"/>
      <c r="Q174" s="599"/>
      <c r="R174" s="599"/>
      <c r="S174" s="599"/>
    </row>
    <row r="175" spans="1:19" ht="12" customHeight="1">
      <c r="A175" s="598"/>
      <c r="B175" s="602"/>
      <c r="C175" s="599"/>
      <c r="D175" s="599"/>
      <c r="E175" s="599"/>
      <c r="F175" s="599"/>
      <c r="G175" s="599"/>
      <c r="H175" s="599"/>
      <c r="I175" s="599"/>
      <c r="J175" s="599"/>
      <c r="K175" s="599"/>
      <c r="L175" s="599"/>
      <c r="M175" s="599"/>
      <c r="N175" s="599"/>
      <c r="O175" s="599"/>
      <c r="P175" s="599"/>
      <c r="Q175" s="599"/>
      <c r="R175" s="599"/>
      <c r="S175" s="599"/>
    </row>
    <row r="176" spans="1:19" ht="12" customHeight="1">
      <c r="A176" s="598"/>
      <c r="B176" s="602"/>
      <c r="C176" s="599"/>
      <c r="D176" s="599"/>
      <c r="E176" s="599"/>
      <c r="F176" s="599"/>
      <c r="G176" s="599"/>
      <c r="H176" s="599"/>
      <c r="I176" s="599"/>
      <c r="J176" s="599"/>
      <c r="K176" s="599"/>
      <c r="L176" s="599"/>
      <c r="M176" s="599"/>
      <c r="N176" s="599"/>
      <c r="O176" s="599"/>
      <c r="P176" s="599"/>
      <c r="Q176" s="599"/>
      <c r="R176" s="599"/>
      <c r="S176" s="599"/>
    </row>
    <row r="177" spans="1:19" ht="12" customHeight="1">
      <c r="A177" s="598"/>
      <c r="B177" s="602"/>
      <c r="C177" s="599"/>
      <c r="D177" s="599"/>
      <c r="E177" s="599"/>
      <c r="F177" s="599"/>
      <c r="G177" s="599"/>
      <c r="H177" s="599"/>
      <c r="I177" s="599"/>
      <c r="J177" s="599"/>
      <c r="K177" s="599"/>
      <c r="L177" s="599"/>
      <c r="M177" s="599"/>
      <c r="N177" s="599"/>
      <c r="O177" s="599"/>
      <c r="P177" s="599"/>
      <c r="Q177" s="599"/>
      <c r="R177" s="599"/>
      <c r="S177" s="599"/>
    </row>
    <row r="178" spans="1:19" ht="12" customHeight="1">
      <c r="A178" s="598"/>
      <c r="B178" s="602"/>
      <c r="C178" s="599"/>
      <c r="D178" s="599"/>
      <c r="E178" s="599"/>
      <c r="F178" s="599"/>
      <c r="G178" s="599"/>
      <c r="H178" s="599"/>
      <c r="I178" s="599"/>
      <c r="J178" s="599"/>
      <c r="K178" s="599"/>
      <c r="L178" s="599"/>
      <c r="M178" s="599"/>
      <c r="N178" s="599"/>
      <c r="O178" s="599"/>
      <c r="P178" s="599"/>
      <c r="Q178" s="599"/>
      <c r="R178" s="599"/>
      <c r="S178" s="599"/>
    </row>
    <row r="179" spans="1:19" ht="12" customHeight="1">
      <c r="A179" s="598"/>
      <c r="B179" s="602"/>
      <c r="C179" s="599"/>
      <c r="D179" s="599"/>
      <c r="E179" s="599"/>
      <c r="F179" s="599"/>
      <c r="G179" s="599"/>
      <c r="H179" s="599"/>
      <c r="I179" s="599"/>
      <c r="J179" s="599"/>
      <c r="K179" s="599"/>
      <c r="L179" s="599"/>
      <c r="M179" s="599"/>
      <c r="N179" s="599"/>
      <c r="O179" s="599"/>
      <c r="P179" s="599"/>
      <c r="Q179" s="599"/>
      <c r="R179" s="599"/>
      <c r="S179" s="599"/>
    </row>
    <row r="180" spans="1:19" ht="12" customHeight="1">
      <c r="A180" s="598"/>
      <c r="B180" s="602"/>
      <c r="C180" s="599"/>
      <c r="D180" s="599"/>
      <c r="E180" s="599"/>
      <c r="F180" s="599"/>
      <c r="G180" s="599"/>
      <c r="H180" s="599"/>
      <c r="I180" s="599"/>
      <c r="J180" s="599"/>
      <c r="K180" s="599"/>
      <c r="L180" s="599"/>
      <c r="M180" s="599"/>
      <c r="N180" s="599"/>
      <c r="O180" s="599"/>
      <c r="P180" s="599"/>
      <c r="Q180" s="599"/>
      <c r="R180" s="599"/>
      <c r="S180" s="599"/>
    </row>
    <row r="181" spans="1:19" ht="12" customHeight="1">
      <c r="A181" s="598"/>
      <c r="B181" s="602"/>
      <c r="C181" s="599"/>
      <c r="D181" s="599"/>
      <c r="E181" s="599"/>
      <c r="F181" s="599"/>
      <c r="G181" s="599"/>
      <c r="H181" s="599"/>
      <c r="I181" s="599"/>
      <c r="J181" s="599"/>
      <c r="K181" s="599"/>
      <c r="L181" s="599"/>
      <c r="M181" s="599"/>
      <c r="N181" s="599"/>
      <c r="O181" s="599"/>
      <c r="P181" s="599"/>
      <c r="Q181" s="599"/>
      <c r="R181" s="599"/>
      <c r="S181" s="599"/>
    </row>
    <row r="182" spans="1:19" ht="12" customHeight="1">
      <c r="A182" s="598"/>
      <c r="B182" s="602"/>
      <c r="C182" s="599"/>
      <c r="D182" s="599"/>
      <c r="E182" s="599"/>
      <c r="F182" s="599"/>
      <c r="G182" s="599"/>
      <c r="H182" s="599"/>
      <c r="I182" s="599"/>
      <c r="J182" s="599"/>
      <c r="K182" s="599"/>
      <c r="L182" s="599"/>
      <c r="M182" s="599"/>
      <c r="N182" s="599"/>
      <c r="O182" s="599"/>
      <c r="P182" s="599"/>
      <c r="Q182" s="599"/>
      <c r="R182" s="599"/>
      <c r="S182" s="599"/>
    </row>
    <row r="183" spans="1:19" ht="12" customHeight="1">
      <c r="A183" s="598"/>
      <c r="B183" s="602"/>
      <c r="C183" s="599"/>
      <c r="D183" s="599"/>
      <c r="E183" s="599"/>
      <c r="F183" s="599"/>
      <c r="G183" s="599"/>
      <c r="H183" s="599"/>
      <c r="I183" s="599"/>
      <c r="J183" s="599"/>
      <c r="K183" s="599"/>
      <c r="L183" s="599"/>
      <c r="M183" s="599"/>
      <c r="N183" s="599"/>
      <c r="O183" s="599"/>
      <c r="P183" s="599"/>
      <c r="Q183" s="599"/>
      <c r="R183" s="599"/>
      <c r="S183" s="599"/>
    </row>
    <row r="184" spans="1:19" ht="12" customHeight="1">
      <c r="A184" s="598"/>
      <c r="B184" s="602"/>
      <c r="C184" s="599"/>
      <c r="D184" s="599"/>
      <c r="E184" s="599"/>
      <c r="F184" s="599"/>
      <c r="G184" s="599"/>
      <c r="H184" s="599"/>
      <c r="I184" s="599"/>
      <c r="J184" s="599"/>
      <c r="K184" s="599"/>
      <c r="L184" s="599"/>
      <c r="M184" s="599"/>
      <c r="N184" s="599"/>
      <c r="O184" s="599"/>
      <c r="P184" s="599"/>
      <c r="Q184" s="599"/>
      <c r="R184" s="599"/>
      <c r="S184" s="599"/>
    </row>
    <row r="185" spans="1:19" ht="12" customHeight="1">
      <c r="A185" s="598"/>
      <c r="B185" s="602"/>
      <c r="C185" s="599"/>
      <c r="D185" s="599"/>
      <c r="E185" s="599"/>
      <c r="F185" s="599"/>
      <c r="G185" s="599"/>
      <c r="H185" s="599"/>
      <c r="I185" s="599"/>
      <c r="J185" s="599"/>
      <c r="K185" s="599"/>
      <c r="L185" s="599"/>
      <c r="M185" s="599"/>
      <c r="N185" s="599"/>
      <c r="O185" s="599"/>
      <c r="P185" s="599"/>
      <c r="Q185" s="599"/>
      <c r="R185" s="599"/>
      <c r="S185" s="599"/>
    </row>
    <row r="186" spans="1:19" ht="12" customHeight="1">
      <c r="A186" s="598"/>
      <c r="B186" s="602"/>
      <c r="C186" s="599"/>
      <c r="D186" s="599"/>
      <c r="E186" s="599"/>
      <c r="F186" s="599"/>
      <c r="G186" s="599"/>
      <c r="H186" s="599"/>
      <c r="I186" s="599"/>
      <c r="J186" s="599"/>
      <c r="K186" s="599"/>
      <c r="L186" s="599"/>
      <c r="M186" s="599"/>
      <c r="N186" s="599"/>
      <c r="O186" s="599"/>
      <c r="P186" s="599"/>
      <c r="Q186" s="599"/>
      <c r="R186" s="599"/>
      <c r="S186" s="599"/>
    </row>
    <row r="187" spans="1:19" ht="12" customHeight="1">
      <c r="A187" s="598"/>
      <c r="B187" s="602"/>
      <c r="C187" s="599"/>
      <c r="D187" s="599"/>
      <c r="E187" s="599"/>
      <c r="F187" s="599"/>
      <c r="G187" s="599"/>
      <c r="H187" s="599"/>
      <c r="I187" s="599"/>
      <c r="J187" s="599"/>
      <c r="K187" s="599"/>
      <c r="L187" s="599"/>
      <c r="M187" s="599"/>
      <c r="N187" s="599"/>
      <c r="O187" s="599"/>
      <c r="P187" s="599"/>
      <c r="Q187" s="599"/>
      <c r="R187" s="599"/>
      <c r="S187" s="599"/>
    </row>
    <row r="188" spans="1:19" ht="12" customHeight="1">
      <c r="A188" s="598"/>
      <c r="B188" s="602"/>
      <c r="C188" s="599"/>
      <c r="D188" s="599"/>
      <c r="E188" s="599"/>
      <c r="F188" s="599"/>
      <c r="G188" s="599"/>
      <c r="H188" s="599"/>
      <c r="I188" s="599"/>
      <c r="J188" s="599"/>
      <c r="K188" s="599"/>
      <c r="L188" s="599"/>
      <c r="M188" s="599"/>
      <c r="N188" s="599"/>
      <c r="O188" s="599"/>
      <c r="P188" s="599"/>
      <c r="Q188" s="599"/>
      <c r="R188" s="599"/>
      <c r="S188" s="599"/>
    </row>
    <row r="189" spans="1:19" ht="12" customHeight="1">
      <c r="A189" s="598"/>
      <c r="B189" s="602"/>
      <c r="C189" s="599"/>
      <c r="D189" s="599"/>
      <c r="E189" s="599"/>
      <c r="F189" s="599"/>
      <c r="G189" s="599"/>
      <c r="H189" s="599"/>
      <c r="I189" s="599"/>
      <c r="J189" s="599"/>
      <c r="K189" s="599"/>
      <c r="L189" s="599"/>
      <c r="M189" s="599"/>
      <c r="N189" s="599"/>
      <c r="O189" s="599"/>
      <c r="P189" s="599"/>
      <c r="Q189" s="599"/>
      <c r="R189" s="599"/>
      <c r="S189" s="599"/>
    </row>
    <row r="190" spans="1:19" ht="12" customHeight="1">
      <c r="A190" s="598"/>
      <c r="B190" s="602"/>
      <c r="C190" s="599"/>
      <c r="D190" s="599"/>
      <c r="E190" s="599"/>
      <c r="F190" s="599"/>
      <c r="G190" s="599"/>
      <c r="H190" s="599"/>
      <c r="I190" s="599"/>
      <c r="J190" s="599"/>
      <c r="K190" s="599"/>
      <c r="L190" s="599"/>
      <c r="M190" s="599"/>
      <c r="N190" s="599"/>
      <c r="O190" s="599"/>
      <c r="P190" s="599"/>
      <c r="Q190" s="599"/>
      <c r="R190" s="599"/>
      <c r="S190" s="599"/>
    </row>
    <row r="191" spans="1:19" ht="12" customHeight="1">
      <c r="A191" s="598"/>
      <c r="B191" s="602"/>
      <c r="C191" s="599"/>
      <c r="D191" s="599"/>
      <c r="E191" s="599"/>
      <c r="F191" s="599"/>
      <c r="G191" s="599"/>
      <c r="H191" s="599"/>
      <c r="I191" s="599"/>
      <c r="J191" s="599"/>
      <c r="K191" s="599"/>
      <c r="L191" s="599"/>
      <c r="M191" s="599"/>
      <c r="N191" s="599"/>
      <c r="O191" s="599"/>
      <c r="P191" s="599"/>
      <c r="Q191" s="599"/>
      <c r="R191" s="599"/>
      <c r="S191" s="599"/>
    </row>
    <row r="192" spans="1:19" ht="12" customHeight="1">
      <c r="G192" s="599"/>
      <c r="M192" s="599"/>
      <c r="N192" s="599"/>
      <c r="O192" s="599"/>
      <c r="P192" s="599"/>
      <c r="Q192" s="599"/>
      <c r="R192" s="599"/>
      <c r="S192" s="599"/>
    </row>
    <row r="193" spans="7:19" ht="12" customHeight="1">
      <c r="G193" s="599"/>
      <c r="M193" s="599"/>
      <c r="N193" s="599"/>
      <c r="O193" s="599"/>
      <c r="P193" s="599"/>
      <c r="Q193" s="599"/>
      <c r="R193" s="599"/>
      <c r="S193" s="599"/>
    </row>
  </sheetData>
  <sheetProtection algorithmName="SHA-512" hashValue="oZ5YE+LvWgjLfZAnsrsU43XgVrksvqVxOdOepnkJ5gCzB6LWFHtG7yB1NU6LrD70Gw9ptx70RzRX07t7qqBJ0w==" saltValue="Y8i3CK7X4cl8eFqbN+Z5UA==" spinCount="100000" sheet="1" objects="1" scenarios="1"/>
  <phoneticPr fontId="10" type="noConversion"/>
  <dataValidations count="3">
    <dataValidation type="whole" operator="greaterThanOrEqual" showInputMessage="1" showErrorMessage="1" errorTitle="Invalid Data Entry" error="Please enter a positive number or press the delete key or enter a zero." sqref="C69:E70 C90:E91 C104:E105 C131:E132 C145:E145 C156:E163 C147:C155 E154 D147:D154 E147:E152 C134:E142 C114:E118 C107:E112 C93:E101 C81:E86 C78:E79 C72:E76 C14 C15:D15 C18:D19 C10 F20 C23:E23 F24 C25:E25 F26 C28:D28 C30:D30 C34:D34 C37:E37 F38 F44 F51 C21">
      <formula1>0</formula1>
    </dataValidation>
    <dataValidation type="whole" operator="greaterThanOrEqual" showInputMessage="1" showErrorMessage="1" errorTitle="Invalid beginning cash balance" error="Please enter a number or press the delete key or enter zero." sqref="C9">
      <formula1>-100000000</formula1>
    </dataValidation>
    <dataValidation type="whole" operator="greaterThanOrEqual" showInputMessage="1" showErrorMessage="1" errorTitle="Invalid Data Entry" error="Please enter a positive number or press the delete key or enter zero." sqref="C32">
      <formula1>0</formula1>
    </dataValidation>
  </dataValidations>
  <hyperlinks>
    <hyperlink ref="H1" location="Contents!F1" display="Return to Contents page"/>
  </hyperlinks>
  <printOptions horizontalCentered="1"/>
  <pageMargins left="0.25" right="0.25" top="0.19" bottom="0.19" header="0.5" footer="0.5"/>
  <pageSetup scale="90" fitToHeight="3" orientation="portrait" blackAndWhite="1" r:id="rId1"/>
  <headerFooter alignWithMargins="0">
    <oddFooter>&amp;L&amp;D &amp;T&amp;CCode No. 10&amp;RPage &amp;P</oddFooter>
  </headerFooter>
  <rowBreaks count="2" manualBreakCount="2">
    <brk id="58" max="5" man="1"/>
    <brk id="119" max="5"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Q317"/>
  <sheetViews>
    <sheetView topLeftCell="A65" zoomScaleNormal="100" workbookViewId="0">
      <selection activeCell="C9" sqref="C9"/>
    </sheetView>
  </sheetViews>
  <sheetFormatPr defaultColWidth="10.7109375" defaultRowHeight="12" customHeight="1"/>
  <cols>
    <col min="1" max="1" width="44.5703125" style="1332" customWidth="1"/>
    <col min="2" max="2" width="4.85546875" style="1423" customWidth="1"/>
    <col min="3" max="4" width="14.140625" style="1324" customWidth="1"/>
    <col min="5" max="5" width="13.85546875" style="1324" customWidth="1"/>
    <col min="6" max="6" width="2.28515625" style="1324" customWidth="1"/>
    <col min="7" max="7" width="21.140625" style="1324" customWidth="1"/>
    <col min="8" max="16384" width="10.7109375" style="1324"/>
  </cols>
  <sheetData>
    <row r="1" spans="1:17" ht="12" customHeight="1">
      <c r="A1" s="1320"/>
      <c r="B1" s="1321"/>
      <c r="C1" s="1320"/>
      <c r="D1" s="1320"/>
      <c r="E1" s="1322" t="s">
        <v>1020</v>
      </c>
      <c r="F1" s="1320"/>
      <c r="G1" s="3013" t="s">
        <v>866</v>
      </c>
    </row>
    <row r="2" spans="1:17" ht="12" customHeight="1">
      <c r="A2" s="1322" t="s">
        <v>1019</v>
      </c>
      <c r="B2" s="1325">
        <f>OPEN!B4</f>
        <v>270</v>
      </c>
      <c r="C2" s="1320"/>
      <c r="D2" s="1320"/>
      <c r="E2" s="1322" t="s">
        <v>1212</v>
      </c>
      <c r="F2" s="1320"/>
      <c r="G2" s="1323"/>
    </row>
    <row r="3" spans="1:17" ht="12" customHeight="1">
      <c r="A3" s="1320"/>
      <c r="B3" s="1321"/>
      <c r="C3" s="1320"/>
      <c r="D3" s="1320"/>
      <c r="E3" s="1322" t="str">
        <f>OPEN!N2</f>
        <v>2016-2017</v>
      </c>
      <c r="F3" s="1320"/>
      <c r="G3" s="1323"/>
    </row>
    <row r="4" spans="1:17" ht="14.25" customHeight="1">
      <c r="A4" s="1320"/>
      <c r="B4" s="1321"/>
      <c r="C4" s="1320"/>
      <c r="D4" s="1320"/>
      <c r="E4" s="1320"/>
      <c r="F4" s="1320"/>
      <c r="G4" s="1323"/>
    </row>
    <row r="5" spans="1:17" ht="14.25" customHeight="1">
      <c r="A5" s="2800"/>
      <c r="B5" s="1327"/>
      <c r="C5" s="1328" t="s">
        <v>1213</v>
      </c>
      <c r="D5" s="1328" t="s">
        <v>1213</v>
      </c>
      <c r="E5" s="1328" t="s">
        <v>1213</v>
      </c>
      <c r="F5" s="1320"/>
      <c r="G5" s="1323"/>
    </row>
    <row r="6" spans="1:17" ht="11.85" customHeight="1">
      <c r="A6" s="1329"/>
      <c r="B6" s="1330" t="s">
        <v>1045</v>
      </c>
      <c r="C6" s="1331" t="str">
        <f>OPEN!N4</f>
        <v>2014-2015</v>
      </c>
      <c r="D6" s="1331" t="str">
        <f>OPEN!O4</f>
        <v>2015-2016</v>
      </c>
      <c r="E6" s="1331" t="str">
        <f>OPEN!P4</f>
        <v>2016-2017</v>
      </c>
      <c r="F6" s="1320"/>
      <c r="G6" s="1323"/>
      <c r="K6" s="1332"/>
      <c r="L6" s="1332"/>
      <c r="M6" s="1332"/>
      <c r="N6" s="1333"/>
      <c r="O6" s="1332"/>
      <c r="P6" s="1332"/>
      <c r="Q6" s="1332"/>
    </row>
    <row r="7" spans="1:17" ht="14.25" customHeight="1">
      <c r="A7" s="1329" t="s">
        <v>709</v>
      </c>
      <c r="B7" s="2865">
        <v>11</v>
      </c>
      <c r="C7" s="1335" t="s">
        <v>1139</v>
      </c>
      <c r="D7" s="1335" t="s">
        <v>1139</v>
      </c>
      <c r="E7" s="1335" t="s">
        <v>1215</v>
      </c>
      <c r="F7" s="1320"/>
      <c r="G7" s="1323"/>
      <c r="N7" s="1332"/>
      <c r="O7" s="1336"/>
      <c r="P7" s="1336"/>
      <c r="Q7" s="1336"/>
    </row>
    <row r="8" spans="1:17" ht="11.85" customHeight="1">
      <c r="A8" s="1337"/>
      <c r="B8" s="1338" t="s">
        <v>1051</v>
      </c>
      <c r="C8" s="2802">
        <v>1</v>
      </c>
      <c r="D8" s="2802">
        <v>2</v>
      </c>
      <c r="E8" s="2802">
        <v>3</v>
      </c>
      <c r="F8" s="1320"/>
      <c r="G8" s="1323"/>
      <c r="N8" s="1332"/>
      <c r="O8" s="1336"/>
      <c r="P8" s="1336"/>
      <c r="Q8" s="1336"/>
    </row>
    <row r="9" spans="1:17" ht="11.85" customHeight="1">
      <c r="A9" s="332" t="s">
        <v>1218</v>
      </c>
      <c r="B9" s="333">
        <v>1</v>
      </c>
      <c r="C9" s="2533"/>
      <c r="D9" s="3028">
        <f>C29</f>
        <v>0</v>
      </c>
      <c r="E9" s="3028">
        <f>D29</f>
        <v>0</v>
      </c>
      <c r="F9" s="1320"/>
      <c r="G9" s="1323"/>
      <c r="N9" s="1332"/>
      <c r="O9" s="1336"/>
      <c r="P9" s="1336"/>
      <c r="Q9" s="1336"/>
    </row>
    <row r="10" spans="1:17" s="1345" customFormat="1" ht="11.25" customHeight="1">
      <c r="A10" s="1340" t="s">
        <v>73</v>
      </c>
      <c r="B10" s="1341">
        <v>3</v>
      </c>
      <c r="C10" s="1380"/>
      <c r="D10" s="1380"/>
      <c r="E10" s="2531"/>
      <c r="F10" s="1344"/>
      <c r="G10" s="1344"/>
      <c r="N10" s="1346"/>
      <c r="O10" s="1347"/>
      <c r="P10" s="1347"/>
      <c r="Q10" s="1347"/>
    </row>
    <row r="11" spans="1:17" s="1345" customFormat="1" ht="11.25" customHeight="1">
      <c r="A11" s="1348" t="s">
        <v>19</v>
      </c>
      <c r="B11" s="1349"/>
      <c r="C11" s="2803"/>
      <c r="D11" s="2803"/>
      <c r="E11" s="2531"/>
      <c r="F11" s="1344"/>
      <c r="G11" s="1344"/>
      <c r="N11" s="1346"/>
      <c r="O11" s="1347"/>
      <c r="P11" s="1347"/>
      <c r="Q11" s="1347"/>
    </row>
    <row r="12" spans="1:17" s="1345" customFormat="1" ht="11.25" customHeight="1">
      <c r="A12" s="1351" t="s">
        <v>20</v>
      </c>
      <c r="B12" s="1349"/>
      <c r="C12" s="2803"/>
      <c r="D12" s="2803"/>
      <c r="E12" s="2531"/>
      <c r="F12" s="1344"/>
      <c r="G12" s="1344"/>
      <c r="N12" s="1346"/>
      <c r="O12" s="1347"/>
      <c r="P12" s="1347"/>
      <c r="Q12" s="1347"/>
    </row>
    <row r="13" spans="1:17" s="1345" customFormat="1" ht="11.25" customHeight="1">
      <c r="A13" s="1351" t="s">
        <v>735</v>
      </c>
      <c r="B13" s="1349"/>
      <c r="C13" s="2803"/>
      <c r="D13" s="2803"/>
      <c r="E13" s="2531"/>
      <c r="F13" s="1344"/>
      <c r="G13" s="1344"/>
      <c r="N13" s="1346"/>
      <c r="O13" s="1347"/>
      <c r="P13" s="1347"/>
      <c r="Q13" s="1347"/>
    </row>
    <row r="14" spans="1:17" s="1345" customFormat="1" ht="11.25" customHeight="1">
      <c r="A14" s="1352" t="s">
        <v>736</v>
      </c>
      <c r="B14" s="1353">
        <v>5</v>
      </c>
      <c r="C14" s="3031"/>
      <c r="D14" s="2532"/>
      <c r="E14" s="2806"/>
      <c r="F14" s="1344"/>
      <c r="G14" s="1344"/>
      <c r="N14" s="1346"/>
      <c r="O14" s="1346"/>
      <c r="P14" s="1346"/>
      <c r="Q14" s="1346"/>
    </row>
    <row r="15" spans="1:17" s="1345" customFormat="1" ht="11.25" customHeight="1">
      <c r="A15" s="1340" t="s">
        <v>737</v>
      </c>
      <c r="B15" s="1341">
        <v>15</v>
      </c>
      <c r="C15" s="2533"/>
      <c r="D15" s="2532"/>
      <c r="E15" s="2806"/>
      <c r="F15" s="1344"/>
      <c r="G15" s="1344"/>
      <c r="N15" s="1356"/>
      <c r="O15" s="1346"/>
      <c r="P15" s="1346"/>
      <c r="Q15" s="1346"/>
    </row>
    <row r="16" spans="1:17" s="1345" customFormat="1" ht="11.25" customHeight="1">
      <c r="A16" s="1340" t="s">
        <v>1099</v>
      </c>
      <c r="B16" s="1341">
        <v>25</v>
      </c>
      <c r="C16" s="2533"/>
      <c r="D16" s="2533"/>
      <c r="E16" s="2898"/>
      <c r="F16" s="1344"/>
      <c r="G16" s="1344"/>
      <c r="N16" s="1346"/>
      <c r="O16" s="1357"/>
      <c r="P16" s="1357"/>
      <c r="Q16" s="1357"/>
    </row>
    <row r="17" spans="1:17" s="1345" customFormat="1" ht="11.25" customHeight="1">
      <c r="A17" s="1340" t="s">
        <v>95</v>
      </c>
      <c r="B17" s="1341">
        <v>35</v>
      </c>
      <c r="C17" s="2533"/>
      <c r="D17" s="4988" t="s">
        <v>1189</v>
      </c>
      <c r="E17" s="4181" t="s">
        <v>1431</v>
      </c>
      <c r="F17" s="1344"/>
      <c r="G17" s="1344"/>
      <c r="N17" s="1346"/>
      <c r="O17" s="1357"/>
      <c r="P17" s="1357"/>
      <c r="Q17" s="1357"/>
    </row>
    <row r="18" spans="1:17" s="1345" customFormat="1" ht="11.25" customHeight="1">
      <c r="A18" s="1348" t="s">
        <v>738</v>
      </c>
      <c r="B18" s="1358">
        <v>45</v>
      </c>
      <c r="C18" s="2533"/>
      <c r="D18" s="4166"/>
      <c r="E18" s="2535"/>
      <c r="F18" s="1344"/>
      <c r="G18" s="1344"/>
      <c r="N18" s="1346"/>
      <c r="O18" s="1357"/>
      <c r="P18" s="1357"/>
      <c r="Q18" s="1357"/>
    </row>
    <row r="19" spans="1:17" s="1345" customFormat="1" ht="11.25" customHeight="1">
      <c r="A19" s="2884" t="s">
        <v>25</v>
      </c>
      <c r="B19" s="1330"/>
      <c r="C19" s="1362"/>
      <c r="D19" s="2804"/>
      <c r="E19" s="2535"/>
      <c r="F19" s="1344"/>
      <c r="G19" s="1344"/>
      <c r="N19" s="1346"/>
      <c r="O19" s="1357"/>
      <c r="P19" s="1357"/>
      <c r="Q19" s="1357"/>
    </row>
    <row r="20" spans="1:17" s="1345" customFormat="1" ht="11.25" customHeight="1">
      <c r="A20" s="2885" t="s">
        <v>27</v>
      </c>
      <c r="B20" s="1338">
        <v>75</v>
      </c>
      <c r="C20" s="2532"/>
      <c r="D20" s="4167"/>
      <c r="E20" s="2532"/>
      <c r="F20" s="1344"/>
      <c r="G20" s="1344"/>
    </row>
    <row r="21" spans="1:17" s="1345" customFormat="1" ht="11.25" customHeight="1">
      <c r="A21" s="1363" t="s">
        <v>46</v>
      </c>
      <c r="B21" s="1364"/>
      <c r="C21" s="2804"/>
      <c r="D21" s="2535"/>
      <c r="E21" s="2801"/>
      <c r="F21" s="1344"/>
      <c r="G21" s="1344"/>
    </row>
    <row r="22" spans="1:17" s="1345" customFormat="1" ht="11.25" customHeight="1">
      <c r="A22" s="1365" t="s">
        <v>708</v>
      </c>
      <c r="B22" s="1366">
        <v>115</v>
      </c>
      <c r="C22" s="2532"/>
      <c r="D22" s="2532"/>
      <c r="E22" s="2806"/>
      <c r="F22" s="1344"/>
      <c r="G22" s="1344"/>
    </row>
    <row r="23" spans="1:17" s="1345" customFormat="1" ht="11.25" customHeight="1">
      <c r="A23" s="1360" t="s">
        <v>48</v>
      </c>
      <c r="B23" s="1361"/>
      <c r="C23" s="2803"/>
      <c r="D23" s="2531"/>
      <c r="E23" s="2805"/>
      <c r="F23" s="1344"/>
      <c r="G23" s="1344"/>
    </row>
    <row r="24" spans="1:17" s="1345" customFormat="1" ht="11.25" customHeight="1">
      <c r="A24" s="1365" t="s">
        <v>49</v>
      </c>
      <c r="B24" s="1366">
        <v>135</v>
      </c>
      <c r="C24" s="2537">
        <f>'C06'!C355</f>
        <v>0</v>
      </c>
      <c r="D24" s="3030">
        <f>'C06'!D355</f>
        <v>0</v>
      </c>
      <c r="E24" s="2871">
        <f>'C06'!E355</f>
        <v>0</v>
      </c>
      <c r="F24" s="1344"/>
      <c r="G24" s="1344"/>
    </row>
    <row r="25" spans="1:17" s="1345" customFormat="1" ht="12.75" customHeight="1">
      <c r="A25" s="1367" t="s">
        <v>368</v>
      </c>
      <c r="B25" s="1368">
        <v>140</v>
      </c>
      <c r="C25" s="2538">
        <f>'C08'!C322</f>
        <v>0</v>
      </c>
      <c r="D25" s="2538">
        <f>'C08'!D322</f>
        <v>0</v>
      </c>
      <c r="E25" s="2872">
        <f>'C08'!E322</f>
        <v>0</v>
      </c>
      <c r="F25" s="1344"/>
      <c r="G25" s="3803"/>
    </row>
    <row r="26" spans="1:17" s="1345" customFormat="1" ht="11.25" customHeight="1">
      <c r="A26" s="1367" t="s">
        <v>50</v>
      </c>
      <c r="B26" s="1368">
        <v>145</v>
      </c>
      <c r="C26" s="2537">
        <f>'C053'!C275</f>
        <v>0</v>
      </c>
      <c r="D26" s="2538">
        <f>'C053'!D275</f>
        <v>0</v>
      </c>
      <c r="E26" s="4168" t="s">
        <v>1431</v>
      </c>
      <c r="F26" s="1344"/>
      <c r="G26" s="3335"/>
    </row>
    <row r="27" spans="1:17" s="1345" customFormat="1" ht="11.25" customHeight="1">
      <c r="A27" s="1373" t="s">
        <v>743</v>
      </c>
      <c r="B27" s="1374">
        <v>170</v>
      </c>
      <c r="C27" s="2538">
        <f>SUM(C9:C26)</f>
        <v>0</v>
      </c>
      <c r="D27" s="2538">
        <f>SUM(D9:D26)</f>
        <v>0</v>
      </c>
      <c r="E27" s="2808">
        <f>SUM(E9:E26)</f>
        <v>0</v>
      </c>
      <c r="F27" s="1344"/>
      <c r="G27" s="1344"/>
    </row>
    <row r="28" spans="1:17" s="1345" customFormat="1" ht="11.25" customHeight="1">
      <c r="A28" s="1367" t="s">
        <v>53</v>
      </c>
      <c r="B28" s="1368">
        <v>175</v>
      </c>
      <c r="C28" s="2538">
        <f>C180</f>
        <v>0</v>
      </c>
      <c r="D28" s="2538">
        <f>D180</f>
        <v>0</v>
      </c>
      <c r="E28" s="2809">
        <f>IF(E180&lt;=E27,E180,"ERROR")</f>
        <v>0</v>
      </c>
      <c r="F28" s="1344"/>
      <c r="G28" s="3590" t="str">
        <f>IF(E28="ERROR","Expenditures must be less than or equal to Resources Available","")</f>
        <v/>
      </c>
    </row>
    <row r="29" spans="1:17" s="1345" customFormat="1" ht="12.75" customHeight="1">
      <c r="A29" s="1609" t="s">
        <v>1250</v>
      </c>
      <c r="B29" s="1368">
        <v>190</v>
      </c>
      <c r="C29" s="3083">
        <f>C27-C28</f>
        <v>0</v>
      </c>
      <c r="D29" s="2537">
        <f>D27-D28</f>
        <v>0</v>
      </c>
      <c r="E29" s="2810">
        <f>IF(ISERROR(E27-E28),"NEGATIVE",E27-E28)</f>
        <v>0</v>
      </c>
      <c r="F29" s="1344"/>
      <c r="G29" s="3588"/>
    </row>
    <row r="30" spans="1:17" s="1345" customFormat="1" ht="18.75" customHeight="1">
      <c r="A30" s="1614"/>
      <c r="B30" s="3091"/>
      <c r="C30" s="3065"/>
      <c r="D30" s="3065"/>
      <c r="E30" s="3484"/>
      <c r="F30" s="1344"/>
      <c r="G30" s="2584"/>
    </row>
    <row r="31" spans="1:17" s="1345" customFormat="1" ht="16.5" customHeight="1">
      <c r="A31"/>
      <c r="B31"/>
      <c r="C31"/>
      <c r="D31"/>
      <c r="E31"/>
      <c r="F31" s="1344"/>
      <c r="G31" s="2584"/>
    </row>
    <row r="32" spans="1:17" s="1345" customFormat="1" ht="12.75" customHeight="1">
      <c r="A32" s="1326"/>
      <c r="B32" s="1327"/>
      <c r="C32" s="1328" t="s">
        <v>1213</v>
      </c>
      <c r="D32" s="1328" t="s">
        <v>1213</v>
      </c>
      <c r="E32" s="1328" t="s">
        <v>1213</v>
      </c>
      <c r="F32" s="1344"/>
      <c r="G32" s="1344"/>
    </row>
    <row r="33" spans="1:7" s="1345" customFormat="1" ht="11.25" customHeight="1">
      <c r="A33" s="1329" t="str">
        <f>A7</f>
        <v>AT RISK FUND (4 Year Old)</v>
      </c>
      <c r="B33" s="1330" t="s">
        <v>1045</v>
      </c>
      <c r="C33" s="1331" t="str">
        <f>C6</f>
        <v>2014-2015</v>
      </c>
      <c r="D33" s="1331" t="str">
        <f>D6</f>
        <v>2015-2016</v>
      </c>
      <c r="E33" s="1331" t="str">
        <f>E6</f>
        <v>2016-2017</v>
      </c>
      <c r="F33" s="1344"/>
      <c r="G33" s="1344"/>
    </row>
    <row r="34" spans="1:7" s="1345" customFormat="1" ht="11.25" customHeight="1">
      <c r="A34" s="1329" t="s">
        <v>81</v>
      </c>
      <c r="B34" s="1334">
        <v>11</v>
      </c>
      <c r="C34" s="1335" t="s">
        <v>1139</v>
      </c>
      <c r="D34" s="1335" t="s">
        <v>1139</v>
      </c>
      <c r="E34" s="1335" t="s">
        <v>1215</v>
      </c>
      <c r="F34" s="1344"/>
      <c r="G34" s="1344"/>
    </row>
    <row r="35" spans="1:7" s="1345" customFormat="1" ht="11.25" customHeight="1">
      <c r="A35" s="1337"/>
      <c r="B35" s="1338" t="s">
        <v>1051</v>
      </c>
      <c r="C35" s="2802">
        <v>1</v>
      </c>
      <c r="D35" s="2802">
        <v>2</v>
      </c>
      <c r="E35" s="1339">
        <v>3</v>
      </c>
      <c r="F35" s="1344"/>
      <c r="G35" s="1344"/>
    </row>
    <row r="36" spans="1:7" s="1345" customFormat="1" ht="11.25" customHeight="1">
      <c r="A36" s="1360" t="s">
        <v>1267</v>
      </c>
      <c r="B36" s="1361"/>
      <c r="C36" s="2811"/>
      <c r="D36" s="1377"/>
      <c r="E36" s="2813"/>
      <c r="F36" s="1344"/>
      <c r="G36" s="1344"/>
    </row>
    <row r="37" spans="1:7" s="1345" customFormat="1" ht="11.25" customHeight="1">
      <c r="A37" s="1363" t="s">
        <v>1268</v>
      </c>
      <c r="B37" s="1364"/>
      <c r="C37" s="2812"/>
      <c r="D37" s="1378"/>
      <c r="E37" s="2814"/>
      <c r="F37" s="1344"/>
      <c r="G37" s="1344"/>
    </row>
    <row r="38" spans="1:7" s="1345" customFormat="1" ht="11.25" customHeight="1">
      <c r="A38" s="1365" t="s">
        <v>1269</v>
      </c>
      <c r="B38" s="1366">
        <v>210</v>
      </c>
      <c r="C38" s="1379"/>
      <c r="D38" s="2546"/>
      <c r="E38" s="2815"/>
      <c r="F38" s="1344"/>
      <c r="G38" s="1344"/>
    </row>
    <row r="39" spans="1:7" s="1345" customFormat="1" ht="11.25" customHeight="1">
      <c r="A39" s="1367" t="s">
        <v>360</v>
      </c>
      <c r="B39" s="1368">
        <v>215</v>
      </c>
      <c r="C39" s="1379"/>
      <c r="D39" s="1380"/>
      <c r="E39" s="2816"/>
      <c r="F39" s="1344"/>
      <c r="G39" s="1344"/>
    </row>
    <row r="40" spans="1:7" s="1345" customFormat="1" ht="11.25" customHeight="1">
      <c r="A40" s="1360" t="s">
        <v>1271</v>
      </c>
      <c r="B40" s="1361"/>
      <c r="C40" s="2812"/>
      <c r="D40" s="1378"/>
      <c r="E40" s="2813"/>
      <c r="F40" s="1344"/>
      <c r="G40" s="1344"/>
    </row>
    <row r="41" spans="1:7" s="1345" customFormat="1" ht="11.25" customHeight="1">
      <c r="A41" s="1365" t="s">
        <v>1272</v>
      </c>
      <c r="B41" s="1366">
        <v>220</v>
      </c>
      <c r="C41" s="3066"/>
      <c r="D41" s="2546"/>
      <c r="E41" s="2815"/>
      <c r="F41" s="1344"/>
      <c r="G41" s="1344"/>
    </row>
    <row r="42" spans="1:7" s="1345" customFormat="1" ht="11.25" customHeight="1">
      <c r="A42" s="1367" t="s">
        <v>1273</v>
      </c>
      <c r="B42" s="1368">
        <v>225</v>
      </c>
      <c r="C42" s="1380"/>
      <c r="D42" s="1380"/>
      <c r="E42" s="2816"/>
      <c r="F42" s="1344"/>
      <c r="G42" s="1344"/>
    </row>
    <row r="43" spans="1:7" s="1345" customFormat="1" ht="11.25" customHeight="1">
      <c r="A43" s="1367" t="s">
        <v>1276</v>
      </c>
      <c r="B43" s="1368">
        <v>230</v>
      </c>
      <c r="C43" s="1380"/>
      <c r="D43" s="1380"/>
      <c r="E43" s="2816"/>
      <c r="F43" s="1344"/>
      <c r="G43" s="1344"/>
    </row>
    <row r="44" spans="1:7" s="1345" customFormat="1" ht="11.25" customHeight="1">
      <c r="A44" s="1367" t="s">
        <v>1</v>
      </c>
      <c r="B44" s="1368">
        <v>235</v>
      </c>
      <c r="C44" s="1380"/>
      <c r="D44" s="1380"/>
      <c r="E44" s="2816"/>
      <c r="F44" s="1344"/>
      <c r="G44" s="1344"/>
    </row>
    <row r="45" spans="1:7" s="1345" customFormat="1" ht="11.25" customHeight="1">
      <c r="A45" s="2918" t="s">
        <v>711</v>
      </c>
      <c r="B45" s="2919">
        <v>237</v>
      </c>
      <c r="C45" s="1380"/>
      <c r="D45" s="1380"/>
      <c r="E45" s="2826"/>
      <c r="F45" s="1344"/>
      <c r="G45" s="1344"/>
    </row>
    <row r="46" spans="1:7" s="1345" customFormat="1" ht="11.25" customHeight="1">
      <c r="A46" s="1360" t="s">
        <v>1282</v>
      </c>
      <c r="B46" s="1361"/>
      <c r="C46" s="2812"/>
      <c r="D46" s="1378"/>
      <c r="E46" s="2813"/>
      <c r="F46" s="1344"/>
      <c r="G46" s="1344"/>
    </row>
    <row r="47" spans="1:7" s="1345" customFormat="1" ht="11.25" customHeight="1">
      <c r="A47" s="1363" t="s">
        <v>1283</v>
      </c>
      <c r="B47" s="1364"/>
      <c r="C47" s="2812"/>
      <c r="D47" s="1378"/>
      <c r="E47" s="2814"/>
      <c r="F47" s="1344"/>
      <c r="G47" s="1344"/>
    </row>
    <row r="48" spans="1:7" s="1345" customFormat="1" ht="11.25" customHeight="1">
      <c r="A48" s="1365" t="s">
        <v>1284</v>
      </c>
      <c r="B48" s="1366">
        <v>240</v>
      </c>
      <c r="C48" s="3066"/>
      <c r="D48" s="2546"/>
      <c r="E48" s="2815"/>
      <c r="F48" s="1344"/>
      <c r="G48" s="1344"/>
    </row>
    <row r="49" spans="1:7" s="1345" customFormat="1" ht="11.25" customHeight="1">
      <c r="A49" s="1367" t="s">
        <v>1246</v>
      </c>
      <c r="B49" s="1368">
        <v>245</v>
      </c>
      <c r="C49" s="1380"/>
      <c r="D49" s="1380"/>
      <c r="E49" s="2816"/>
      <c r="F49" s="1344"/>
      <c r="G49" s="1344"/>
    </row>
    <row r="50" spans="1:7" s="1345" customFormat="1" ht="11.25" customHeight="1">
      <c r="A50" s="1367" t="s">
        <v>1287</v>
      </c>
      <c r="B50" s="1368">
        <v>250</v>
      </c>
      <c r="C50" s="1380"/>
      <c r="D50" s="1380"/>
      <c r="E50" s="2816"/>
      <c r="F50" s="1344"/>
      <c r="G50" s="1344"/>
    </row>
    <row r="51" spans="1:7" s="1345" customFormat="1" ht="11.25" customHeight="1">
      <c r="A51" s="1360" t="s">
        <v>1288</v>
      </c>
      <c r="B51" s="1361"/>
      <c r="C51" s="2812"/>
      <c r="D51" s="1378"/>
      <c r="E51" s="2813"/>
      <c r="F51" s="1344"/>
      <c r="G51" s="1344"/>
    </row>
    <row r="52" spans="1:7" s="1345" customFormat="1" ht="11.25" customHeight="1">
      <c r="A52" s="1365" t="s">
        <v>1289</v>
      </c>
      <c r="B52" s="1366">
        <v>255</v>
      </c>
      <c r="C52" s="3066"/>
      <c r="D52" s="2546"/>
      <c r="E52" s="2815"/>
      <c r="F52" s="1344"/>
      <c r="G52" s="1344"/>
    </row>
    <row r="53" spans="1:7" s="1345" customFormat="1" ht="11.25" customHeight="1">
      <c r="A53" s="1367" t="s">
        <v>1290</v>
      </c>
      <c r="B53" s="1368">
        <v>260</v>
      </c>
      <c r="C53" s="1380"/>
      <c r="D53" s="1380"/>
      <c r="E53" s="2816"/>
      <c r="F53" s="1344"/>
      <c r="G53" s="1344"/>
    </row>
    <row r="54" spans="1:7" s="1345" customFormat="1" ht="11.25" customHeight="1">
      <c r="A54" s="2920" t="s">
        <v>1256</v>
      </c>
      <c r="B54" s="2921">
        <v>263</v>
      </c>
      <c r="C54" s="1380"/>
      <c r="D54" s="1380"/>
      <c r="E54" s="2816"/>
      <c r="F54" s="1344"/>
      <c r="G54" s="1344"/>
    </row>
    <row r="55" spans="1:7" s="1345" customFormat="1" ht="11.25" customHeight="1">
      <c r="A55" s="1367" t="s">
        <v>1291</v>
      </c>
      <c r="B55" s="1368">
        <v>265</v>
      </c>
      <c r="C55" s="1380"/>
      <c r="D55" s="1380"/>
      <c r="E55" s="2816"/>
      <c r="F55" s="1344"/>
      <c r="G55" s="1344"/>
    </row>
    <row r="56" spans="1:7" s="1345" customFormat="1" ht="11.25" customHeight="1">
      <c r="A56" s="1367" t="s">
        <v>1292</v>
      </c>
      <c r="B56" s="1368">
        <v>270</v>
      </c>
      <c r="C56" s="1380"/>
      <c r="D56" s="1380"/>
      <c r="E56" s="2816"/>
      <c r="F56" s="1344"/>
      <c r="G56" s="1344"/>
    </row>
    <row r="57" spans="1:7" s="1345" customFormat="1" ht="11.25" customHeight="1">
      <c r="A57" s="1367" t="s">
        <v>1293</v>
      </c>
      <c r="B57" s="1368">
        <v>275</v>
      </c>
      <c r="C57" s="1380"/>
      <c r="D57" s="1380"/>
      <c r="E57" s="2816"/>
      <c r="F57" s="1344"/>
      <c r="G57" s="1344"/>
    </row>
    <row r="58" spans="1:7" s="1345" customFormat="1" ht="11.25" customHeight="1">
      <c r="A58" s="1348" t="s">
        <v>88</v>
      </c>
      <c r="B58" s="1358"/>
      <c r="C58" s="2812"/>
      <c r="D58" s="1378"/>
      <c r="E58" s="2813"/>
      <c r="F58" s="1344"/>
      <c r="G58" s="1383"/>
    </row>
    <row r="59" spans="1:7" s="1345" customFormat="1" ht="11.25" customHeight="1">
      <c r="A59" s="1351" t="s">
        <v>89</v>
      </c>
      <c r="B59" s="1349"/>
      <c r="C59" s="2812"/>
      <c r="D59" s="1378"/>
      <c r="E59" s="2814"/>
      <c r="F59" s="1344"/>
      <c r="G59" s="1383"/>
    </row>
    <row r="60" spans="1:7" s="1345" customFormat="1" ht="11.25" customHeight="1">
      <c r="A60" s="1363" t="s">
        <v>1309</v>
      </c>
      <c r="B60" s="1364"/>
      <c r="C60" s="2812"/>
      <c r="D60" s="1378"/>
      <c r="E60" s="2814"/>
      <c r="F60" s="1344"/>
      <c r="G60" s="1383"/>
    </row>
    <row r="61" spans="1:7" s="1345" customFormat="1" ht="11.25" customHeight="1">
      <c r="A61" s="1365" t="s">
        <v>1347</v>
      </c>
      <c r="B61" s="1366">
        <v>280</v>
      </c>
      <c r="C61" s="3066"/>
      <c r="D61" s="2546"/>
      <c r="E61" s="2815"/>
      <c r="F61" s="1344"/>
      <c r="G61" s="1383"/>
    </row>
    <row r="62" spans="1:7" s="1345" customFormat="1" ht="11.25" customHeight="1">
      <c r="A62" s="1367" t="s">
        <v>1270</v>
      </c>
      <c r="B62" s="1368">
        <v>285</v>
      </c>
      <c r="C62" s="1380"/>
      <c r="D62" s="1380"/>
      <c r="E62" s="2816"/>
      <c r="F62" s="1344"/>
      <c r="G62" s="1383"/>
    </row>
    <row r="63" spans="1:7" s="1332" customFormat="1" ht="14.25" customHeight="1">
      <c r="A63" s="1320"/>
      <c r="B63" s="1384"/>
      <c r="C63" s="1320"/>
      <c r="D63" s="1320"/>
      <c r="E63" s="1320"/>
      <c r="F63" s="1320"/>
      <c r="G63" s="1322"/>
    </row>
    <row r="64" spans="1:7" s="1332" customFormat="1" ht="12" customHeight="1">
      <c r="A64" s="1386"/>
      <c r="B64" s="1386"/>
      <c r="C64" s="1386"/>
      <c r="D64" s="1386"/>
      <c r="E64" s="1386"/>
      <c r="F64" s="1386"/>
      <c r="G64" s="1322"/>
    </row>
    <row r="65" spans="1:7" ht="12" customHeight="1">
      <c r="A65" s="1322" t="s">
        <v>1019</v>
      </c>
      <c r="B65" s="1325">
        <f>B2</f>
        <v>270</v>
      </c>
      <c r="C65" s="1320"/>
      <c r="D65" s="1320"/>
      <c r="E65" s="1322" t="s">
        <v>1020</v>
      </c>
      <c r="F65" s="1323"/>
      <c r="G65" s="1385"/>
    </row>
    <row r="66" spans="1:7" ht="12" customHeight="1">
      <c r="A66" s="1320"/>
      <c r="B66" s="1384"/>
      <c r="C66" s="1320"/>
      <c r="D66" s="1320"/>
      <c r="E66" s="1322" t="s">
        <v>1212</v>
      </c>
      <c r="F66" s="1323"/>
      <c r="G66" s="1385"/>
    </row>
    <row r="67" spans="1:7" ht="12" customHeight="1">
      <c r="A67" s="1320"/>
      <c r="B67" s="1384"/>
      <c r="C67" s="1320"/>
      <c r="D67" s="1320"/>
      <c r="E67" s="1322" t="str">
        <f>E3</f>
        <v>2016-2017</v>
      </c>
      <c r="F67" s="1323"/>
      <c r="G67" s="1385"/>
    </row>
    <row r="68" spans="1:7" ht="6" customHeight="1">
      <c r="A68" s="1320"/>
      <c r="B68" s="1384"/>
      <c r="C68" s="1320"/>
      <c r="D68" s="1320"/>
      <c r="E68" s="1320"/>
      <c r="F68" s="1323"/>
      <c r="G68" s="1323"/>
    </row>
    <row r="69" spans="1:7" ht="12" customHeight="1">
      <c r="A69" s="1320"/>
      <c r="B69" s="1321"/>
      <c r="C69" s="1384" t="s">
        <v>1213</v>
      </c>
      <c r="D69" s="1384" t="s">
        <v>1213</v>
      </c>
      <c r="E69" s="1384" t="s">
        <v>1213</v>
      </c>
      <c r="F69" s="1323"/>
      <c r="G69" s="1323"/>
    </row>
    <row r="70" spans="1:7" ht="12" customHeight="1">
      <c r="A70" s="1388" t="str">
        <f>A7</f>
        <v>AT RISK FUND (4 Year Old)</v>
      </c>
      <c r="B70" s="1389" t="s">
        <v>1045</v>
      </c>
      <c r="C70" s="1390" t="str">
        <f>C6</f>
        <v>2014-2015</v>
      </c>
      <c r="D70" s="1390" t="str">
        <f>D6</f>
        <v>2015-2016</v>
      </c>
      <c r="E70" s="1390" t="str">
        <f>E6</f>
        <v>2016-2017</v>
      </c>
      <c r="F70" s="1323"/>
      <c r="G70" s="1323"/>
    </row>
    <row r="71" spans="1:7" ht="12" customHeight="1">
      <c r="A71" s="1388" t="s">
        <v>81</v>
      </c>
      <c r="B71" s="1391">
        <v>11</v>
      </c>
      <c r="C71" s="1392" t="s">
        <v>1139</v>
      </c>
      <c r="D71" s="1392" t="s">
        <v>1139</v>
      </c>
      <c r="E71" s="1392" t="s">
        <v>1215</v>
      </c>
      <c r="F71" s="1323"/>
      <c r="G71" s="1323"/>
    </row>
    <row r="72" spans="1:7" ht="12" customHeight="1">
      <c r="A72" s="1393"/>
      <c r="B72" s="1394" t="s">
        <v>1051</v>
      </c>
      <c r="C72" s="2817">
        <v>1</v>
      </c>
      <c r="D72" s="2817">
        <v>2</v>
      </c>
      <c r="E72" s="1395">
        <v>3</v>
      </c>
      <c r="F72" s="1323"/>
      <c r="G72" s="1323"/>
    </row>
    <row r="73" spans="1:7" ht="12" customHeight="1">
      <c r="A73" s="1396" t="s">
        <v>1310</v>
      </c>
      <c r="B73" s="1397"/>
      <c r="C73" s="2818"/>
      <c r="D73" s="2540"/>
      <c r="E73" s="2820"/>
      <c r="F73" s="1323"/>
      <c r="G73" s="1323"/>
    </row>
    <row r="74" spans="1:7" ht="12" customHeight="1">
      <c r="A74" s="1399" t="s">
        <v>1311</v>
      </c>
      <c r="B74" s="1400">
        <v>290</v>
      </c>
      <c r="C74" s="3082"/>
      <c r="D74" s="2544"/>
      <c r="E74" s="2821"/>
      <c r="F74" s="1323"/>
      <c r="G74" s="1323"/>
    </row>
    <row r="75" spans="1:7" ht="12" customHeight="1">
      <c r="A75" s="1402" t="s">
        <v>1314</v>
      </c>
      <c r="B75" s="1403">
        <v>295</v>
      </c>
      <c r="C75" s="1409"/>
      <c r="D75" s="1409"/>
      <c r="E75" s="2822"/>
      <c r="F75" s="1323"/>
      <c r="G75" s="1323"/>
    </row>
    <row r="76" spans="1:7" ht="12" customHeight="1">
      <c r="A76" s="1402" t="s">
        <v>1315</v>
      </c>
      <c r="B76" s="1403">
        <v>300</v>
      </c>
      <c r="C76" s="1409"/>
      <c r="D76" s="1409"/>
      <c r="E76" s="2822"/>
      <c r="F76" s="1323"/>
      <c r="G76" s="1323"/>
    </row>
    <row r="77" spans="1:7" ht="12" customHeight="1">
      <c r="A77" s="1396" t="s">
        <v>1</v>
      </c>
      <c r="B77" s="1397">
        <v>305</v>
      </c>
      <c r="C77" s="1409"/>
      <c r="D77" s="1409"/>
      <c r="E77" s="2823"/>
      <c r="F77" s="1323"/>
      <c r="G77" s="1323"/>
    </row>
    <row r="78" spans="1:7" ht="12" customHeight="1">
      <c r="A78" s="2922" t="s">
        <v>1318</v>
      </c>
      <c r="B78" s="2923">
        <v>307</v>
      </c>
      <c r="C78" s="1409"/>
      <c r="D78" s="1409"/>
      <c r="E78" s="2823"/>
      <c r="F78" s="1323"/>
      <c r="G78" s="1323"/>
    </row>
    <row r="79" spans="1:7" ht="12" customHeight="1">
      <c r="A79" s="1402" t="s">
        <v>1327</v>
      </c>
      <c r="B79" s="1403">
        <v>310</v>
      </c>
      <c r="C79" s="1409"/>
      <c r="D79" s="1409"/>
      <c r="E79" s="2822"/>
      <c r="F79" s="1323"/>
      <c r="G79" s="1323"/>
    </row>
    <row r="80" spans="1:7" ht="12" customHeight="1">
      <c r="A80" s="1402" t="s">
        <v>1337</v>
      </c>
      <c r="B80" s="1403">
        <v>315</v>
      </c>
      <c r="C80" s="1409"/>
      <c r="D80" s="1409"/>
      <c r="E80" s="2822"/>
      <c r="F80" s="1323"/>
      <c r="G80" s="1323"/>
    </row>
    <row r="81" spans="1:7" ht="12" customHeight="1">
      <c r="A81" s="1402" t="s">
        <v>1345</v>
      </c>
      <c r="B81" s="1403">
        <v>320</v>
      </c>
      <c r="C81" s="1409"/>
      <c r="D81" s="1409"/>
      <c r="E81" s="2822"/>
      <c r="F81" s="1323"/>
      <c r="G81" s="1323"/>
    </row>
    <row r="82" spans="1:7" ht="12" customHeight="1">
      <c r="A82" s="1402" t="s">
        <v>1346</v>
      </c>
      <c r="B82" s="1403">
        <v>325</v>
      </c>
      <c r="C82" s="1409"/>
      <c r="D82" s="1409"/>
      <c r="E82" s="2822"/>
      <c r="F82" s="1323"/>
      <c r="G82" s="1323"/>
    </row>
    <row r="83" spans="1:7" ht="12" customHeight="1">
      <c r="A83" s="1396" t="s">
        <v>307</v>
      </c>
      <c r="B83" s="1397"/>
      <c r="C83" s="2819"/>
      <c r="D83" s="2543"/>
      <c r="E83" s="2820"/>
      <c r="F83" s="1323"/>
      <c r="G83" s="1323"/>
    </row>
    <row r="84" spans="1:7" ht="12" customHeight="1">
      <c r="A84" s="1406" t="s">
        <v>1309</v>
      </c>
      <c r="B84" s="1407"/>
      <c r="C84" s="2819"/>
      <c r="D84" s="2543"/>
      <c r="E84" s="2824"/>
      <c r="F84" s="1323"/>
      <c r="G84" s="1323"/>
    </row>
    <row r="85" spans="1:7" ht="12" customHeight="1">
      <c r="A85" s="1399" t="s">
        <v>1347</v>
      </c>
      <c r="B85" s="1400">
        <v>330</v>
      </c>
      <c r="C85" s="3082"/>
      <c r="D85" s="2544"/>
      <c r="E85" s="2821"/>
      <c r="F85" s="1323"/>
      <c r="G85" s="1323"/>
    </row>
    <row r="86" spans="1:7" ht="12" customHeight="1">
      <c r="A86" s="1402" t="s">
        <v>1270</v>
      </c>
      <c r="B86" s="1403">
        <v>335</v>
      </c>
      <c r="C86" s="1409"/>
      <c r="D86" s="1409"/>
      <c r="E86" s="2822"/>
      <c r="F86" s="1323"/>
      <c r="G86" s="1323"/>
    </row>
    <row r="87" spans="1:7" ht="12" customHeight="1">
      <c r="A87" s="1396" t="s">
        <v>1310</v>
      </c>
      <c r="B87" s="1397"/>
      <c r="C87" s="2819"/>
      <c r="D87" s="2543"/>
      <c r="E87" s="2820"/>
      <c r="F87" s="1323"/>
      <c r="G87" s="1323"/>
    </row>
    <row r="88" spans="1:7" ht="12" customHeight="1">
      <c r="A88" s="1399" t="s">
        <v>1311</v>
      </c>
      <c r="B88" s="1400">
        <v>340</v>
      </c>
      <c r="C88" s="3082"/>
      <c r="D88" s="2544"/>
      <c r="E88" s="2821"/>
      <c r="F88" s="1323"/>
      <c r="G88" s="1323"/>
    </row>
    <row r="89" spans="1:7" ht="12" customHeight="1">
      <c r="A89" s="1402" t="s">
        <v>1314</v>
      </c>
      <c r="B89" s="1403">
        <v>345</v>
      </c>
      <c r="C89" s="1409"/>
      <c r="D89" s="1409"/>
      <c r="E89" s="2822"/>
      <c r="F89" s="1323"/>
      <c r="G89" s="1323"/>
    </row>
    <row r="90" spans="1:7" ht="12" customHeight="1">
      <c r="A90" s="1402" t="s">
        <v>1315</v>
      </c>
      <c r="B90" s="1403">
        <v>350</v>
      </c>
      <c r="C90" s="1409"/>
      <c r="D90" s="1409"/>
      <c r="E90" s="2822"/>
      <c r="F90" s="1323"/>
      <c r="G90" s="1323"/>
    </row>
    <row r="91" spans="1:7" ht="12" customHeight="1">
      <c r="A91" s="1396" t="s">
        <v>1</v>
      </c>
      <c r="B91" s="1397">
        <v>355</v>
      </c>
      <c r="C91" s="1409"/>
      <c r="D91" s="1409"/>
      <c r="E91" s="2823"/>
      <c r="F91" s="1323"/>
      <c r="G91" s="1323"/>
    </row>
    <row r="92" spans="1:7" ht="12" customHeight="1">
      <c r="A92" s="2922" t="s">
        <v>1318</v>
      </c>
      <c r="B92" s="2923">
        <v>357</v>
      </c>
      <c r="C92" s="1409"/>
      <c r="D92" s="1409"/>
      <c r="E92" s="2823"/>
      <c r="F92" s="1323"/>
      <c r="G92" s="1323"/>
    </row>
    <row r="93" spans="1:7" ht="12" customHeight="1">
      <c r="A93" s="1402" t="s">
        <v>1327</v>
      </c>
      <c r="B93" s="1403">
        <v>360</v>
      </c>
      <c r="C93" s="1409"/>
      <c r="D93" s="1409"/>
      <c r="E93" s="2822"/>
      <c r="F93" s="1323"/>
      <c r="G93" s="1323"/>
    </row>
    <row r="94" spans="1:7" ht="12" customHeight="1">
      <c r="A94" s="1396" t="s">
        <v>1337</v>
      </c>
      <c r="B94" s="1397"/>
      <c r="C94" s="2819"/>
      <c r="D94" s="2543"/>
      <c r="E94" s="2820"/>
      <c r="F94" s="1323"/>
      <c r="G94" s="1323"/>
    </row>
    <row r="95" spans="1:7" ht="12" customHeight="1">
      <c r="A95" s="1406" t="s">
        <v>745</v>
      </c>
      <c r="B95" s="1407">
        <v>365</v>
      </c>
      <c r="C95" s="3082"/>
      <c r="D95" s="2544"/>
      <c r="E95" s="2825"/>
      <c r="F95" s="1323"/>
      <c r="G95" s="1323"/>
    </row>
    <row r="96" spans="1:7" ht="12" customHeight="1">
      <c r="A96" s="1396" t="s">
        <v>795</v>
      </c>
      <c r="B96" s="1397">
        <v>370</v>
      </c>
      <c r="C96" s="1409"/>
      <c r="D96" s="1409"/>
      <c r="E96" s="2823"/>
      <c r="F96" s="1323"/>
      <c r="G96" s="1323"/>
    </row>
    <row r="97" spans="1:7" ht="12" customHeight="1">
      <c r="A97" s="1402" t="s">
        <v>1344</v>
      </c>
      <c r="B97" s="1403">
        <v>375</v>
      </c>
      <c r="C97" s="1409"/>
      <c r="D97" s="1409"/>
      <c r="E97" s="2822"/>
      <c r="F97" s="1323"/>
      <c r="G97" s="1323"/>
    </row>
    <row r="98" spans="1:7" ht="12" customHeight="1">
      <c r="A98" s="1402" t="s">
        <v>1345</v>
      </c>
      <c r="B98" s="1403">
        <v>380</v>
      </c>
      <c r="C98" s="1409"/>
      <c r="D98" s="1409"/>
      <c r="E98" s="2822"/>
      <c r="F98" s="1323"/>
      <c r="G98" s="1323"/>
    </row>
    <row r="99" spans="1:7" ht="12.75" customHeight="1">
      <c r="A99" s="1402" t="s">
        <v>1346</v>
      </c>
      <c r="B99" s="1403">
        <v>385</v>
      </c>
      <c r="C99" s="1409"/>
      <c r="D99" s="1409"/>
      <c r="E99" s="2822"/>
      <c r="F99" s="1323"/>
      <c r="G99" s="1323"/>
    </row>
    <row r="100" spans="1:7" ht="12" customHeight="1">
      <c r="A100" s="1411" t="s">
        <v>102</v>
      </c>
      <c r="B100" s="1412"/>
      <c r="C100" s="2819"/>
      <c r="D100" s="2543"/>
      <c r="E100" s="2820"/>
      <c r="F100" s="1323"/>
      <c r="G100" s="1323"/>
    </row>
    <row r="101" spans="1:7" ht="12" customHeight="1">
      <c r="A101" s="1413" t="s">
        <v>1309</v>
      </c>
      <c r="B101" s="1414"/>
      <c r="C101" s="2819"/>
      <c r="D101" s="2543"/>
      <c r="E101" s="2824"/>
      <c r="F101" s="1323"/>
      <c r="G101" s="1323"/>
    </row>
    <row r="102" spans="1:7" ht="12" customHeight="1">
      <c r="A102" s="1415" t="s">
        <v>1347</v>
      </c>
      <c r="B102" s="1416">
        <v>390</v>
      </c>
      <c r="C102" s="3082"/>
      <c r="D102" s="2544"/>
      <c r="E102" s="2821"/>
      <c r="F102" s="1323"/>
      <c r="G102" s="1323"/>
    </row>
    <row r="103" spans="1:7" ht="12" customHeight="1">
      <c r="A103" s="1417" t="s">
        <v>1270</v>
      </c>
      <c r="B103" s="1418">
        <v>395</v>
      </c>
      <c r="C103" s="1409"/>
      <c r="D103" s="1409"/>
      <c r="E103" s="2822"/>
      <c r="F103" s="1323"/>
      <c r="G103" s="1323"/>
    </row>
    <row r="104" spans="1:7" ht="12" customHeight="1">
      <c r="A104" s="1348" t="s">
        <v>1310</v>
      </c>
      <c r="B104" s="1358"/>
      <c r="C104" s="2812"/>
      <c r="D104" s="1378"/>
      <c r="E104" s="2813"/>
      <c r="F104" s="1387"/>
      <c r="G104" s="1323"/>
    </row>
    <row r="105" spans="1:7" ht="12" customHeight="1">
      <c r="A105" s="1352" t="s">
        <v>1311</v>
      </c>
      <c r="B105" s="1353">
        <v>400</v>
      </c>
      <c r="C105" s="3066"/>
      <c r="D105" s="2546"/>
      <c r="E105" s="2815"/>
      <c r="F105" s="1387"/>
      <c r="G105" s="1323"/>
    </row>
    <row r="106" spans="1:7" ht="12" customHeight="1">
      <c r="A106" s="1352" t="s">
        <v>1314</v>
      </c>
      <c r="B106" s="1353">
        <v>405</v>
      </c>
      <c r="C106" s="1380"/>
      <c r="D106" s="1380"/>
      <c r="E106" s="2815"/>
      <c r="F106" s="1387"/>
      <c r="G106" s="1323"/>
    </row>
    <row r="107" spans="1:7" ht="12" customHeight="1">
      <c r="A107" s="1340" t="s">
        <v>1315</v>
      </c>
      <c r="B107" s="1341">
        <v>410</v>
      </c>
      <c r="C107" s="1380"/>
      <c r="D107" s="1380"/>
      <c r="E107" s="2816"/>
      <c r="F107" s="1387"/>
      <c r="G107" s="1323"/>
    </row>
    <row r="108" spans="1:7" ht="12" customHeight="1">
      <c r="A108" s="1348" t="s">
        <v>1</v>
      </c>
      <c r="B108" s="1358">
        <v>415</v>
      </c>
      <c r="C108" s="1380"/>
      <c r="D108" s="1380"/>
      <c r="E108" s="2826"/>
      <c r="F108" s="1387"/>
      <c r="G108" s="1323"/>
    </row>
    <row r="109" spans="1:7" ht="12" customHeight="1">
      <c r="A109" s="1340" t="s">
        <v>1327</v>
      </c>
      <c r="B109" s="1341">
        <v>420</v>
      </c>
      <c r="C109" s="1380"/>
      <c r="D109" s="1380"/>
      <c r="E109" s="1380"/>
      <c r="F109" s="1387"/>
      <c r="G109" s="1323"/>
    </row>
    <row r="110" spans="1:7" ht="11.85" customHeight="1">
      <c r="A110" s="1340" t="s">
        <v>1337</v>
      </c>
      <c r="B110" s="1341">
        <v>425</v>
      </c>
      <c r="C110" s="1380"/>
      <c r="D110" s="1380"/>
      <c r="E110" s="2816"/>
      <c r="F110" s="1323"/>
      <c r="G110" s="1323"/>
    </row>
    <row r="111" spans="1:7" ht="11.85" customHeight="1">
      <c r="A111" s="1340" t="s">
        <v>1345</v>
      </c>
      <c r="B111" s="1341">
        <v>430</v>
      </c>
      <c r="C111" s="1380"/>
      <c r="D111" s="1380"/>
      <c r="E111" s="2816"/>
      <c r="F111" s="1323"/>
      <c r="G111" s="1323"/>
    </row>
    <row r="112" spans="1:7" ht="11.85" customHeight="1">
      <c r="A112" s="1340" t="s">
        <v>1346</v>
      </c>
      <c r="B112" s="1341">
        <v>435</v>
      </c>
      <c r="C112" s="1380"/>
      <c r="D112" s="1380"/>
      <c r="E112" s="2816"/>
      <c r="F112" s="1323"/>
      <c r="G112" s="1323"/>
    </row>
    <row r="113" spans="1:7" ht="11.85" customHeight="1">
      <c r="A113" s="375" t="s">
        <v>1745</v>
      </c>
      <c r="B113" s="379"/>
      <c r="C113" s="3852"/>
      <c r="D113" s="3851"/>
      <c r="E113" s="3854"/>
      <c r="F113" s="1323"/>
      <c r="G113" s="1323"/>
    </row>
    <row r="114" spans="1:7" ht="11.85" customHeight="1">
      <c r="A114" s="378" t="s">
        <v>1544</v>
      </c>
      <c r="B114" s="379"/>
      <c r="C114" s="3853"/>
      <c r="D114" s="2635"/>
      <c r="E114" s="3854"/>
      <c r="F114" s="1323"/>
      <c r="G114" s="1323"/>
    </row>
    <row r="115" spans="1:7" ht="11.85" customHeight="1">
      <c r="A115" s="381" t="s">
        <v>1746</v>
      </c>
      <c r="B115" s="2903">
        <v>535</v>
      </c>
      <c r="C115" s="3959"/>
      <c r="D115" s="3951"/>
      <c r="E115" s="3958"/>
      <c r="F115" s="1323"/>
      <c r="G115" s="1323"/>
    </row>
    <row r="116" spans="1:7" ht="11.85" customHeight="1">
      <c r="A116" s="384" t="s">
        <v>1732</v>
      </c>
      <c r="B116" s="2902">
        <v>540</v>
      </c>
      <c r="C116" s="3954"/>
      <c r="D116" s="3954"/>
      <c r="E116" s="3960"/>
      <c r="F116" s="1323"/>
      <c r="G116" s="1323"/>
    </row>
    <row r="117" spans="1:7" ht="11.85" customHeight="1">
      <c r="A117" s="378" t="s">
        <v>944</v>
      </c>
      <c r="B117" s="2900"/>
      <c r="C117" s="3961"/>
      <c r="D117" s="3955"/>
      <c r="E117" s="3962"/>
      <c r="F117" s="1323"/>
      <c r="G117" s="1323"/>
    </row>
    <row r="118" spans="1:7" ht="11.85" customHeight="1">
      <c r="A118" s="381" t="s">
        <v>1748</v>
      </c>
      <c r="B118" s="2900">
        <v>545</v>
      </c>
      <c r="C118" s="3959"/>
      <c r="D118" s="3951"/>
      <c r="E118" s="3963"/>
      <c r="F118" s="1323"/>
      <c r="G118" s="1323"/>
    </row>
    <row r="119" spans="1:7" ht="11.85" customHeight="1">
      <c r="A119" s="384" t="s">
        <v>1747</v>
      </c>
      <c r="B119" s="2902">
        <v>550</v>
      </c>
      <c r="C119" s="3954"/>
      <c r="D119" s="3954"/>
      <c r="E119" s="3960"/>
      <c r="F119" s="1323"/>
      <c r="G119" s="1323"/>
    </row>
    <row r="120" spans="1:7" ht="11.85" customHeight="1">
      <c r="A120" s="384" t="s">
        <v>1749</v>
      </c>
      <c r="B120" s="2902">
        <v>555</v>
      </c>
      <c r="C120" s="3954"/>
      <c r="D120" s="3954"/>
      <c r="E120" s="3960"/>
      <c r="F120" s="1323"/>
      <c r="G120" s="1323"/>
    </row>
    <row r="121" spans="1:7" ht="11.85" customHeight="1">
      <c r="A121" s="384" t="s">
        <v>1439</v>
      </c>
      <c r="B121" s="2902">
        <v>560</v>
      </c>
      <c r="C121" s="3954"/>
      <c r="D121" s="3954"/>
      <c r="E121" s="3960"/>
      <c r="F121" s="1323"/>
      <c r="G121" s="1323"/>
    </row>
    <row r="122" spans="1:7" ht="11.85" customHeight="1">
      <c r="A122" s="384" t="s">
        <v>711</v>
      </c>
      <c r="B122" s="2902">
        <v>565</v>
      </c>
      <c r="C122" s="3954"/>
      <c r="D122" s="3954"/>
      <c r="E122" s="3960"/>
      <c r="F122" s="1323"/>
      <c r="G122" s="1323"/>
    </row>
    <row r="123" spans="1:7" ht="11.85" customHeight="1">
      <c r="A123" s="384" t="s">
        <v>683</v>
      </c>
      <c r="B123" s="2902">
        <v>570</v>
      </c>
      <c r="C123" s="3954"/>
      <c r="D123" s="3954"/>
      <c r="E123" s="3960"/>
      <c r="F123" s="1323"/>
      <c r="G123" s="1323"/>
    </row>
    <row r="124" spans="1:7" ht="11.85" customHeight="1">
      <c r="A124" s="384" t="s">
        <v>1738</v>
      </c>
      <c r="B124" s="2902">
        <v>575</v>
      </c>
      <c r="C124" s="3954"/>
      <c r="D124" s="3954"/>
      <c r="E124" s="3960"/>
      <c r="F124" s="1323"/>
      <c r="G124" s="1323"/>
    </row>
    <row r="125" spans="1:7" ht="11.85" customHeight="1">
      <c r="A125" s="384" t="s">
        <v>1739</v>
      </c>
      <c r="B125" s="2902">
        <v>580</v>
      </c>
      <c r="C125" s="3954"/>
      <c r="D125" s="3954"/>
      <c r="E125" s="3960"/>
      <c r="F125" s="1323"/>
      <c r="G125" s="1323"/>
    </row>
    <row r="126" spans="1:7" ht="11.85" customHeight="1">
      <c r="A126" s="384" t="s">
        <v>943</v>
      </c>
      <c r="B126" s="2902">
        <v>585</v>
      </c>
      <c r="C126" s="3964"/>
      <c r="D126" s="3954"/>
      <c r="E126" s="3960"/>
      <c r="F126" s="1323"/>
      <c r="G126" s="1323"/>
    </row>
    <row r="127" spans="1:7" ht="11.85" customHeight="1">
      <c r="A127" s="1322" t="s">
        <v>1019</v>
      </c>
      <c r="B127" s="1325">
        <f>B2</f>
        <v>270</v>
      </c>
      <c r="C127" s="1320"/>
      <c r="D127" s="1320"/>
      <c r="E127" s="1322" t="s">
        <v>1020</v>
      </c>
      <c r="F127" s="1323"/>
      <c r="G127" s="1323"/>
    </row>
    <row r="128" spans="1:7" ht="11.85" customHeight="1">
      <c r="A128" s="1320"/>
      <c r="B128" s="1384"/>
      <c r="C128" s="1320"/>
      <c r="D128" s="1320"/>
      <c r="E128" s="1322" t="s">
        <v>1212</v>
      </c>
      <c r="F128" s="1323"/>
      <c r="G128" s="1323"/>
    </row>
    <row r="129" spans="1:7" ht="11.85" customHeight="1">
      <c r="A129" s="1320"/>
      <c r="B129" s="1384"/>
      <c r="C129" s="1320"/>
      <c r="D129" s="1320"/>
      <c r="E129" s="1322" t="str">
        <f>E3</f>
        <v>2016-2017</v>
      </c>
      <c r="F129" s="1323"/>
      <c r="G129" s="1323"/>
    </row>
    <row r="130" spans="1:7" ht="11.85" customHeight="1">
      <c r="A130" s="1320"/>
      <c r="B130" s="1384"/>
      <c r="C130" s="1320"/>
      <c r="D130" s="1320"/>
      <c r="E130" s="1320"/>
      <c r="F130" s="1323"/>
      <c r="G130" s="1323"/>
    </row>
    <row r="131" spans="1:7" ht="11.85" customHeight="1">
      <c r="A131" s="1320"/>
      <c r="B131" s="1321"/>
      <c r="C131" s="1384" t="s">
        <v>1213</v>
      </c>
      <c r="D131" s="1384" t="s">
        <v>1213</v>
      </c>
      <c r="E131" s="1384" t="s">
        <v>1213</v>
      </c>
      <c r="F131" s="1323"/>
      <c r="G131" s="1323"/>
    </row>
    <row r="132" spans="1:7" ht="11.85" customHeight="1">
      <c r="A132" s="1388" t="str">
        <f>A70</f>
        <v>AT RISK FUND (4 Year Old)</v>
      </c>
      <c r="B132" s="1389" t="s">
        <v>1045</v>
      </c>
      <c r="C132" s="1390" t="str">
        <f>C6</f>
        <v>2014-2015</v>
      </c>
      <c r="D132" s="1390" t="str">
        <f>D6</f>
        <v>2015-2016</v>
      </c>
      <c r="E132" s="1390" t="str">
        <f>E6</f>
        <v>2016-2017</v>
      </c>
      <c r="F132" s="1323"/>
      <c r="G132" s="1323"/>
    </row>
    <row r="133" spans="1:7" ht="11.85" customHeight="1">
      <c r="A133" s="1388" t="s">
        <v>81</v>
      </c>
      <c r="B133" s="1391">
        <v>11</v>
      </c>
      <c r="C133" s="1392" t="s">
        <v>1139</v>
      </c>
      <c r="D133" s="1392" t="s">
        <v>1139</v>
      </c>
      <c r="E133" s="1392" t="s">
        <v>1215</v>
      </c>
      <c r="F133" s="1323"/>
      <c r="G133" s="1323"/>
    </row>
    <row r="134" spans="1:7" ht="11.85" customHeight="1">
      <c r="A134" s="1393"/>
      <c r="B134" s="1394" t="s">
        <v>1051</v>
      </c>
      <c r="C134" s="1395">
        <v>1</v>
      </c>
      <c r="D134" s="1395">
        <v>2</v>
      </c>
      <c r="E134" s="1395">
        <v>3</v>
      </c>
      <c r="F134" s="1323"/>
      <c r="G134" s="1323"/>
    </row>
    <row r="135" spans="1:7" ht="11.85" customHeight="1">
      <c r="A135" s="1348" t="s">
        <v>1308</v>
      </c>
      <c r="B135" s="1358"/>
      <c r="C135" s="2812"/>
      <c r="D135" s="1378"/>
      <c r="E135" s="2813"/>
      <c r="F135" s="1323"/>
      <c r="G135" s="1323"/>
    </row>
    <row r="136" spans="1:7" ht="11.85" customHeight="1">
      <c r="A136" s="1351" t="s">
        <v>1309</v>
      </c>
      <c r="B136" s="1349"/>
      <c r="C136" s="2812"/>
      <c r="D136" s="1378"/>
      <c r="E136" s="2814"/>
      <c r="F136" s="1323"/>
      <c r="G136" s="1323"/>
    </row>
    <row r="137" spans="1:7" ht="11.85" customHeight="1">
      <c r="A137" s="1352" t="s">
        <v>1270</v>
      </c>
      <c r="B137" s="1353">
        <v>440</v>
      </c>
      <c r="C137" s="1379"/>
      <c r="D137" s="1379"/>
      <c r="E137" s="2815"/>
      <c r="F137" s="1323"/>
      <c r="G137" s="1323"/>
    </row>
    <row r="138" spans="1:7" ht="11.85" customHeight="1">
      <c r="A138" s="1348" t="s">
        <v>1310</v>
      </c>
      <c r="B138" s="1358"/>
      <c r="C138" s="2812"/>
      <c r="D138" s="1378"/>
      <c r="E138" s="2813"/>
      <c r="F138" s="1323"/>
      <c r="G138" s="1323"/>
    </row>
    <row r="139" spans="1:7" ht="11.85" customHeight="1">
      <c r="A139" s="1352" t="s">
        <v>1311</v>
      </c>
      <c r="B139" s="1353">
        <v>445</v>
      </c>
      <c r="C139" s="3066"/>
      <c r="D139" s="2546"/>
      <c r="E139" s="2815"/>
      <c r="F139" s="1323"/>
      <c r="G139" s="1323"/>
    </row>
    <row r="140" spans="1:7" ht="11.85" customHeight="1">
      <c r="A140" s="1340" t="s">
        <v>1314</v>
      </c>
      <c r="B140" s="1341">
        <v>450</v>
      </c>
      <c r="C140" s="1380"/>
      <c r="D140" s="1380"/>
      <c r="E140" s="2816"/>
      <c r="F140" s="1323"/>
      <c r="G140" s="1323"/>
    </row>
    <row r="141" spans="1:7" ht="11.85" customHeight="1">
      <c r="A141" s="1351" t="s">
        <v>1315</v>
      </c>
      <c r="B141" s="1349">
        <v>455</v>
      </c>
      <c r="C141" s="1380"/>
      <c r="D141" s="1380"/>
      <c r="E141" s="2827"/>
      <c r="F141" s="1323"/>
      <c r="G141" s="1323"/>
    </row>
    <row r="142" spans="1:7" ht="11.85" customHeight="1">
      <c r="A142" s="1340" t="s">
        <v>1</v>
      </c>
      <c r="B142" s="1341">
        <v>460</v>
      </c>
      <c r="C142" s="1380"/>
      <c r="D142" s="1379"/>
      <c r="E142" s="2816"/>
      <c r="F142" s="1323"/>
      <c r="G142" s="1323"/>
    </row>
    <row r="143" spans="1:7" ht="11.85" customHeight="1">
      <c r="A143" s="1348" t="s">
        <v>1318</v>
      </c>
      <c r="B143" s="1358"/>
      <c r="C143" s="2812"/>
      <c r="D143" s="1378"/>
      <c r="E143" s="2813"/>
      <c r="F143" s="1323"/>
      <c r="G143" s="1323"/>
    </row>
    <row r="144" spans="1:7" ht="11.85" customHeight="1">
      <c r="A144" s="1352" t="s">
        <v>1319</v>
      </c>
      <c r="B144" s="1353">
        <v>465</v>
      </c>
      <c r="C144" s="3066"/>
      <c r="D144" s="2546"/>
      <c r="E144" s="2815"/>
      <c r="F144" s="1323"/>
      <c r="G144" s="1323"/>
    </row>
    <row r="145" spans="1:7" ht="11.85" customHeight="1">
      <c r="A145" s="1340" t="s">
        <v>1320</v>
      </c>
      <c r="B145" s="1341">
        <v>470</v>
      </c>
      <c r="C145" s="1380"/>
      <c r="D145" s="1380"/>
      <c r="E145" s="2816"/>
      <c r="F145" s="1323"/>
      <c r="G145" s="1323"/>
    </row>
    <row r="146" spans="1:7" ht="11.85" customHeight="1">
      <c r="A146" s="1340" t="s">
        <v>1321</v>
      </c>
      <c r="B146" s="1341">
        <v>475</v>
      </c>
      <c r="C146" s="1380"/>
      <c r="D146" s="1380"/>
      <c r="E146" s="2816"/>
      <c r="F146" s="1323"/>
      <c r="G146" s="1323"/>
    </row>
    <row r="147" spans="1:7" ht="11.85" customHeight="1">
      <c r="A147" s="1340" t="s">
        <v>1322</v>
      </c>
      <c r="B147" s="1341">
        <v>480</v>
      </c>
      <c r="C147" s="1380"/>
      <c r="D147" s="1380"/>
      <c r="E147" s="2816"/>
      <c r="F147" s="1323"/>
      <c r="G147" s="1323"/>
    </row>
    <row r="148" spans="1:7" ht="11.85" customHeight="1">
      <c r="A148" s="1340" t="s">
        <v>1326</v>
      </c>
      <c r="B148" s="1341">
        <v>485</v>
      </c>
      <c r="C148" s="1380"/>
      <c r="D148" s="1380"/>
      <c r="E148" s="2816"/>
      <c r="F148" s="1323"/>
      <c r="G148" s="1323"/>
    </row>
    <row r="149" spans="1:7" ht="11.85" customHeight="1">
      <c r="A149" s="1340" t="s">
        <v>1327</v>
      </c>
      <c r="B149" s="1341">
        <v>490</v>
      </c>
      <c r="C149" s="1380"/>
      <c r="D149" s="1380"/>
      <c r="E149" s="2816"/>
      <c r="F149" s="1323"/>
      <c r="G149" s="1323"/>
    </row>
    <row r="150" spans="1:7" ht="11.85" customHeight="1">
      <c r="A150" s="1348" t="s">
        <v>1337</v>
      </c>
      <c r="B150" s="1358"/>
      <c r="C150" s="2812"/>
      <c r="D150" s="1378"/>
      <c r="E150" s="2813"/>
      <c r="F150" s="1323"/>
      <c r="G150" s="1323"/>
    </row>
    <row r="151" spans="1:7" ht="11.85" customHeight="1">
      <c r="A151" s="1352" t="s">
        <v>1338</v>
      </c>
      <c r="B151" s="1353">
        <v>495</v>
      </c>
      <c r="C151" s="1379"/>
      <c r="D151" s="1379"/>
      <c r="E151" s="2815"/>
      <c r="F151" s="1323"/>
      <c r="G151" s="1323"/>
    </row>
    <row r="152" spans="1:7" ht="11.85" customHeight="1">
      <c r="A152" s="1348" t="s">
        <v>1339</v>
      </c>
      <c r="B152" s="1358"/>
      <c r="C152" s="2812"/>
      <c r="D152" s="1378"/>
      <c r="E152" s="2813"/>
      <c r="F152" s="1323"/>
      <c r="G152" s="1323"/>
    </row>
    <row r="153" spans="1:7" ht="11.85" customHeight="1">
      <c r="A153" s="1352" t="s">
        <v>1340</v>
      </c>
      <c r="B153" s="1353">
        <v>500</v>
      </c>
      <c r="C153" s="3066"/>
      <c r="D153" s="2546"/>
      <c r="E153" s="2815"/>
      <c r="F153" s="1323"/>
      <c r="G153" s="1323"/>
    </row>
    <row r="154" spans="1:7" ht="11.85" customHeight="1">
      <c r="A154" s="1340" t="s">
        <v>1341</v>
      </c>
      <c r="B154" s="1341">
        <v>505</v>
      </c>
      <c r="C154" s="1380"/>
      <c r="D154" s="1380"/>
      <c r="E154" s="2816"/>
      <c r="F154" s="1323"/>
      <c r="G154" s="1323"/>
    </row>
    <row r="155" spans="1:7" ht="11.85" customHeight="1">
      <c r="A155" s="1340" t="s">
        <v>1342</v>
      </c>
      <c r="B155" s="1341">
        <v>510</v>
      </c>
      <c r="C155" s="1380"/>
      <c r="D155" s="1380"/>
      <c r="E155" s="2816"/>
      <c r="F155" s="1387"/>
      <c r="G155" s="1323"/>
    </row>
    <row r="156" spans="1:7" ht="11.85" customHeight="1">
      <c r="A156" s="1340" t="s">
        <v>1343</v>
      </c>
      <c r="B156" s="1341">
        <v>515</v>
      </c>
      <c r="C156" s="1380"/>
      <c r="D156" s="1380"/>
      <c r="E156" s="2816"/>
      <c r="F156" s="1387"/>
      <c r="G156" s="1323"/>
    </row>
    <row r="157" spans="1:7" ht="11.85" customHeight="1">
      <c r="A157" s="1340" t="s">
        <v>1344</v>
      </c>
      <c r="B157" s="1341">
        <v>520</v>
      </c>
      <c r="C157" s="1380"/>
      <c r="D157" s="1380"/>
      <c r="E157" s="2816"/>
      <c r="F157" s="1323"/>
      <c r="G157" s="1323"/>
    </row>
    <row r="158" spans="1:7" ht="11.85" customHeight="1">
      <c r="A158" s="1340" t="s">
        <v>1345</v>
      </c>
      <c r="B158" s="1341">
        <v>525</v>
      </c>
      <c r="C158" s="1380"/>
      <c r="D158" s="1380"/>
      <c r="E158" s="2816"/>
      <c r="F158" s="1323"/>
      <c r="G158" s="1323"/>
    </row>
    <row r="159" spans="1:7" ht="11.85" customHeight="1">
      <c r="A159" s="1348" t="s">
        <v>1346</v>
      </c>
      <c r="B159" s="1358">
        <v>530</v>
      </c>
      <c r="C159" s="1380"/>
      <c r="D159" s="1380"/>
      <c r="E159" s="2826"/>
      <c r="F159" s="1323"/>
      <c r="G159" s="1323"/>
    </row>
    <row r="160" spans="1:7" ht="11.85" customHeight="1">
      <c r="A160" s="2884" t="s">
        <v>1385</v>
      </c>
      <c r="B160" s="1330"/>
      <c r="C160" s="3065"/>
      <c r="D160" s="3029"/>
      <c r="E160" s="3067"/>
      <c r="F160" s="1323"/>
      <c r="G160" s="1323"/>
    </row>
    <row r="161" spans="1:7" ht="11.85" customHeight="1">
      <c r="A161" s="2885" t="s">
        <v>945</v>
      </c>
      <c r="B161" s="1338">
        <v>531</v>
      </c>
      <c r="C161" s="1420"/>
      <c r="D161" s="3066"/>
      <c r="E161" s="1379"/>
      <c r="F161" s="1323"/>
      <c r="G161" s="1323"/>
    </row>
    <row r="162" spans="1:7" ht="11.85" customHeight="1">
      <c r="A162" s="1351" t="s">
        <v>944</v>
      </c>
      <c r="B162" s="1349">
        <v>532</v>
      </c>
      <c r="C162" s="1380"/>
      <c r="D162" s="1380"/>
      <c r="E162" s="2827"/>
      <c r="F162" s="1323"/>
      <c r="G162" s="1323"/>
    </row>
    <row r="163" spans="1:7" ht="11.85" customHeight="1">
      <c r="A163" s="1348" t="s">
        <v>943</v>
      </c>
      <c r="B163" s="1358">
        <v>533</v>
      </c>
      <c r="C163" s="2545"/>
      <c r="D163" s="1380"/>
      <c r="E163" s="2826"/>
      <c r="F163" s="1323"/>
      <c r="G163" s="1323"/>
    </row>
    <row r="164" spans="1:7" ht="11.85" customHeight="1">
      <c r="A164" s="1348" t="s">
        <v>1751</v>
      </c>
      <c r="B164" s="1358"/>
      <c r="C164" s="1377"/>
      <c r="D164" s="2814"/>
      <c r="E164" s="2813"/>
      <c r="F164" s="1323"/>
      <c r="G164" s="1323"/>
    </row>
    <row r="165" spans="1:7" ht="11.85" customHeight="1">
      <c r="A165" s="1351" t="s">
        <v>1309</v>
      </c>
      <c r="B165" s="1349"/>
      <c r="C165" s="1378"/>
      <c r="D165" s="2814"/>
      <c r="E165" s="2814"/>
      <c r="F165" s="1323"/>
      <c r="G165" s="1323"/>
    </row>
    <row r="166" spans="1:7" ht="11.85" customHeight="1">
      <c r="A166" s="1352" t="s">
        <v>1347</v>
      </c>
      <c r="B166" s="2948">
        <v>600</v>
      </c>
      <c r="C166" s="3747"/>
      <c r="D166" s="2827"/>
      <c r="E166" s="2815"/>
      <c r="F166" s="1323"/>
      <c r="G166" s="1323"/>
    </row>
    <row r="167" spans="1:7" ht="11.85" customHeight="1">
      <c r="A167" s="1421" t="s">
        <v>1270</v>
      </c>
      <c r="B167" s="3977">
        <v>605</v>
      </c>
      <c r="C167" s="3747"/>
      <c r="D167" s="2816"/>
      <c r="E167" s="2816"/>
      <c r="F167" s="1323"/>
      <c r="G167" s="1323"/>
    </row>
    <row r="168" spans="1:7" ht="11.85" customHeight="1">
      <c r="A168" s="1348" t="s">
        <v>1310</v>
      </c>
      <c r="B168" s="3978"/>
      <c r="C168" s="3030"/>
      <c r="D168" s="2814"/>
      <c r="E168" s="2813"/>
      <c r="F168" s="1323"/>
      <c r="G168" s="1323"/>
    </row>
    <row r="169" spans="1:7" ht="11.85" customHeight="1">
      <c r="A169" s="1352" t="s">
        <v>1348</v>
      </c>
      <c r="B169" s="2948">
        <v>610</v>
      </c>
      <c r="C169" s="3747"/>
      <c r="D169" s="2827"/>
      <c r="E169" s="2815"/>
      <c r="F169" s="1323"/>
      <c r="G169" s="1323"/>
    </row>
    <row r="170" spans="1:7" ht="11.85" customHeight="1">
      <c r="A170" s="1340" t="s">
        <v>1314</v>
      </c>
      <c r="B170" s="3977">
        <v>615</v>
      </c>
      <c r="C170" s="3747"/>
      <c r="D170" s="2816"/>
      <c r="E170" s="2816"/>
      <c r="F170" s="1323"/>
      <c r="G170" s="1323"/>
    </row>
    <row r="171" spans="1:7" ht="11.85" customHeight="1">
      <c r="A171" s="1348" t="s">
        <v>1315</v>
      </c>
      <c r="B171" s="3978">
        <v>620</v>
      </c>
      <c r="C171" s="3747"/>
      <c r="D171" s="2816"/>
      <c r="E171" s="2826"/>
      <c r="F171" s="1323"/>
      <c r="G171" s="1323"/>
    </row>
    <row r="172" spans="1:7" ht="11.85" customHeight="1">
      <c r="A172" s="1360" t="s">
        <v>1</v>
      </c>
      <c r="B172" s="2919">
        <v>625</v>
      </c>
      <c r="C172" s="3747"/>
      <c r="D172" s="2816"/>
      <c r="E172" s="2826"/>
      <c r="F172" s="1323"/>
      <c r="G172" s="1323"/>
    </row>
    <row r="173" spans="1:7" ht="11.85" customHeight="1">
      <c r="A173" s="1367" t="s">
        <v>1318</v>
      </c>
      <c r="B173" s="2921">
        <v>630</v>
      </c>
      <c r="C173" s="3747"/>
      <c r="D173" s="2816"/>
      <c r="E173" s="2816"/>
      <c r="F173" s="1323"/>
      <c r="G173" s="1323"/>
    </row>
    <row r="174" spans="1:7" ht="11.85" customHeight="1">
      <c r="A174" s="1367" t="s">
        <v>1327</v>
      </c>
      <c r="B174" s="2921">
        <v>635</v>
      </c>
      <c r="C174" s="3747"/>
      <c r="D174" s="2816"/>
      <c r="E174" s="2816"/>
      <c r="F174" s="1323"/>
      <c r="G174" s="1323"/>
    </row>
    <row r="175" spans="1:7" ht="11.85" customHeight="1">
      <c r="A175" s="1367" t="s">
        <v>1337</v>
      </c>
      <c r="B175" s="2921">
        <v>640</v>
      </c>
      <c r="C175" s="3747"/>
      <c r="D175" s="2816"/>
      <c r="E175" s="2816"/>
      <c r="F175" s="1323"/>
      <c r="G175" s="1323"/>
    </row>
    <row r="176" spans="1:7" ht="11.85" customHeight="1">
      <c r="A176" s="1367" t="s">
        <v>1345</v>
      </c>
      <c r="B176" s="2921">
        <v>645</v>
      </c>
      <c r="C176" s="3747"/>
      <c r="D176" s="2816"/>
      <c r="E176" s="2816"/>
      <c r="F176" s="1323"/>
      <c r="G176" s="1323"/>
    </row>
    <row r="177" spans="1:7" ht="11.85" customHeight="1">
      <c r="A177" s="1348" t="s">
        <v>1346</v>
      </c>
      <c r="B177" s="3978">
        <v>650</v>
      </c>
      <c r="C177" s="3747"/>
      <c r="D177" s="2826"/>
      <c r="E177" s="2826"/>
      <c r="F177" s="1323"/>
      <c r="G177" s="1323"/>
    </row>
    <row r="178" spans="1:7" ht="11.85" customHeight="1">
      <c r="A178" s="3490" t="s">
        <v>1501</v>
      </c>
      <c r="B178" s="1358"/>
      <c r="C178" s="3030"/>
      <c r="D178" s="3488"/>
      <c r="E178" s="3488"/>
      <c r="F178" s="1323"/>
      <c r="G178" s="1323"/>
    </row>
    <row r="179" spans="1:7" ht="11.85" customHeight="1">
      <c r="A179" s="3485" t="s">
        <v>1502</v>
      </c>
      <c r="B179" s="3533">
        <v>595</v>
      </c>
      <c r="C179" s="3747"/>
      <c r="D179" s="3864"/>
      <c r="E179" s="2815"/>
      <c r="F179" s="1323"/>
      <c r="G179" s="3588"/>
    </row>
    <row r="180" spans="1:7" ht="11.85" customHeight="1">
      <c r="A180" s="1352" t="s">
        <v>1248</v>
      </c>
      <c r="B180" s="3486" t="s">
        <v>92</v>
      </c>
      <c r="C180" s="2537">
        <f>SUM(C135:C179,C73:C126,C36:C62)</f>
        <v>0</v>
      </c>
      <c r="D180" s="2537">
        <f t="shared" ref="D180:E180" si="0">SUM(D135:D179,D73:D126,D36:D62)</f>
        <v>0</v>
      </c>
      <c r="E180" s="2537">
        <f t="shared" si="0"/>
        <v>0</v>
      </c>
      <c r="F180" s="1323"/>
      <c r="G180" s="3588"/>
    </row>
    <row r="181" spans="1:7" s="1332" customFormat="1" ht="12.75" customHeight="1">
      <c r="A181" s="1320"/>
      <c r="B181" s="1321"/>
      <c r="C181" s="1320"/>
      <c r="D181" s="1320"/>
      <c r="E181" s="1320"/>
      <c r="F181" s="1320"/>
      <c r="G181" s="1320"/>
    </row>
    <row r="182" spans="1:7" s="1332" customFormat="1" ht="12.75" customHeight="1">
      <c r="A182" s="1320"/>
      <c r="B182" s="1321"/>
      <c r="C182" s="1320"/>
      <c r="D182" s="1320"/>
      <c r="E182" s="1320"/>
      <c r="F182" s="1320"/>
      <c r="G182" s="1320"/>
    </row>
    <row r="183" spans="1:7" s="1332" customFormat="1" ht="12.75" customHeight="1">
      <c r="A183" s="1386"/>
      <c r="B183" s="1422"/>
      <c r="C183" s="1386"/>
      <c r="D183" s="1386"/>
      <c r="E183" s="1386"/>
      <c r="F183" s="1386"/>
      <c r="G183" s="1320"/>
    </row>
    <row r="184" spans="1:7" s="1332" customFormat="1" ht="12.75" customHeight="1">
      <c r="A184" s="1320"/>
      <c r="B184" s="1320"/>
      <c r="C184" s="1320"/>
      <c r="D184" s="1320"/>
      <c r="E184" s="1320"/>
      <c r="F184" s="1320"/>
      <c r="G184" s="1320"/>
    </row>
    <row r="185" spans="1:7" s="1332" customFormat="1" ht="12" customHeight="1">
      <c r="A185" s="1320"/>
      <c r="B185" s="1320"/>
      <c r="C185" s="1320"/>
      <c r="D185" s="1320"/>
      <c r="E185" s="1320"/>
      <c r="F185" s="1320"/>
      <c r="G185" s="1320"/>
    </row>
    <row r="186" spans="1:7" ht="12" customHeight="1">
      <c r="A186" s="1320"/>
      <c r="B186" s="1320"/>
      <c r="C186" s="1323"/>
      <c r="D186" s="1323"/>
      <c r="E186" s="1323"/>
      <c r="F186" s="1323"/>
      <c r="G186" s="1323"/>
    </row>
    <row r="187" spans="1:7" ht="12" customHeight="1">
      <c r="A187" s="1320"/>
      <c r="B187" s="1320"/>
      <c r="C187" s="1323"/>
      <c r="D187" s="1323"/>
      <c r="E187" s="1323"/>
      <c r="F187" s="1323"/>
      <c r="G187" s="1323"/>
    </row>
    <row r="188" spans="1:7" ht="12" customHeight="1">
      <c r="A188" s="1320"/>
      <c r="B188" s="1320"/>
      <c r="C188" s="1323"/>
      <c r="D188" s="1323"/>
      <c r="E188" s="1323"/>
      <c r="F188" s="1323"/>
      <c r="G188" s="1323"/>
    </row>
    <row r="189" spans="1:7" ht="12" customHeight="1">
      <c r="A189" s="1320"/>
      <c r="B189" s="1320"/>
      <c r="C189" s="1323"/>
      <c r="D189" s="1323"/>
      <c r="E189" s="1323"/>
      <c r="F189" s="1323"/>
      <c r="G189" s="1323"/>
    </row>
    <row r="190" spans="1:7" ht="12" customHeight="1">
      <c r="A190" s="1320"/>
      <c r="B190" s="1320"/>
      <c r="C190" s="1323"/>
      <c r="D190" s="1323"/>
      <c r="E190" s="1323"/>
      <c r="F190" s="1323"/>
      <c r="G190" s="1323"/>
    </row>
    <row r="191" spans="1:7" ht="12" customHeight="1">
      <c r="A191" s="1320"/>
      <c r="B191" s="1320"/>
      <c r="C191" s="1323"/>
      <c r="D191" s="1323"/>
      <c r="E191" s="1323"/>
      <c r="F191" s="1323"/>
      <c r="G191" s="1323"/>
    </row>
    <row r="192" spans="1:7" ht="12" customHeight="1">
      <c r="A192" s="1320"/>
      <c r="B192" s="1320"/>
      <c r="C192" s="1323"/>
      <c r="D192" s="1323"/>
      <c r="E192" s="1323"/>
      <c r="F192" s="1323"/>
      <c r="G192" s="1323"/>
    </row>
    <row r="193" spans="1:7" ht="12" customHeight="1">
      <c r="A193" s="1320"/>
      <c r="B193" s="1320"/>
      <c r="C193" s="1323"/>
      <c r="D193" s="1323"/>
      <c r="E193" s="1323"/>
      <c r="F193" s="1323"/>
      <c r="G193" s="1323"/>
    </row>
    <row r="194" spans="1:7" ht="12" customHeight="1">
      <c r="A194" s="1320"/>
      <c r="B194" s="1320"/>
      <c r="C194" s="1323"/>
      <c r="D194" s="1323"/>
      <c r="E194" s="1323"/>
      <c r="F194" s="1323"/>
      <c r="G194" s="1323"/>
    </row>
    <row r="195" spans="1:7" ht="12" customHeight="1">
      <c r="A195" s="1320"/>
      <c r="B195" s="1320"/>
      <c r="C195" s="1323"/>
      <c r="D195" s="1323"/>
      <c r="E195" s="1323"/>
      <c r="F195" s="1323"/>
      <c r="G195" s="1323"/>
    </row>
    <row r="196" spans="1:7" ht="12" customHeight="1">
      <c r="A196" s="1320"/>
      <c r="B196" s="1320"/>
      <c r="C196" s="1323"/>
      <c r="D196" s="1323"/>
      <c r="E196" s="1323"/>
      <c r="F196" s="1323"/>
      <c r="G196" s="1323"/>
    </row>
    <row r="197" spans="1:7" ht="12" customHeight="1">
      <c r="A197" s="1320"/>
      <c r="B197" s="1320"/>
      <c r="C197" s="1323"/>
      <c r="D197" s="1323"/>
      <c r="E197" s="1323"/>
      <c r="F197" s="1323"/>
      <c r="G197" s="1323"/>
    </row>
    <row r="198" spans="1:7" ht="12" customHeight="1">
      <c r="A198" s="1320"/>
      <c r="B198" s="1320"/>
      <c r="C198" s="1323"/>
      <c r="D198" s="1323"/>
      <c r="E198" s="1323"/>
      <c r="F198" s="1323"/>
      <c r="G198" s="1323"/>
    </row>
    <row r="199" spans="1:7" ht="12" customHeight="1">
      <c r="A199" s="1320"/>
      <c r="B199" s="1320"/>
      <c r="C199" s="1323"/>
      <c r="D199" s="1323"/>
      <c r="E199" s="1323"/>
      <c r="F199" s="1323"/>
      <c r="G199" s="1323"/>
    </row>
    <row r="200" spans="1:7" ht="12" customHeight="1">
      <c r="A200" s="1320"/>
      <c r="B200" s="1320"/>
      <c r="C200" s="1323"/>
      <c r="D200" s="1323"/>
      <c r="E200" s="1323"/>
      <c r="F200" s="1323"/>
      <c r="G200" s="1323"/>
    </row>
    <row r="201" spans="1:7" ht="12" customHeight="1">
      <c r="A201" s="1320"/>
      <c r="B201" s="1320"/>
      <c r="C201" s="1323"/>
      <c r="D201" s="1323"/>
      <c r="E201" s="1323"/>
      <c r="F201" s="1323"/>
      <c r="G201" s="1323"/>
    </row>
    <row r="202" spans="1:7" ht="12" customHeight="1">
      <c r="A202" s="1320"/>
      <c r="B202" s="1320"/>
      <c r="C202" s="1323"/>
      <c r="D202" s="1323"/>
      <c r="E202" s="1323"/>
      <c r="F202" s="1323"/>
      <c r="G202" s="1323"/>
    </row>
    <row r="203" spans="1:7" ht="12" customHeight="1">
      <c r="A203" s="1320"/>
      <c r="B203" s="1320"/>
      <c r="C203" s="1323"/>
      <c r="D203" s="1323"/>
      <c r="E203" s="1323"/>
      <c r="F203" s="1323"/>
      <c r="G203" s="1323"/>
    </row>
    <row r="204" spans="1:7" ht="12" customHeight="1">
      <c r="A204" s="1320"/>
      <c r="B204" s="1320"/>
      <c r="C204" s="1323"/>
      <c r="D204" s="1323"/>
      <c r="E204" s="1323"/>
      <c r="F204" s="1323"/>
      <c r="G204" s="1323"/>
    </row>
    <row r="205" spans="1:7" ht="12" customHeight="1">
      <c r="A205" s="1320"/>
      <c r="B205" s="1320"/>
      <c r="C205" s="1323"/>
      <c r="D205" s="1323"/>
      <c r="E205" s="1323"/>
      <c r="F205" s="1323"/>
      <c r="G205" s="1323"/>
    </row>
    <row r="206" spans="1:7" ht="12" customHeight="1">
      <c r="A206" s="1320"/>
      <c r="B206" s="1320"/>
      <c r="C206" s="1323"/>
      <c r="D206" s="1323"/>
      <c r="E206" s="1323"/>
      <c r="F206" s="1323"/>
      <c r="G206" s="1323"/>
    </row>
    <row r="207" spans="1:7" ht="12" customHeight="1">
      <c r="A207" s="1320"/>
      <c r="B207" s="1320"/>
      <c r="C207" s="1323"/>
      <c r="D207" s="1323"/>
      <c r="E207" s="1323"/>
      <c r="F207" s="1323"/>
      <c r="G207" s="1323"/>
    </row>
    <row r="208" spans="1:7" ht="12" customHeight="1">
      <c r="A208" s="1320"/>
      <c r="B208" s="1320"/>
      <c r="C208" s="1323"/>
      <c r="D208" s="1323"/>
      <c r="E208" s="1323"/>
      <c r="F208" s="1323"/>
      <c r="G208" s="1323"/>
    </row>
    <row r="209" spans="1:7" ht="12" customHeight="1">
      <c r="A209" s="1320"/>
      <c r="B209" s="1320"/>
      <c r="C209" s="1323"/>
      <c r="D209" s="1323"/>
      <c r="E209" s="1323"/>
      <c r="F209" s="1323"/>
      <c r="G209" s="1323"/>
    </row>
    <row r="210" spans="1:7" ht="12" customHeight="1">
      <c r="A210" s="1320"/>
      <c r="B210" s="1320"/>
      <c r="C210" s="1323"/>
      <c r="D210" s="1323"/>
      <c r="E210" s="1323"/>
      <c r="F210" s="1323"/>
      <c r="G210" s="1323"/>
    </row>
    <row r="211" spans="1:7" ht="12" customHeight="1">
      <c r="A211" s="1320"/>
      <c r="B211" s="1320"/>
      <c r="C211" s="1323"/>
      <c r="D211" s="1323"/>
      <c r="E211" s="1323"/>
      <c r="F211" s="1323"/>
      <c r="G211" s="1323"/>
    </row>
    <row r="212" spans="1:7" ht="12" customHeight="1">
      <c r="A212" s="1320"/>
      <c r="B212" s="1320"/>
      <c r="C212" s="1323"/>
      <c r="D212" s="1323"/>
      <c r="E212" s="1323"/>
      <c r="F212" s="1323"/>
      <c r="G212" s="1323"/>
    </row>
    <row r="213" spans="1:7" ht="12" customHeight="1">
      <c r="A213" s="1320"/>
      <c r="B213" s="1320"/>
      <c r="C213" s="1323"/>
      <c r="D213" s="1323"/>
      <c r="E213" s="1323"/>
      <c r="F213" s="1323"/>
      <c r="G213" s="1323"/>
    </row>
    <row r="214" spans="1:7" ht="12" customHeight="1">
      <c r="A214" s="1320"/>
      <c r="B214" s="1320"/>
      <c r="C214" s="1323"/>
      <c r="D214" s="1323"/>
      <c r="E214" s="1323"/>
      <c r="F214" s="1323"/>
      <c r="G214" s="1323"/>
    </row>
    <row r="215" spans="1:7" ht="12" customHeight="1">
      <c r="A215" s="1320"/>
      <c r="B215" s="1320"/>
      <c r="C215" s="1323"/>
      <c r="D215" s="1323"/>
      <c r="E215" s="1323"/>
      <c r="F215" s="1323"/>
      <c r="G215" s="1323"/>
    </row>
    <row r="216" spans="1:7" ht="12" customHeight="1">
      <c r="A216" s="1320"/>
      <c r="B216" s="1320"/>
      <c r="C216" s="1323"/>
      <c r="D216" s="1323"/>
      <c r="E216" s="1323"/>
      <c r="F216" s="1323"/>
      <c r="G216" s="1323"/>
    </row>
    <row r="217" spans="1:7" ht="12" customHeight="1">
      <c r="A217" s="1320"/>
      <c r="B217" s="1320"/>
      <c r="C217" s="1323"/>
      <c r="D217" s="1323"/>
      <c r="E217" s="1323"/>
      <c r="F217" s="1323"/>
      <c r="G217" s="1323"/>
    </row>
    <row r="218" spans="1:7" ht="12" customHeight="1">
      <c r="A218" s="1320"/>
      <c r="B218" s="1320"/>
      <c r="C218" s="1323"/>
      <c r="D218" s="1323"/>
      <c r="E218" s="1323"/>
      <c r="F218" s="1323"/>
      <c r="G218" s="1323"/>
    </row>
    <row r="219" spans="1:7" ht="12" customHeight="1">
      <c r="A219" s="1320"/>
      <c r="B219" s="1320"/>
      <c r="C219" s="1323"/>
      <c r="D219" s="1323"/>
      <c r="E219" s="1323"/>
      <c r="F219" s="1323"/>
      <c r="G219" s="1323"/>
    </row>
    <row r="220" spans="1:7" ht="12" customHeight="1">
      <c r="A220" s="1320"/>
      <c r="B220" s="1320"/>
      <c r="C220" s="1323"/>
      <c r="D220" s="1323"/>
      <c r="E220" s="1323"/>
      <c r="F220" s="1323"/>
      <c r="G220" s="1323"/>
    </row>
    <row r="221" spans="1:7" ht="12" customHeight="1">
      <c r="A221" s="1320"/>
      <c r="B221" s="1320"/>
      <c r="C221" s="1323"/>
      <c r="D221" s="1323"/>
      <c r="E221" s="1323"/>
      <c r="F221" s="1323"/>
      <c r="G221" s="1323"/>
    </row>
    <row r="222" spans="1:7" ht="12" customHeight="1">
      <c r="A222" s="1320"/>
      <c r="B222" s="1320"/>
      <c r="C222" s="1323"/>
      <c r="D222" s="1323"/>
      <c r="E222" s="1323"/>
      <c r="F222" s="1323"/>
      <c r="G222" s="1323"/>
    </row>
    <row r="223" spans="1:7" ht="12" customHeight="1">
      <c r="A223" s="1320"/>
      <c r="B223" s="1320"/>
      <c r="C223" s="1323"/>
      <c r="D223" s="1323"/>
      <c r="E223" s="1323"/>
      <c r="F223" s="1323"/>
      <c r="G223" s="1323"/>
    </row>
    <row r="224" spans="1:7" ht="12" customHeight="1">
      <c r="A224" s="1320"/>
      <c r="B224" s="1320"/>
      <c r="C224" s="1323"/>
      <c r="D224" s="1323"/>
      <c r="E224" s="1323"/>
      <c r="F224" s="1323"/>
      <c r="G224" s="1323"/>
    </row>
    <row r="225" spans="1:7" ht="12" customHeight="1">
      <c r="A225" s="1320"/>
      <c r="B225" s="1320"/>
      <c r="C225" s="1323"/>
      <c r="D225" s="1323"/>
      <c r="E225" s="1323"/>
      <c r="F225" s="1323"/>
      <c r="G225" s="1323"/>
    </row>
    <row r="226" spans="1:7" ht="12" customHeight="1">
      <c r="A226" s="1320"/>
      <c r="B226" s="1320"/>
      <c r="C226" s="1323"/>
      <c r="D226" s="1323"/>
      <c r="E226" s="1323"/>
      <c r="F226" s="1323"/>
      <c r="G226" s="1323"/>
    </row>
    <row r="227" spans="1:7" ht="12" customHeight="1">
      <c r="A227" s="1320"/>
      <c r="B227" s="1320"/>
      <c r="C227" s="1323"/>
      <c r="D227" s="1323"/>
      <c r="E227" s="1323"/>
      <c r="F227" s="1323"/>
      <c r="G227" s="1323"/>
    </row>
    <row r="228" spans="1:7" ht="12" customHeight="1">
      <c r="A228" s="1320"/>
      <c r="B228" s="1320"/>
      <c r="C228" s="1323"/>
      <c r="D228" s="1323"/>
      <c r="E228" s="1323"/>
      <c r="F228" s="1323"/>
      <c r="G228" s="1323"/>
    </row>
    <row r="229" spans="1:7" ht="12" customHeight="1">
      <c r="A229" s="1320"/>
      <c r="B229" s="1320"/>
      <c r="C229" s="1323"/>
      <c r="D229" s="1323"/>
      <c r="E229" s="1323"/>
      <c r="F229" s="1323"/>
      <c r="G229" s="1323"/>
    </row>
    <row r="230" spans="1:7" ht="12" customHeight="1">
      <c r="A230" s="1320"/>
      <c r="B230" s="1320"/>
      <c r="C230" s="1323"/>
      <c r="D230" s="1323"/>
      <c r="E230" s="1323"/>
      <c r="F230" s="1323"/>
      <c r="G230" s="1323"/>
    </row>
    <row r="231" spans="1:7" ht="12" customHeight="1">
      <c r="A231" s="1320"/>
      <c r="B231" s="1320"/>
      <c r="C231" s="1323"/>
      <c r="D231" s="1323"/>
      <c r="E231" s="1323"/>
      <c r="F231" s="1323"/>
      <c r="G231" s="1323"/>
    </row>
    <row r="232" spans="1:7" ht="12" customHeight="1">
      <c r="A232" s="1320"/>
      <c r="B232" s="1320"/>
      <c r="C232" s="1323"/>
      <c r="D232" s="1323"/>
      <c r="E232" s="1323"/>
      <c r="F232" s="1323"/>
      <c r="G232" s="1323"/>
    </row>
    <row r="233" spans="1:7" ht="12" customHeight="1">
      <c r="A233" s="1320"/>
      <c r="B233" s="1320"/>
      <c r="C233" s="1323"/>
      <c r="D233" s="1323"/>
      <c r="E233" s="1323"/>
      <c r="F233" s="1323"/>
      <c r="G233" s="1323"/>
    </row>
    <row r="234" spans="1:7" ht="12" customHeight="1">
      <c r="A234" s="1320"/>
      <c r="B234" s="1320"/>
      <c r="C234" s="1323"/>
      <c r="D234" s="1323"/>
      <c r="E234" s="1323"/>
      <c r="F234" s="1323"/>
      <c r="G234" s="1323"/>
    </row>
    <row r="235" spans="1:7" ht="12" customHeight="1">
      <c r="A235" s="1320"/>
      <c r="B235" s="1320"/>
      <c r="C235" s="1323"/>
      <c r="D235" s="1323"/>
      <c r="E235" s="1323"/>
      <c r="F235" s="1323"/>
      <c r="G235" s="1323"/>
    </row>
    <row r="236" spans="1:7" ht="12" customHeight="1">
      <c r="A236" s="1320"/>
      <c r="B236" s="1320"/>
      <c r="C236" s="1323"/>
      <c r="D236" s="1323"/>
      <c r="E236" s="1323"/>
      <c r="F236" s="1323"/>
      <c r="G236" s="1323"/>
    </row>
    <row r="237" spans="1:7" ht="12" customHeight="1">
      <c r="A237" s="1320"/>
      <c r="B237" s="1320"/>
      <c r="C237" s="1323"/>
      <c r="D237" s="1323"/>
      <c r="E237" s="1323"/>
      <c r="F237" s="1323"/>
      <c r="G237" s="1323"/>
    </row>
    <row r="238" spans="1:7" ht="12" customHeight="1">
      <c r="A238" s="1320"/>
      <c r="B238" s="1320"/>
      <c r="C238" s="1323"/>
      <c r="D238" s="1323"/>
      <c r="E238" s="1323"/>
      <c r="F238" s="1323"/>
      <c r="G238" s="1323"/>
    </row>
    <row r="239" spans="1:7" ht="12" customHeight="1">
      <c r="A239" s="1320"/>
      <c r="B239" s="1320"/>
      <c r="C239" s="1323"/>
      <c r="D239" s="1323"/>
      <c r="E239" s="1323"/>
      <c r="F239" s="1323"/>
      <c r="G239" s="1323"/>
    </row>
    <row r="240" spans="1:7" ht="12" customHeight="1">
      <c r="A240" s="1320"/>
      <c r="B240" s="1320"/>
      <c r="C240" s="1323"/>
      <c r="D240" s="1323"/>
      <c r="E240" s="1323"/>
      <c r="F240" s="1323"/>
      <c r="G240" s="1323"/>
    </row>
    <row r="241" spans="1:7" ht="12" customHeight="1">
      <c r="A241" s="1320"/>
      <c r="B241" s="1320"/>
      <c r="C241" s="1323"/>
      <c r="D241" s="1323"/>
      <c r="E241" s="1323"/>
      <c r="F241" s="1323"/>
      <c r="G241" s="1323"/>
    </row>
    <row r="242" spans="1:7" ht="12" customHeight="1">
      <c r="A242" s="1320"/>
      <c r="B242" s="1320"/>
      <c r="C242" s="1323"/>
      <c r="D242" s="1323"/>
      <c r="E242" s="1323"/>
      <c r="F242" s="1323"/>
      <c r="G242" s="1323"/>
    </row>
    <row r="243" spans="1:7" ht="12" customHeight="1">
      <c r="A243" s="1320"/>
      <c r="B243" s="1320"/>
      <c r="C243" s="1323"/>
      <c r="D243" s="1323"/>
      <c r="E243" s="1323"/>
      <c r="F243" s="1323"/>
      <c r="G243" s="1323"/>
    </row>
    <row r="244" spans="1:7" ht="12" customHeight="1">
      <c r="A244" s="1320"/>
      <c r="B244" s="1320"/>
      <c r="C244" s="1323"/>
      <c r="D244" s="1323"/>
      <c r="E244" s="1323"/>
      <c r="F244" s="1323"/>
      <c r="G244" s="1323"/>
    </row>
    <row r="245" spans="1:7" ht="12" customHeight="1">
      <c r="A245" s="1320"/>
      <c r="B245" s="1320"/>
      <c r="C245" s="1323"/>
      <c r="D245" s="1323"/>
      <c r="E245" s="1323"/>
      <c r="F245" s="1323"/>
      <c r="G245" s="1323"/>
    </row>
    <row r="246" spans="1:7" ht="12" customHeight="1">
      <c r="A246" s="1320"/>
      <c r="B246" s="1320"/>
      <c r="C246" s="1323"/>
      <c r="D246" s="1323"/>
      <c r="E246" s="1323"/>
      <c r="F246" s="1323"/>
      <c r="G246" s="1323"/>
    </row>
    <row r="247" spans="1:7" ht="12" customHeight="1">
      <c r="A247" s="1320"/>
      <c r="B247" s="1320"/>
      <c r="C247" s="1323"/>
      <c r="D247" s="1323"/>
      <c r="E247" s="1323"/>
      <c r="F247" s="1323"/>
      <c r="G247" s="1323"/>
    </row>
    <row r="248" spans="1:7" ht="12" customHeight="1">
      <c r="A248" s="1320"/>
      <c r="B248" s="1320"/>
      <c r="C248" s="1323"/>
      <c r="D248" s="1323"/>
      <c r="E248" s="1323"/>
      <c r="F248" s="1323"/>
      <c r="G248" s="1323"/>
    </row>
    <row r="249" spans="1:7" ht="12" customHeight="1">
      <c r="A249" s="1320"/>
      <c r="B249" s="1320"/>
      <c r="C249" s="1323"/>
      <c r="D249" s="1323"/>
      <c r="E249" s="1323"/>
      <c r="F249" s="1323"/>
      <c r="G249" s="1323"/>
    </row>
    <row r="250" spans="1:7" ht="12" customHeight="1">
      <c r="A250" s="1320"/>
      <c r="B250" s="1320"/>
      <c r="C250" s="1323"/>
      <c r="D250" s="1323"/>
      <c r="E250" s="1323"/>
      <c r="F250" s="1323"/>
      <c r="G250" s="1323"/>
    </row>
    <row r="251" spans="1:7" ht="12" customHeight="1">
      <c r="A251" s="1320"/>
      <c r="B251" s="1320"/>
      <c r="C251" s="1323"/>
      <c r="D251" s="1323"/>
      <c r="E251" s="1323"/>
      <c r="F251" s="1323"/>
      <c r="G251" s="1323"/>
    </row>
    <row r="252" spans="1:7" ht="12" customHeight="1">
      <c r="A252" s="1320"/>
      <c r="B252" s="1320"/>
      <c r="C252" s="1323"/>
      <c r="D252" s="1323"/>
      <c r="E252" s="1323"/>
      <c r="F252" s="1323"/>
      <c r="G252" s="1323"/>
    </row>
    <row r="253" spans="1:7" ht="12" customHeight="1">
      <c r="A253" s="1320"/>
      <c r="B253" s="1320"/>
      <c r="C253" s="1323"/>
      <c r="D253" s="1323"/>
      <c r="E253" s="1323"/>
      <c r="F253" s="1323"/>
      <c r="G253" s="1323"/>
    </row>
    <row r="254" spans="1:7" ht="12" customHeight="1">
      <c r="A254" s="1320"/>
      <c r="B254" s="1320"/>
      <c r="C254" s="1323"/>
      <c r="D254" s="1323"/>
      <c r="E254" s="1323"/>
      <c r="F254" s="1323"/>
      <c r="G254" s="1323"/>
    </row>
    <row r="255" spans="1:7" ht="12" customHeight="1">
      <c r="A255" s="1320"/>
      <c r="B255" s="1320"/>
      <c r="C255" s="1323"/>
      <c r="D255" s="1323"/>
      <c r="E255" s="1323"/>
      <c r="F255" s="1323"/>
      <c r="G255" s="1323"/>
    </row>
    <row r="256" spans="1:7" ht="12" customHeight="1">
      <c r="A256" s="1320"/>
      <c r="B256" s="1320"/>
      <c r="C256" s="1323"/>
      <c r="D256" s="1323"/>
      <c r="E256" s="1323"/>
      <c r="F256" s="1323"/>
      <c r="G256" s="1323"/>
    </row>
    <row r="257" spans="1:7" ht="12" customHeight="1">
      <c r="A257" s="1320"/>
      <c r="B257" s="1320"/>
      <c r="C257" s="1323"/>
      <c r="D257" s="1323"/>
      <c r="E257" s="1323"/>
      <c r="F257" s="1323"/>
      <c r="G257" s="1323"/>
    </row>
    <row r="258" spans="1:7" ht="12" customHeight="1">
      <c r="A258" s="1320"/>
      <c r="B258" s="1320"/>
      <c r="C258" s="1323"/>
      <c r="D258" s="1323"/>
      <c r="E258" s="1323"/>
      <c r="F258" s="1323"/>
      <c r="G258" s="1323"/>
    </row>
    <row r="259" spans="1:7" ht="12" customHeight="1">
      <c r="A259" s="1320"/>
      <c r="B259" s="1320"/>
      <c r="C259" s="1323"/>
      <c r="D259" s="1323"/>
      <c r="E259" s="1323"/>
      <c r="F259" s="1323"/>
      <c r="G259" s="1323"/>
    </row>
    <row r="260" spans="1:7" ht="12" customHeight="1">
      <c r="A260" s="1320"/>
      <c r="B260" s="1320"/>
      <c r="C260" s="1323"/>
      <c r="D260" s="1323"/>
      <c r="E260" s="1323"/>
      <c r="F260" s="1323"/>
      <c r="G260" s="1323"/>
    </row>
    <row r="261" spans="1:7" ht="12" customHeight="1">
      <c r="A261" s="1320"/>
      <c r="B261" s="1320"/>
      <c r="C261" s="1323"/>
      <c r="D261" s="1323"/>
      <c r="E261" s="1323"/>
      <c r="F261" s="1323"/>
      <c r="G261" s="1323"/>
    </row>
    <row r="262" spans="1:7" ht="12" customHeight="1">
      <c r="A262" s="1320"/>
      <c r="B262" s="1320"/>
      <c r="C262" s="1323"/>
      <c r="D262" s="1323"/>
      <c r="E262" s="1323"/>
      <c r="F262" s="1323"/>
      <c r="G262" s="1323"/>
    </row>
    <row r="263" spans="1:7" ht="12" customHeight="1">
      <c r="A263" s="1320"/>
      <c r="B263" s="1320"/>
      <c r="C263" s="1323"/>
      <c r="D263" s="1323"/>
      <c r="E263" s="1323"/>
      <c r="F263" s="1323"/>
      <c r="G263" s="1323"/>
    </row>
    <row r="264" spans="1:7" ht="12" customHeight="1">
      <c r="A264" s="1320"/>
      <c r="B264" s="1320"/>
      <c r="C264" s="1323"/>
      <c r="D264" s="1323"/>
      <c r="E264" s="1323"/>
      <c r="F264" s="1323"/>
      <c r="G264" s="1323"/>
    </row>
    <row r="265" spans="1:7" ht="12" customHeight="1">
      <c r="A265" s="1320"/>
      <c r="B265" s="1320"/>
      <c r="C265" s="1323"/>
      <c r="D265" s="1323"/>
      <c r="E265" s="1323"/>
      <c r="F265" s="1323"/>
      <c r="G265" s="1323"/>
    </row>
    <row r="266" spans="1:7" ht="12" customHeight="1">
      <c r="A266" s="1320"/>
      <c r="B266" s="1320"/>
      <c r="C266" s="1323"/>
      <c r="D266" s="1323"/>
      <c r="E266" s="1323"/>
      <c r="F266" s="1323"/>
      <c r="G266" s="1323"/>
    </row>
    <row r="267" spans="1:7" ht="12" customHeight="1">
      <c r="A267" s="1320"/>
      <c r="B267" s="1320"/>
      <c r="C267" s="1323"/>
      <c r="D267" s="1323"/>
      <c r="E267" s="1323"/>
      <c r="F267" s="1323"/>
      <c r="G267" s="1323"/>
    </row>
    <row r="268" spans="1:7" ht="12" customHeight="1">
      <c r="A268" s="1320"/>
      <c r="B268" s="1320"/>
      <c r="C268" s="1323"/>
      <c r="D268" s="1323"/>
      <c r="E268" s="1323"/>
      <c r="F268" s="1323"/>
      <c r="G268" s="1323"/>
    </row>
    <row r="269" spans="1:7" ht="12" customHeight="1">
      <c r="A269" s="1320"/>
      <c r="B269" s="1320"/>
      <c r="C269" s="1323"/>
      <c r="D269" s="1323"/>
      <c r="E269" s="1323"/>
      <c r="F269" s="1323"/>
      <c r="G269" s="1323"/>
    </row>
    <row r="270" spans="1:7" ht="12" customHeight="1">
      <c r="A270" s="1320"/>
      <c r="B270" s="1320"/>
      <c r="C270" s="1323"/>
      <c r="D270" s="1323"/>
      <c r="E270" s="1323"/>
      <c r="F270" s="1323"/>
      <c r="G270" s="1323"/>
    </row>
    <row r="271" spans="1:7" ht="12" customHeight="1">
      <c r="A271" s="1320"/>
      <c r="B271" s="1320"/>
      <c r="C271" s="1323"/>
      <c r="D271" s="1323"/>
      <c r="E271" s="1323"/>
      <c r="F271" s="1323"/>
      <c r="G271" s="1323"/>
    </row>
    <row r="272" spans="1:7" ht="12" customHeight="1">
      <c r="A272" s="1320"/>
      <c r="B272" s="1320"/>
      <c r="C272" s="1323"/>
      <c r="D272" s="1323"/>
      <c r="E272" s="1323"/>
      <c r="F272" s="1323"/>
      <c r="G272" s="1323"/>
    </row>
    <row r="273" spans="1:7" ht="12" customHeight="1">
      <c r="A273" s="1320"/>
      <c r="B273" s="1320"/>
      <c r="C273" s="1323"/>
      <c r="D273" s="1323"/>
      <c r="E273" s="1323"/>
      <c r="F273" s="1323"/>
      <c r="G273" s="1323"/>
    </row>
    <row r="274" spans="1:7" ht="12" customHeight="1">
      <c r="A274" s="1320"/>
      <c r="B274" s="1320"/>
      <c r="C274" s="1323"/>
      <c r="D274" s="1323"/>
      <c r="E274" s="1323"/>
      <c r="F274" s="1323"/>
      <c r="G274" s="1323"/>
    </row>
    <row r="275" spans="1:7" ht="12" customHeight="1">
      <c r="A275" s="1320"/>
      <c r="B275" s="1320"/>
      <c r="C275" s="1323"/>
      <c r="D275" s="1323"/>
      <c r="E275" s="1323"/>
      <c r="F275" s="1323"/>
      <c r="G275" s="1323"/>
    </row>
    <row r="276" spans="1:7" ht="12" customHeight="1">
      <c r="A276" s="1320"/>
      <c r="B276" s="1320"/>
      <c r="C276" s="1323"/>
      <c r="D276" s="1323"/>
      <c r="E276" s="1323"/>
      <c r="F276" s="1323"/>
      <c r="G276" s="1323"/>
    </row>
    <row r="277" spans="1:7" ht="12" customHeight="1">
      <c r="A277" s="1320"/>
      <c r="B277" s="1320"/>
      <c r="C277" s="1323"/>
      <c r="D277" s="1323"/>
      <c r="E277" s="1323"/>
      <c r="F277" s="1323"/>
      <c r="G277" s="1323"/>
    </row>
    <row r="278" spans="1:7" ht="12" customHeight="1">
      <c r="A278" s="1320"/>
      <c r="B278" s="1320"/>
      <c r="C278" s="1323"/>
      <c r="D278" s="1323"/>
      <c r="E278" s="1323"/>
      <c r="F278" s="1323"/>
      <c r="G278" s="1323"/>
    </row>
    <row r="279" spans="1:7" ht="12" customHeight="1">
      <c r="A279" s="1320"/>
      <c r="B279" s="1320"/>
      <c r="C279" s="1323"/>
      <c r="D279" s="1323"/>
      <c r="E279" s="1323"/>
      <c r="F279" s="1323"/>
      <c r="G279" s="1323"/>
    </row>
    <row r="280" spans="1:7" ht="12" customHeight="1">
      <c r="A280" s="1320"/>
      <c r="B280" s="1320"/>
      <c r="C280" s="1323"/>
      <c r="D280" s="1323"/>
      <c r="E280" s="1323"/>
      <c r="F280" s="1323"/>
      <c r="G280" s="1323"/>
    </row>
    <row r="281" spans="1:7" ht="12" customHeight="1">
      <c r="A281" s="1320"/>
      <c r="B281" s="1320"/>
      <c r="C281" s="1323"/>
      <c r="D281" s="1323"/>
      <c r="E281" s="1323"/>
      <c r="F281" s="1323"/>
      <c r="G281" s="1323"/>
    </row>
    <row r="282" spans="1:7" ht="12" customHeight="1">
      <c r="A282" s="1320"/>
      <c r="B282" s="1320"/>
      <c r="C282" s="1323"/>
      <c r="D282" s="1323"/>
      <c r="E282" s="1323"/>
      <c r="F282" s="1323"/>
      <c r="G282" s="1323"/>
    </row>
    <row r="283" spans="1:7" ht="12" customHeight="1">
      <c r="A283" s="1320"/>
      <c r="B283" s="1320"/>
      <c r="C283" s="1323"/>
      <c r="D283" s="1323"/>
      <c r="E283" s="1323"/>
      <c r="F283" s="1323"/>
      <c r="G283" s="1323"/>
    </row>
    <row r="284" spans="1:7" ht="12" customHeight="1">
      <c r="A284" s="1320"/>
      <c r="B284" s="1320"/>
      <c r="C284" s="1323"/>
      <c r="D284" s="1323"/>
      <c r="E284" s="1323"/>
      <c r="F284" s="1323"/>
      <c r="G284" s="1323"/>
    </row>
    <row r="285" spans="1:7" ht="12" customHeight="1">
      <c r="A285" s="1320"/>
      <c r="B285" s="1320"/>
      <c r="C285" s="1323"/>
      <c r="D285" s="1323"/>
      <c r="E285" s="1323"/>
      <c r="F285" s="1323"/>
      <c r="G285" s="1323"/>
    </row>
    <row r="286" spans="1:7" ht="12" customHeight="1">
      <c r="A286" s="1320"/>
      <c r="B286" s="1320"/>
      <c r="C286" s="1323"/>
      <c r="D286" s="1323"/>
      <c r="E286" s="1323"/>
      <c r="F286" s="1323"/>
      <c r="G286" s="1323"/>
    </row>
    <row r="287" spans="1:7" ht="12" customHeight="1">
      <c r="A287" s="1320"/>
      <c r="B287" s="1320"/>
      <c r="C287" s="1323"/>
      <c r="D287" s="1323"/>
      <c r="E287" s="1323"/>
      <c r="F287" s="1323"/>
      <c r="G287" s="1323"/>
    </row>
    <row r="288" spans="1:7" ht="12" customHeight="1">
      <c r="A288" s="1320"/>
      <c r="B288" s="1320"/>
      <c r="C288" s="1323"/>
      <c r="D288" s="1323"/>
      <c r="E288" s="1323"/>
      <c r="F288" s="1323"/>
      <c r="G288" s="1323"/>
    </row>
    <row r="289" spans="1:7" ht="12" customHeight="1">
      <c r="A289" s="1320"/>
      <c r="B289" s="1320"/>
      <c r="C289" s="1323"/>
      <c r="D289" s="1323"/>
      <c r="E289" s="1323"/>
      <c r="F289" s="1323"/>
      <c r="G289" s="1323"/>
    </row>
    <row r="290" spans="1:7" ht="12" customHeight="1">
      <c r="A290" s="1320"/>
      <c r="B290" s="1320"/>
      <c r="C290" s="1323"/>
      <c r="D290" s="1323"/>
      <c r="E290" s="1323"/>
      <c r="F290" s="1323"/>
      <c r="G290" s="1323"/>
    </row>
    <row r="291" spans="1:7" ht="12" customHeight="1">
      <c r="A291" s="1320"/>
      <c r="B291" s="1320"/>
      <c r="C291" s="1323"/>
      <c r="D291" s="1323"/>
      <c r="E291" s="1323"/>
      <c r="F291" s="1323"/>
      <c r="G291" s="1323"/>
    </row>
    <row r="292" spans="1:7" ht="12" customHeight="1">
      <c r="A292" s="1320"/>
      <c r="B292" s="1320"/>
      <c r="C292" s="1323"/>
      <c r="D292" s="1323"/>
      <c r="E292" s="1323"/>
      <c r="F292" s="1323"/>
      <c r="G292" s="1323"/>
    </row>
    <row r="293" spans="1:7" ht="12" customHeight="1">
      <c r="A293" s="1320"/>
      <c r="B293" s="1320"/>
      <c r="C293" s="1323"/>
      <c r="D293" s="1323"/>
      <c r="E293" s="1323"/>
      <c r="F293" s="1323"/>
      <c r="G293" s="1323"/>
    </row>
    <row r="294" spans="1:7" ht="12" customHeight="1">
      <c r="A294" s="1320"/>
      <c r="B294" s="1320"/>
      <c r="C294" s="1323"/>
      <c r="D294" s="1323"/>
      <c r="E294" s="1323"/>
      <c r="F294" s="1323"/>
      <c r="G294" s="1323"/>
    </row>
    <row r="295" spans="1:7" ht="12" customHeight="1">
      <c r="A295" s="1320"/>
      <c r="B295" s="1320"/>
      <c r="C295" s="1323"/>
      <c r="D295" s="1323"/>
      <c r="E295" s="1323"/>
      <c r="F295" s="1323"/>
      <c r="G295" s="1323"/>
    </row>
    <row r="296" spans="1:7" ht="12" customHeight="1">
      <c r="A296" s="1320"/>
      <c r="B296" s="1320"/>
      <c r="C296" s="1323"/>
      <c r="D296" s="1323"/>
      <c r="E296" s="1323"/>
      <c r="F296" s="1323"/>
      <c r="G296" s="1323"/>
    </row>
    <row r="297" spans="1:7" ht="12" customHeight="1">
      <c r="A297" s="1320"/>
      <c r="B297" s="1320"/>
      <c r="C297" s="1323"/>
      <c r="D297" s="1323"/>
      <c r="E297" s="1323"/>
      <c r="F297" s="1323"/>
      <c r="G297" s="1323"/>
    </row>
    <row r="298" spans="1:7" ht="12" customHeight="1">
      <c r="A298" s="1320"/>
      <c r="B298" s="1320"/>
      <c r="C298" s="1323"/>
      <c r="D298" s="1323"/>
      <c r="E298" s="1323"/>
      <c r="F298" s="1323"/>
      <c r="G298" s="1323"/>
    </row>
    <row r="299" spans="1:7" ht="12" customHeight="1">
      <c r="A299" s="1320"/>
      <c r="B299" s="1320"/>
      <c r="C299" s="1323"/>
      <c r="D299" s="1323"/>
      <c r="E299" s="1323"/>
      <c r="F299" s="1323"/>
      <c r="G299" s="1323"/>
    </row>
    <row r="300" spans="1:7" ht="12" customHeight="1">
      <c r="A300" s="1320"/>
      <c r="B300" s="1320"/>
      <c r="C300" s="1323"/>
      <c r="D300" s="1323"/>
      <c r="E300" s="1323"/>
      <c r="F300" s="1323"/>
      <c r="G300" s="1323"/>
    </row>
    <row r="301" spans="1:7" ht="12" customHeight="1">
      <c r="A301" s="1320"/>
      <c r="B301" s="1320"/>
      <c r="C301" s="1323"/>
      <c r="D301" s="1323"/>
      <c r="E301" s="1323"/>
      <c r="F301" s="1323"/>
      <c r="G301" s="1323"/>
    </row>
    <row r="302" spans="1:7" ht="12" customHeight="1">
      <c r="A302" s="1320"/>
      <c r="B302" s="1320"/>
      <c r="C302" s="1323"/>
      <c r="D302" s="1323"/>
      <c r="E302" s="1323"/>
      <c r="F302" s="1323"/>
      <c r="G302" s="1323"/>
    </row>
    <row r="303" spans="1:7" ht="12" customHeight="1">
      <c r="A303" s="1320"/>
      <c r="B303" s="1320"/>
      <c r="C303" s="1323"/>
      <c r="D303" s="1323"/>
      <c r="E303" s="1323"/>
      <c r="F303" s="1323"/>
      <c r="G303" s="1323"/>
    </row>
    <row r="304" spans="1:7" ht="12" customHeight="1">
      <c r="A304" s="1320"/>
      <c r="B304" s="1320"/>
      <c r="C304" s="1323"/>
      <c r="D304" s="1323"/>
      <c r="E304" s="1323"/>
      <c r="F304" s="1323"/>
      <c r="G304" s="1323"/>
    </row>
    <row r="305" spans="1:7" ht="12" customHeight="1">
      <c r="A305" s="1320"/>
      <c r="B305" s="1320"/>
      <c r="C305" s="1323"/>
      <c r="D305" s="1323"/>
      <c r="E305" s="1323"/>
      <c r="F305" s="1323"/>
      <c r="G305" s="1323"/>
    </row>
    <row r="306" spans="1:7" ht="12" customHeight="1">
      <c r="A306" s="1320"/>
      <c r="B306" s="1320"/>
      <c r="C306" s="1323"/>
      <c r="D306" s="1323"/>
      <c r="E306" s="1323"/>
      <c r="F306" s="1323"/>
      <c r="G306" s="1323"/>
    </row>
    <row r="307" spans="1:7" ht="12" customHeight="1">
      <c r="A307" s="1320"/>
      <c r="B307" s="1320"/>
      <c r="C307" s="1323"/>
      <c r="D307" s="1323"/>
      <c r="E307" s="1323"/>
      <c r="F307" s="1323"/>
      <c r="G307" s="1323"/>
    </row>
    <row r="308" spans="1:7" ht="12" customHeight="1">
      <c r="A308" s="1320"/>
      <c r="B308" s="1320"/>
      <c r="C308" s="1323"/>
      <c r="D308" s="1323"/>
      <c r="E308" s="1323"/>
      <c r="F308" s="1323"/>
      <c r="G308" s="1323"/>
    </row>
    <row r="309" spans="1:7" ht="12" customHeight="1">
      <c r="A309" s="1320"/>
      <c r="B309" s="1320"/>
      <c r="C309" s="1323"/>
      <c r="D309" s="1323"/>
      <c r="E309" s="1323"/>
      <c r="F309" s="1323"/>
      <c r="G309" s="1323"/>
    </row>
    <row r="310" spans="1:7" ht="12" customHeight="1">
      <c r="A310" s="1320"/>
      <c r="B310" s="1320"/>
      <c r="C310" s="1323"/>
      <c r="D310" s="1323"/>
      <c r="E310" s="1323"/>
      <c r="F310" s="1323"/>
      <c r="G310" s="1323"/>
    </row>
    <row r="311" spans="1:7" ht="12" customHeight="1">
      <c r="A311" s="1320"/>
      <c r="B311" s="1320"/>
      <c r="C311" s="1323"/>
      <c r="D311" s="1323"/>
      <c r="E311" s="1323"/>
      <c r="F311" s="1323"/>
      <c r="G311" s="1323"/>
    </row>
    <row r="312" spans="1:7" ht="12" customHeight="1">
      <c r="A312" s="1320"/>
      <c r="B312" s="1320"/>
      <c r="C312" s="1323"/>
      <c r="D312" s="1323"/>
      <c r="E312" s="1323"/>
      <c r="F312" s="1323"/>
      <c r="G312" s="1323"/>
    </row>
    <row r="313" spans="1:7" ht="12" customHeight="1">
      <c r="A313" s="1320"/>
      <c r="B313" s="1320"/>
      <c r="C313" s="1323"/>
      <c r="D313" s="1323"/>
      <c r="E313" s="1323"/>
      <c r="F313" s="1323"/>
      <c r="G313" s="1323"/>
    </row>
    <row r="314" spans="1:7" ht="12" customHeight="1">
      <c r="A314" s="1320"/>
      <c r="B314" s="1320"/>
      <c r="C314" s="1323"/>
      <c r="D314" s="1323"/>
      <c r="E314" s="1323"/>
      <c r="F314" s="1323"/>
      <c r="G314" s="1323"/>
    </row>
    <row r="315" spans="1:7" ht="12" customHeight="1">
      <c r="A315" s="1320"/>
      <c r="B315" s="1320"/>
      <c r="C315" s="1323"/>
      <c r="D315" s="1323"/>
      <c r="E315" s="1323"/>
      <c r="F315" s="1323"/>
      <c r="G315" s="1323"/>
    </row>
    <row r="316" spans="1:7" ht="12" customHeight="1">
      <c r="A316" s="1320"/>
      <c r="B316" s="1320"/>
      <c r="C316" s="1323"/>
      <c r="D316" s="1323"/>
      <c r="E316" s="1323"/>
      <c r="F316" s="1323"/>
      <c r="G316" s="1323"/>
    </row>
    <row r="317" spans="1:7" ht="12" customHeight="1">
      <c r="A317" s="1320"/>
      <c r="B317" s="1320"/>
      <c r="C317" s="1323"/>
      <c r="D317" s="1323"/>
      <c r="E317" s="1323"/>
      <c r="F317" s="1323"/>
      <c r="G317" s="1323"/>
    </row>
  </sheetData>
  <sheetProtection algorithmName="SHA-512" hashValue="nasTJfwqTqpIhZTG/3uzBA7bp2r8+7mDPWlex1Qegfp09V49Rqy3wdUHRcKtxcwS8b8r8nNrubKMcc83tJfAnw==" saltValue="HD74MWRhG5PyqgdH1Xl1iA==" spinCount="100000" sheet="1" objects="1" scenarios="1"/>
  <phoneticPr fontId="9" type="noConversion"/>
  <dataValidations count="3">
    <dataValidation type="whole" operator="greaterThanOrEqual" showInputMessage="1" showErrorMessage="1" errorTitle="Invalid Data Entry " error="Please enter a positive number or press the delete key or enter zero." sqref="C151:E151 C153:E163 C166:E179 C139:E149 C22:E22 C20:E20 C102:E112 E14:E16 C10:D10 C38:E39 C61:E62 C85:E86 C95:E99 C88:E93 C74:E82 C48:E57 C41:E45 C137:E137 C14:C18 D14:D16 D18">
      <formula1>0</formula1>
    </dataValidation>
    <dataValidation type="whole" operator="greaterThanOrEqual" showInputMessage="1" showErrorMessage="1" errorTitle="Invalid Data Entry" error="Please enter a positive number or press the delete key or enter a zero." sqref="C115:E116 C118:E126">
      <formula1>0</formula1>
    </dataValidation>
    <dataValidation operator="greaterThanOrEqual" errorTitle="Invalid Data Entry " error="Please enter a positive number or press the delete key or enter zero." sqref="E17"/>
  </dataValidations>
  <hyperlinks>
    <hyperlink ref="G1" location="Contents!F1" display="Return to Contents page"/>
  </hyperlinks>
  <printOptions horizontalCentered="1"/>
  <pageMargins left="0.5" right="0.25" top="0.5" bottom="0.5" header="0.5" footer="0.5"/>
  <pageSetup scale="97" orientation="portrait" blackAndWhite="1" r:id="rId1"/>
  <headerFooter alignWithMargins="0">
    <oddFooter>&amp;L&amp;D  &amp;T &amp;CCode No. 11&amp;RPage  &amp;P</oddFooter>
  </headerFooter>
  <rowBreaks count="2" manualBreakCount="2">
    <brk id="64" max="16383" man="1"/>
    <brk id="126" max="5" man="1"/>
  </rowBreaks>
  <cellWatches>
    <cellWatch r="J182"/>
  </cellWatch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4" tint="0.39997558519241921"/>
  </sheetPr>
  <dimension ref="A1:Q204"/>
  <sheetViews>
    <sheetView zoomScaleNormal="100" workbookViewId="0">
      <selection activeCell="C9" sqref="C9"/>
    </sheetView>
  </sheetViews>
  <sheetFormatPr defaultColWidth="10.7109375" defaultRowHeight="12" customHeight="1"/>
  <cols>
    <col min="1" max="1" width="45.140625" style="704" customWidth="1"/>
    <col min="2" max="2" width="4.85546875" style="777" customWidth="1"/>
    <col min="3" max="4" width="12.7109375" style="705" customWidth="1"/>
    <col min="5" max="5" width="13.28515625" style="705" customWidth="1"/>
    <col min="6" max="6" width="2.28515625" style="704" customWidth="1"/>
    <col min="7" max="7" width="21.42578125" style="704" customWidth="1"/>
    <col min="8" max="16384" width="10.7109375" style="705"/>
  </cols>
  <sheetData>
    <row r="1" spans="1:17" ht="12" customHeight="1">
      <c r="A1" s="700"/>
      <c r="B1" s="701" t="s">
        <v>1019</v>
      </c>
      <c r="C1" s="702">
        <f>OPEN!$B$4</f>
        <v>270</v>
      </c>
      <c r="D1" s="700"/>
      <c r="E1" s="703" t="s">
        <v>1020</v>
      </c>
      <c r="F1" s="700"/>
      <c r="G1" s="3013" t="s">
        <v>866</v>
      </c>
    </row>
    <row r="2" spans="1:17" ht="12" customHeight="1">
      <c r="A2" s="700"/>
      <c r="B2" s="701"/>
      <c r="C2" s="700"/>
      <c r="D2" s="700"/>
      <c r="E2" s="703" t="s">
        <v>1212</v>
      </c>
      <c r="F2" s="700"/>
    </row>
    <row r="3" spans="1:17" ht="12" customHeight="1">
      <c r="A3" s="700"/>
      <c r="B3" s="701"/>
      <c r="C3" s="700"/>
      <c r="D3" s="700"/>
      <c r="E3" s="703" t="str">
        <f>OPEN!N2</f>
        <v>2016-2017</v>
      </c>
      <c r="F3" s="700"/>
    </row>
    <row r="4" spans="1:17" ht="12" customHeight="1">
      <c r="A4" s="700"/>
      <c r="B4" s="701"/>
      <c r="C4" s="700"/>
      <c r="D4" s="700"/>
      <c r="E4" s="703"/>
      <c r="F4" s="700"/>
    </row>
    <row r="5" spans="1:17" ht="12" customHeight="1">
      <c r="A5" s="700"/>
      <c r="B5" s="701"/>
      <c r="C5" s="706" t="s">
        <v>1213</v>
      </c>
      <c r="D5" s="706" t="s">
        <v>1213</v>
      </c>
      <c r="E5" s="706" t="s">
        <v>1213</v>
      </c>
      <c r="F5" s="700"/>
    </row>
    <row r="6" spans="1:17" ht="12" customHeight="1">
      <c r="A6" s="707" t="s">
        <v>72</v>
      </c>
      <c r="B6" s="708" t="s">
        <v>1045</v>
      </c>
      <c r="C6" s="709" t="str">
        <f>OPEN!N4</f>
        <v>2014-2015</v>
      </c>
      <c r="D6" s="709" t="str">
        <f>OPEN!O4</f>
        <v>2015-2016</v>
      </c>
      <c r="E6" s="709" t="str">
        <f>OPEN!P4</f>
        <v>2016-2017</v>
      </c>
      <c r="F6" s="700"/>
      <c r="K6" s="704"/>
      <c r="L6" s="704"/>
      <c r="M6" s="704"/>
      <c r="N6" s="710"/>
      <c r="O6" s="704"/>
      <c r="P6" s="704"/>
      <c r="Q6" s="704"/>
    </row>
    <row r="7" spans="1:17" ht="12" customHeight="1">
      <c r="A7" s="706"/>
      <c r="B7" s="711">
        <v>12</v>
      </c>
      <c r="C7" s="712" t="s">
        <v>1139</v>
      </c>
      <c r="D7" s="712" t="s">
        <v>1139</v>
      </c>
      <c r="E7" s="712" t="s">
        <v>1215</v>
      </c>
      <c r="F7" s="700"/>
      <c r="N7" s="704"/>
      <c r="O7" s="713"/>
      <c r="P7" s="713"/>
      <c r="Q7" s="713"/>
    </row>
    <row r="8" spans="1:17" ht="12" customHeight="1">
      <c r="A8" s="714"/>
      <c r="B8" s="715" t="s">
        <v>1051</v>
      </c>
      <c r="C8" s="716">
        <v>1</v>
      </c>
      <c r="D8" s="716">
        <v>2</v>
      </c>
      <c r="E8" s="716">
        <v>3</v>
      </c>
      <c r="F8" s="700"/>
      <c r="N8" s="704"/>
      <c r="O8" s="713"/>
      <c r="P8" s="713"/>
      <c r="Q8" s="713"/>
    </row>
    <row r="9" spans="1:17" ht="12" customHeight="1">
      <c r="A9" s="717" t="s">
        <v>1402</v>
      </c>
      <c r="B9" s="718">
        <v>1</v>
      </c>
      <c r="C9" s="750"/>
      <c r="D9" s="720">
        <f>C25</f>
        <v>0</v>
      </c>
      <c r="E9" s="2469">
        <f>D25</f>
        <v>0</v>
      </c>
      <c r="F9" s="700"/>
      <c r="N9" s="704"/>
      <c r="O9" s="713"/>
      <c r="P9" s="713"/>
      <c r="Q9" s="713"/>
    </row>
    <row r="10" spans="1:17" ht="12" customHeight="1">
      <c r="A10" s="721" t="s">
        <v>73</v>
      </c>
      <c r="B10" s="722">
        <v>3</v>
      </c>
      <c r="C10" s="2465"/>
      <c r="D10" s="723"/>
      <c r="E10" s="746"/>
      <c r="F10" s="700"/>
      <c r="N10" s="704"/>
      <c r="O10" s="713"/>
      <c r="P10" s="713"/>
      <c r="Q10" s="713"/>
    </row>
    <row r="11" spans="1:17" ht="12" customHeight="1">
      <c r="A11" s="724" t="s">
        <v>1404</v>
      </c>
      <c r="B11" s="725"/>
      <c r="C11" s="2466"/>
      <c r="D11" s="726"/>
      <c r="E11" s="2470"/>
      <c r="F11" s="700"/>
      <c r="N11" s="704"/>
      <c r="O11" s="713"/>
      <c r="P11" s="713"/>
      <c r="Q11" s="713"/>
    </row>
    <row r="12" spans="1:17" ht="12" customHeight="1">
      <c r="A12" s="727" t="s">
        <v>1405</v>
      </c>
      <c r="B12" s="722"/>
      <c r="C12" s="746"/>
      <c r="D12" s="728"/>
      <c r="E12" s="746"/>
      <c r="F12" s="700"/>
      <c r="N12" s="704"/>
      <c r="O12" s="713"/>
      <c r="P12" s="713"/>
      <c r="Q12" s="713"/>
    </row>
    <row r="13" spans="1:17" ht="12" customHeight="1">
      <c r="A13" s="727" t="s">
        <v>74</v>
      </c>
      <c r="B13" s="722"/>
      <c r="C13" s="746"/>
      <c r="D13" s="728"/>
      <c r="E13" s="746"/>
      <c r="F13" s="700"/>
      <c r="N13" s="704"/>
      <c r="O13" s="704"/>
      <c r="P13" s="704"/>
      <c r="Q13" s="704"/>
    </row>
    <row r="14" spans="1:17" ht="12" customHeight="1">
      <c r="A14" s="729" t="s">
        <v>75</v>
      </c>
      <c r="B14" s="718">
        <v>5</v>
      </c>
      <c r="C14" s="748"/>
      <c r="D14" s="719"/>
      <c r="E14" s="2465"/>
      <c r="F14" s="700"/>
      <c r="N14" s="710"/>
      <c r="O14" s="704"/>
      <c r="P14" s="704"/>
      <c r="Q14" s="704"/>
    </row>
    <row r="15" spans="1:17" ht="12" customHeight="1">
      <c r="A15" s="730" t="s">
        <v>76</v>
      </c>
      <c r="B15" s="731">
        <v>15</v>
      </c>
      <c r="C15" s="2467"/>
      <c r="D15" s="4989" t="s">
        <v>1251</v>
      </c>
      <c r="E15" s="4181" t="s">
        <v>1431</v>
      </c>
      <c r="F15" s="700"/>
      <c r="N15" s="704"/>
      <c r="O15" s="732"/>
      <c r="P15" s="732"/>
      <c r="Q15" s="732"/>
    </row>
    <row r="16" spans="1:17" ht="12" customHeight="1">
      <c r="A16" s="730" t="s">
        <v>25</v>
      </c>
      <c r="B16" s="725"/>
      <c r="C16" s="744"/>
      <c r="D16" s="733"/>
      <c r="E16" s="746"/>
      <c r="F16" s="700"/>
      <c r="G16" s="705"/>
      <c r="N16" s="704"/>
      <c r="O16" s="732"/>
      <c r="P16" s="732"/>
      <c r="Q16" s="732"/>
    </row>
    <row r="17" spans="1:17" ht="12" customHeight="1">
      <c r="A17" s="729" t="s">
        <v>77</v>
      </c>
      <c r="B17" s="718">
        <v>25</v>
      </c>
      <c r="C17" s="748"/>
      <c r="D17" s="719"/>
      <c r="E17" s="748"/>
      <c r="F17" s="700"/>
      <c r="N17" s="704"/>
      <c r="O17" s="732"/>
      <c r="P17" s="732"/>
      <c r="Q17" s="732"/>
    </row>
    <row r="18" spans="1:17" ht="12" customHeight="1">
      <c r="A18" s="734" t="s">
        <v>78</v>
      </c>
      <c r="B18" s="731">
        <v>35</v>
      </c>
      <c r="C18" s="750"/>
      <c r="D18" s="735"/>
      <c r="E18" s="748"/>
      <c r="F18" s="700"/>
      <c r="N18" s="704"/>
      <c r="O18" s="732"/>
      <c r="P18" s="732"/>
      <c r="Q18" s="732"/>
    </row>
    <row r="19" spans="1:17" ht="12" customHeight="1">
      <c r="A19" s="730" t="s">
        <v>79</v>
      </c>
      <c r="B19" s="725"/>
      <c r="C19" s="744"/>
      <c r="D19" s="733"/>
      <c r="E19" s="744"/>
      <c r="F19" s="700"/>
      <c r="N19" s="704"/>
      <c r="O19" s="704"/>
      <c r="P19" s="704"/>
      <c r="Q19" s="704"/>
    </row>
    <row r="20" spans="1:17" ht="12" customHeight="1">
      <c r="A20" s="729" t="s">
        <v>80</v>
      </c>
      <c r="B20" s="718">
        <v>45</v>
      </c>
      <c r="C20" s="2468">
        <f>'C06'!$C$338</f>
        <v>0</v>
      </c>
      <c r="D20" s="736">
        <f>'C06'!$D$338</f>
        <v>0</v>
      </c>
      <c r="E20" s="2468">
        <f>'C06'!$E$338</f>
        <v>0</v>
      </c>
      <c r="F20" s="700"/>
      <c r="N20" s="704"/>
      <c r="O20" s="732"/>
      <c r="P20" s="732"/>
      <c r="Q20" s="732"/>
    </row>
    <row r="21" spans="1:17" ht="12" customHeight="1">
      <c r="A21" s="730" t="s">
        <v>1243</v>
      </c>
      <c r="B21" s="725">
        <v>50</v>
      </c>
      <c r="C21" s="2469">
        <f>'C08'!$C$308</f>
        <v>0</v>
      </c>
      <c r="D21" s="737">
        <f>'C08'!$D$308</f>
        <v>0</v>
      </c>
      <c r="E21" s="2469">
        <f>'C08'!$E$308</f>
        <v>0</v>
      </c>
      <c r="F21" s="700"/>
    </row>
    <row r="22" spans="1:17" ht="12" customHeight="1">
      <c r="A22" s="730" t="s">
        <v>50</v>
      </c>
      <c r="B22" s="725">
        <v>55</v>
      </c>
      <c r="C22" s="2469">
        <f>'C053'!$C$262</f>
        <v>0</v>
      </c>
      <c r="D22" s="720">
        <f>'C053'!$D$262</f>
        <v>0</v>
      </c>
      <c r="E22" s="2471" t="s">
        <v>1431</v>
      </c>
      <c r="F22" s="700"/>
      <c r="H22" s="738"/>
    </row>
    <row r="23" spans="1:17" ht="12" customHeight="1">
      <c r="A23" s="739" t="s">
        <v>1245</v>
      </c>
      <c r="B23" s="740">
        <v>170</v>
      </c>
      <c r="C23" s="2468">
        <f>SUM(C9:C22)</f>
        <v>0</v>
      </c>
      <c r="D23" s="737">
        <f>SUM(D9:D22)</f>
        <v>0</v>
      </c>
      <c r="E23" s="2469">
        <f>SUM(E9:E22)</f>
        <v>0</v>
      </c>
      <c r="F23" s="700"/>
      <c r="H23" s="738"/>
    </row>
    <row r="24" spans="1:17" ht="12" customHeight="1">
      <c r="A24" s="734" t="s">
        <v>1248</v>
      </c>
      <c r="B24" s="731">
        <v>175</v>
      </c>
      <c r="C24" s="2469">
        <f>C124</f>
        <v>0</v>
      </c>
      <c r="D24" s="737">
        <f>D124</f>
        <v>0</v>
      </c>
      <c r="E24" s="2469">
        <f>IF(E124&lt;=E23,E124,"ERROR")</f>
        <v>0</v>
      </c>
      <c r="F24" s="700"/>
      <c r="G24" s="3097" t="str">
        <f>IF(E24="ERROR","Expenditures must be less than or equal to Resources Available","")</f>
        <v/>
      </c>
      <c r="H24" s="741"/>
    </row>
    <row r="25" spans="1:17" ht="12" customHeight="1">
      <c r="A25" s="734" t="s">
        <v>1250</v>
      </c>
      <c r="B25" s="731">
        <v>190</v>
      </c>
      <c r="C25" s="2469">
        <f>SUM(C23-C24)</f>
        <v>0</v>
      </c>
      <c r="D25" s="737">
        <f>SUM(D23-D24)</f>
        <v>0</v>
      </c>
      <c r="E25" s="2612">
        <f>IF(ISERROR(E23-E24),"NEGATIVE",E23-E24)</f>
        <v>0</v>
      </c>
      <c r="F25" s="700"/>
      <c r="G25" s="741"/>
      <c r="H25" s="741"/>
    </row>
    <row r="26" spans="1:17" ht="12" customHeight="1">
      <c r="A26" s="700"/>
      <c r="B26" s="701"/>
      <c r="C26" s="700"/>
      <c r="D26" s="700"/>
      <c r="E26" s="700"/>
      <c r="F26" s="700"/>
    </row>
    <row r="27" spans="1:17" ht="12" customHeight="1">
      <c r="A27" s="700"/>
      <c r="B27" s="701"/>
      <c r="C27" s="706" t="s">
        <v>1213</v>
      </c>
      <c r="D27" s="706" t="s">
        <v>1213</v>
      </c>
      <c r="E27" s="706" t="s">
        <v>1213</v>
      </c>
      <c r="F27" s="700"/>
    </row>
    <row r="28" spans="1:17" ht="12" customHeight="1">
      <c r="A28" s="707" t="s">
        <v>72</v>
      </c>
      <c r="B28" s="708" t="s">
        <v>1045</v>
      </c>
      <c r="C28" s="709" t="str">
        <f>C6</f>
        <v>2014-2015</v>
      </c>
      <c r="D28" s="709" t="str">
        <f>D6</f>
        <v>2015-2016</v>
      </c>
      <c r="E28" s="709" t="str">
        <f>E6</f>
        <v>2016-2017</v>
      </c>
      <c r="F28" s="700"/>
    </row>
    <row r="29" spans="1:17" ht="12" customHeight="1">
      <c r="A29" s="707" t="s">
        <v>81</v>
      </c>
      <c r="B29" s="711">
        <v>12</v>
      </c>
      <c r="C29" s="712" t="s">
        <v>1139</v>
      </c>
      <c r="D29" s="712" t="s">
        <v>1139</v>
      </c>
      <c r="E29" s="712" t="s">
        <v>1215</v>
      </c>
      <c r="F29" s="700"/>
    </row>
    <row r="30" spans="1:17" ht="12" customHeight="1">
      <c r="A30" s="714"/>
      <c r="B30" s="715" t="s">
        <v>1051</v>
      </c>
      <c r="C30" s="716">
        <v>1</v>
      </c>
      <c r="D30" s="716">
        <v>2</v>
      </c>
      <c r="E30" s="716">
        <v>3</v>
      </c>
      <c r="F30" s="700"/>
    </row>
    <row r="31" spans="1:17" ht="12" customHeight="1">
      <c r="A31" s="743" t="s">
        <v>82</v>
      </c>
      <c r="B31" s="725"/>
      <c r="C31" s="744"/>
      <c r="D31" s="733"/>
      <c r="E31" s="744"/>
      <c r="F31" s="700"/>
    </row>
    <row r="32" spans="1:17" ht="12" customHeight="1">
      <c r="A32" s="745" t="s">
        <v>1309</v>
      </c>
      <c r="B32" s="722"/>
      <c r="C32" s="746"/>
      <c r="D32" s="728"/>
      <c r="E32" s="746"/>
      <c r="F32" s="700"/>
    </row>
    <row r="33" spans="1:6" ht="12" customHeight="1">
      <c r="A33" s="747" t="s">
        <v>1347</v>
      </c>
      <c r="B33" s="718">
        <v>210</v>
      </c>
      <c r="C33" s="748"/>
      <c r="D33" s="719"/>
      <c r="E33" s="748"/>
      <c r="F33" s="700"/>
    </row>
    <row r="34" spans="1:6" ht="12" customHeight="1">
      <c r="A34" s="749" t="s">
        <v>1270</v>
      </c>
      <c r="B34" s="731">
        <v>215</v>
      </c>
      <c r="C34" s="750"/>
      <c r="D34" s="735"/>
      <c r="E34" s="750"/>
      <c r="F34" s="700"/>
    </row>
    <row r="35" spans="1:6" ht="12" customHeight="1">
      <c r="A35" s="743" t="s">
        <v>1310</v>
      </c>
      <c r="B35" s="725"/>
      <c r="C35" s="744"/>
      <c r="D35" s="733"/>
      <c r="E35" s="744"/>
      <c r="F35" s="700"/>
    </row>
    <row r="36" spans="1:6" ht="12" customHeight="1">
      <c r="A36" s="747" t="s">
        <v>1311</v>
      </c>
      <c r="B36" s="718">
        <v>220</v>
      </c>
      <c r="C36" s="748"/>
      <c r="D36" s="719"/>
      <c r="E36" s="748"/>
      <c r="F36" s="700"/>
    </row>
    <row r="37" spans="1:6" ht="12" customHeight="1">
      <c r="A37" s="749" t="s">
        <v>1314</v>
      </c>
      <c r="B37" s="731">
        <v>225</v>
      </c>
      <c r="C37" s="750"/>
      <c r="D37" s="735"/>
      <c r="E37" s="750"/>
      <c r="F37" s="700"/>
    </row>
    <row r="38" spans="1:6" ht="12" customHeight="1">
      <c r="A38" s="749" t="s">
        <v>1315</v>
      </c>
      <c r="B38" s="731">
        <v>230</v>
      </c>
      <c r="C38" s="750"/>
      <c r="D38" s="735"/>
      <c r="E38" s="750"/>
      <c r="F38" s="700"/>
    </row>
    <row r="39" spans="1:6" ht="12" customHeight="1">
      <c r="A39" s="743" t="s">
        <v>59</v>
      </c>
      <c r="B39" s="725">
        <v>235</v>
      </c>
      <c r="C39" s="2467"/>
      <c r="D39" s="723"/>
      <c r="E39" s="2467"/>
      <c r="F39" s="700"/>
    </row>
    <row r="40" spans="1:6" ht="12" customHeight="1">
      <c r="A40" s="3001" t="s">
        <v>711</v>
      </c>
      <c r="B40" s="2925">
        <v>237</v>
      </c>
      <c r="C40" s="2467"/>
      <c r="D40" s="723"/>
      <c r="E40" s="2467"/>
      <c r="F40" s="700"/>
    </row>
    <row r="41" spans="1:6" ht="12" customHeight="1">
      <c r="A41" s="743" t="s">
        <v>1327</v>
      </c>
      <c r="B41" s="725"/>
      <c r="C41" s="744"/>
      <c r="D41" s="733"/>
      <c r="E41" s="744"/>
      <c r="F41" s="700"/>
    </row>
    <row r="42" spans="1:6" ht="12" customHeight="1">
      <c r="A42" s="747" t="s">
        <v>83</v>
      </c>
      <c r="B42" s="718">
        <v>240</v>
      </c>
      <c r="C42" s="748"/>
      <c r="D42" s="719"/>
      <c r="E42" s="748"/>
      <c r="F42" s="700"/>
    </row>
    <row r="43" spans="1:6" ht="12" customHeight="1">
      <c r="A43" s="749" t="s">
        <v>1336</v>
      </c>
      <c r="B43" s="731">
        <v>245</v>
      </c>
      <c r="C43" s="750"/>
      <c r="D43" s="735"/>
      <c r="E43" s="750"/>
      <c r="F43" s="700"/>
    </row>
    <row r="44" spans="1:6" ht="12" customHeight="1">
      <c r="A44" s="745" t="s">
        <v>1337</v>
      </c>
      <c r="B44" s="722"/>
      <c r="C44" s="746"/>
      <c r="D44" s="728"/>
      <c r="E44" s="746"/>
      <c r="F44" s="700"/>
    </row>
    <row r="45" spans="1:6" ht="12" customHeight="1">
      <c r="A45" s="747" t="s">
        <v>84</v>
      </c>
      <c r="B45" s="718">
        <v>250</v>
      </c>
      <c r="C45" s="748"/>
      <c r="D45" s="719"/>
      <c r="E45" s="748"/>
      <c r="F45" s="700"/>
    </row>
    <row r="46" spans="1:6" ht="12" customHeight="1">
      <c r="A46" s="743" t="s">
        <v>85</v>
      </c>
      <c r="B46" s="725"/>
      <c r="C46" s="744"/>
      <c r="D46" s="733"/>
      <c r="E46" s="744"/>
      <c r="F46" s="700"/>
    </row>
    <row r="47" spans="1:6" ht="12" customHeight="1">
      <c r="A47" s="747" t="s">
        <v>86</v>
      </c>
      <c r="B47" s="718">
        <v>255</v>
      </c>
      <c r="C47" s="748"/>
      <c r="D47" s="719"/>
      <c r="E47" s="748"/>
      <c r="F47" s="700"/>
    </row>
    <row r="48" spans="1:6" ht="12" customHeight="1">
      <c r="A48" s="749" t="s">
        <v>87</v>
      </c>
      <c r="B48" s="731">
        <v>260</v>
      </c>
      <c r="C48" s="750"/>
      <c r="D48" s="735"/>
      <c r="E48" s="750"/>
      <c r="F48" s="700"/>
    </row>
    <row r="49" spans="1:6" ht="12" customHeight="1">
      <c r="A49" s="2924" t="s">
        <v>1256</v>
      </c>
      <c r="B49" s="2926">
        <v>263</v>
      </c>
      <c r="C49" s="748"/>
      <c r="D49" s="719"/>
      <c r="E49" s="748"/>
      <c r="F49" s="700"/>
    </row>
    <row r="50" spans="1:6" ht="12" customHeight="1">
      <c r="A50" s="747" t="s">
        <v>1344</v>
      </c>
      <c r="B50" s="718">
        <v>265</v>
      </c>
      <c r="C50" s="748"/>
      <c r="D50" s="719"/>
      <c r="E50" s="748"/>
      <c r="F50" s="700"/>
    </row>
    <row r="51" spans="1:6" ht="12" customHeight="1">
      <c r="A51" s="749" t="s">
        <v>1345</v>
      </c>
      <c r="B51" s="731">
        <v>270</v>
      </c>
      <c r="C51" s="750"/>
      <c r="D51" s="735"/>
      <c r="E51" s="750"/>
      <c r="F51" s="700"/>
    </row>
    <row r="52" spans="1:6" ht="12" customHeight="1">
      <c r="A52" s="749" t="s">
        <v>1346</v>
      </c>
      <c r="B52" s="731">
        <v>275</v>
      </c>
      <c r="C52" s="750"/>
      <c r="D52" s="735"/>
      <c r="E52" s="750"/>
      <c r="F52" s="700"/>
    </row>
    <row r="53" spans="1:6" ht="12" customHeight="1">
      <c r="A53" s="745" t="s">
        <v>88</v>
      </c>
      <c r="B53" s="722"/>
      <c r="C53" s="746"/>
      <c r="D53" s="728"/>
      <c r="E53" s="746"/>
      <c r="F53" s="700"/>
    </row>
    <row r="54" spans="1:6" ht="12" customHeight="1">
      <c r="A54" s="745" t="s">
        <v>89</v>
      </c>
      <c r="B54" s="722"/>
      <c r="C54" s="746"/>
      <c r="D54" s="728"/>
      <c r="E54" s="746"/>
      <c r="F54" s="700"/>
    </row>
    <row r="55" spans="1:6" ht="12" customHeight="1">
      <c r="A55" s="745" t="s">
        <v>1309</v>
      </c>
      <c r="B55" s="722"/>
      <c r="C55" s="746"/>
      <c r="D55" s="728"/>
      <c r="E55" s="746"/>
      <c r="F55" s="700"/>
    </row>
    <row r="56" spans="1:6" ht="12" customHeight="1">
      <c r="A56" s="747" t="s">
        <v>1347</v>
      </c>
      <c r="B56" s="718">
        <v>280</v>
      </c>
      <c r="C56" s="748"/>
      <c r="D56" s="719"/>
      <c r="E56" s="748"/>
      <c r="F56" s="700"/>
    </row>
    <row r="57" spans="1:6" ht="12" customHeight="1">
      <c r="A57" s="749" t="s">
        <v>1270</v>
      </c>
      <c r="B57" s="731">
        <v>285</v>
      </c>
      <c r="C57" s="750"/>
      <c r="D57" s="735"/>
      <c r="E57" s="750"/>
      <c r="F57" s="700"/>
    </row>
    <row r="58" spans="1:6" ht="12" customHeight="1">
      <c r="A58" s="743" t="s">
        <v>1310</v>
      </c>
      <c r="B58" s="725"/>
      <c r="C58" s="744"/>
      <c r="D58" s="733"/>
      <c r="E58" s="744"/>
      <c r="F58" s="700"/>
    </row>
    <row r="59" spans="1:6" ht="12" customHeight="1">
      <c r="A59" s="747" t="s">
        <v>1311</v>
      </c>
      <c r="B59" s="718">
        <v>290</v>
      </c>
      <c r="C59" s="748"/>
      <c r="D59" s="719"/>
      <c r="E59" s="748"/>
      <c r="F59" s="700"/>
    </row>
    <row r="60" spans="1:6" ht="12" customHeight="1">
      <c r="A60" s="749" t="s">
        <v>1314</v>
      </c>
      <c r="B60" s="731">
        <v>295</v>
      </c>
      <c r="C60" s="750"/>
      <c r="D60" s="735"/>
      <c r="E60" s="750"/>
      <c r="F60" s="700"/>
    </row>
    <row r="61" spans="1:6" ht="12" customHeight="1">
      <c r="A61" s="749" t="s">
        <v>1315</v>
      </c>
      <c r="B61" s="731">
        <v>300</v>
      </c>
      <c r="C61" s="750"/>
      <c r="D61" s="735"/>
      <c r="E61" s="750"/>
      <c r="F61" s="700"/>
    </row>
    <row r="62" spans="1:6" ht="12" customHeight="1">
      <c r="A62" s="749" t="s">
        <v>59</v>
      </c>
      <c r="B62" s="725">
        <v>305</v>
      </c>
      <c r="C62" s="750"/>
      <c r="D62" s="735"/>
      <c r="E62" s="750"/>
      <c r="F62" s="700"/>
    </row>
    <row r="63" spans="1:6" ht="12" customHeight="1">
      <c r="A63" s="2924" t="s">
        <v>711</v>
      </c>
      <c r="B63" s="2925">
        <v>307</v>
      </c>
      <c r="C63" s="748"/>
      <c r="D63" s="719"/>
      <c r="E63" s="748"/>
      <c r="F63" s="700"/>
    </row>
    <row r="64" spans="1:6" ht="12" customHeight="1">
      <c r="A64" s="747" t="s">
        <v>1327</v>
      </c>
      <c r="B64" s="731">
        <v>310</v>
      </c>
      <c r="C64" s="748"/>
      <c r="D64" s="719"/>
      <c r="E64" s="748"/>
      <c r="F64" s="700"/>
    </row>
    <row r="65" spans="1:6" ht="12" customHeight="1">
      <c r="A65" s="749" t="s">
        <v>1337</v>
      </c>
      <c r="B65" s="731">
        <v>315</v>
      </c>
      <c r="C65" s="750"/>
      <c r="D65" s="735"/>
      <c r="E65" s="750"/>
      <c r="F65" s="700"/>
    </row>
    <row r="66" spans="1:6" ht="12" customHeight="1">
      <c r="A66" s="2887"/>
      <c r="B66" s="2888"/>
      <c r="C66" s="2889"/>
      <c r="D66" s="2889"/>
      <c r="E66" s="2889"/>
      <c r="F66" s="700"/>
    </row>
    <row r="67" spans="1:6" ht="12" customHeight="1">
      <c r="A67" s="700"/>
      <c r="B67" s="701" t="s">
        <v>1019</v>
      </c>
      <c r="C67" s="702">
        <f>C1</f>
        <v>270</v>
      </c>
      <c r="D67" s="700"/>
      <c r="E67" s="703" t="s">
        <v>1020</v>
      </c>
      <c r="F67" s="700"/>
    </row>
    <row r="68" spans="1:6" ht="12" customHeight="1">
      <c r="A68" s="700"/>
      <c r="B68" s="701"/>
      <c r="C68" s="700"/>
      <c r="D68" s="700"/>
      <c r="E68" s="703" t="s">
        <v>1212</v>
      </c>
      <c r="F68" s="700"/>
    </row>
    <row r="69" spans="1:6" ht="12" customHeight="1">
      <c r="A69" s="700"/>
      <c r="B69" s="701"/>
      <c r="C69" s="700"/>
      <c r="D69" s="700"/>
      <c r="E69" s="703" t="str">
        <f>E3</f>
        <v>2016-2017</v>
      </c>
      <c r="F69" s="700"/>
    </row>
    <row r="70" spans="1:6" ht="12" customHeight="1">
      <c r="A70" s="700"/>
      <c r="B70" s="701"/>
      <c r="C70" s="700"/>
      <c r="D70" s="700"/>
      <c r="E70" s="700"/>
      <c r="F70" s="700"/>
    </row>
    <row r="71" spans="1:6" ht="12" customHeight="1">
      <c r="A71" s="700"/>
      <c r="B71" s="701"/>
      <c r="C71" s="706" t="s">
        <v>1213</v>
      </c>
      <c r="D71" s="706" t="s">
        <v>1213</v>
      </c>
      <c r="E71" s="706" t="s">
        <v>1213</v>
      </c>
      <c r="F71" s="700"/>
    </row>
    <row r="72" spans="1:6" ht="12" customHeight="1">
      <c r="A72" s="707" t="s">
        <v>72</v>
      </c>
      <c r="B72" s="708" t="s">
        <v>1045</v>
      </c>
      <c r="C72" s="709" t="str">
        <f>C6</f>
        <v>2014-2015</v>
      </c>
      <c r="D72" s="709" t="str">
        <f>D6</f>
        <v>2015-2016</v>
      </c>
      <c r="E72" s="709" t="str">
        <f>E6</f>
        <v>2016-2017</v>
      </c>
      <c r="F72" s="700"/>
    </row>
    <row r="73" spans="1:6" ht="12" customHeight="1">
      <c r="A73" s="707" t="s">
        <v>81</v>
      </c>
      <c r="B73" s="711">
        <v>12</v>
      </c>
      <c r="C73" s="712" t="s">
        <v>1139</v>
      </c>
      <c r="D73" s="712" t="s">
        <v>1139</v>
      </c>
      <c r="E73" s="712" t="s">
        <v>1215</v>
      </c>
      <c r="F73" s="700"/>
    </row>
    <row r="74" spans="1:6" ht="12" customHeight="1">
      <c r="A74" s="714"/>
      <c r="B74" s="715" t="s">
        <v>1051</v>
      </c>
      <c r="C74" s="716">
        <v>1</v>
      </c>
      <c r="D74" s="716">
        <v>2</v>
      </c>
      <c r="E74" s="716">
        <v>3</v>
      </c>
      <c r="F74" s="700"/>
    </row>
    <row r="75" spans="1:6" ht="12" customHeight="1">
      <c r="A75" s="749" t="s">
        <v>1345</v>
      </c>
      <c r="B75" s="731">
        <v>320</v>
      </c>
      <c r="C75" s="750"/>
      <c r="D75" s="735"/>
      <c r="E75" s="750"/>
      <c r="F75" s="700"/>
    </row>
    <row r="76" spans="1:6" ht="12" customHeight="1">
      <c r="A76" s="749" t="s">
        <v>1346</v>
      </c>
      <c r="B76" s="731">
        <v>325</v>
      </c>
      <c r="C76" s="750"/>
      <c r="D76" s="735"/>
      <c r="E76" s="750"/>
      <c r="F76" s="700"/>
    </row>
    <row r="77" spans="1:6" ht="12" customHeight="1">
      <c r="A77" s="743" t="s">
        <v>90</v>
      </c>
      <c r="B77" s="725"/>
      <c r="C77" s="744"/>
      <c r="D77" s="733"/>
      <c r="E77" s="744"/>
      <c r="F77" s="700"/>
    </row>
    <row r="78" spans="1:6" ht="12" customHeight="1">
      <c r="A78" s="745" t="s">
        <v>1309</v>
      </c>
      <c r="B78" s="722"/>
      <c r="C78" s="746"/>
      <c r="D78" s="728"/>
      <c r="E78" s="746"/>
      <c r="F78" s="700"/>
    </row>
    <row r="79" spans="1:6" ht="12" customHeight="1">
      <c r="A79" s="747" t="s">
        <v>1347</v>
      </c>
      <c r="B79" s="718">
        <v>330</v>
      </c>
      <c r="C79" s="748"/>
      <c r="D79" s="719"/>
      <c r="E79" s="748"/>
      <c r="F79" s="700"/>
    </row>
    <row r="80" spans="1:6" ht="12" customHeight="1">
      <c r="A80" s="749" t="s">
        <v>1270</v>
      </c>
      <c r="B80" s="731">
        <v>335</v>
      </c>
      <c r="C80" s="750"/>
      <c r="D80" s="735"/>
      <c r="E80" s="750"/>
      <c r="F80" s="700"/>
    </row>
    <row r="81" spans="1:6" ht="12" customHeight="1">
      <c r="A81" s="743" t="s">
        <v>1310</v>
      </c>
      <c r="B81" s="725"/>
      <c r="C81" s="744"/>
      <c r="D81" s="733"/>
      <c r="E81" s="744"/>
      <c r="F81" s="700"/>
    </row>
    <row r="82" spans="1:6" ht="12" customHeight="1">
      <c r="A82" s="747" t="s">
        <v>1311</v>
      </c>
      <c r="B82" s="718">
        <v>340</v>
      </c>
      <c r="C82" s="748"/>
      <c r="D82" s="719"/>
      <c r="E82" s="748"/>
      <c r="F82" s="700"/>
    </row>
    <row r="83" spans="1:6" ht="12" customHeight="1">
      <c r="A83" s="749" t="s">
        <v>1314</v>
      </c>
      <c r="B83" s="731">
        <v>345</v>
      </c>
      <c r="C83" s="750"/>
      <c r="D83" s="735"/>
      <c r="E83" s="750"/>
      <c r="F83" s="700"/>
    </row>
    <row r="84" spans="1:6" ht="12" customHeight="1">
      <c r="A84" s="749" t="s">
        <v>1315</v>
      </c>
      <c r="B84" s="731">
        <v>350</v>
      </c>
      <c r="C84" s="750"/>
      <c r="D84" s="735"/>
      <c r="E84" s="750"/>
      <c r="F84" s="700"/>
    </row>
    <row r="85" spans="1:6" ht="12" customHeight="1">
      <c r="A85" s="747" t="s">
        <v>911</v>
      </c>
      <c r="B85" s="718">
        <v>355</v>
      </c>
      <c r="C85" s="748"/>
      <c r="D85" s="719"/>
      <c r="E85" s="748"/>
      <c r="F85" s="700"/>
    </row>
    <row r="86" spans="1:6" ht="12" customHeight="1">
      <c r="A86" s="2924" t="s">
        <v>711</v>
      </c>
      <c r="B86" s="2926">
        <v>357</v>
      </c>
      <c r="C86" s="748"/>
      <c r="D86" s="719"/>
      <c r="E86" s="748"/>
      <c r="F86" s="700"/>
    </row>
    <row r="87" spans="1:6" ht="12" customHeight="1">
      <c r="A87" s="749" t="s">
        <v>1327</v>
      </c>
      <c r="B87" s="731">
        <v>360</v>
      </c>
      <c r="C87" s="750"/>
      <c r="D87" s="735"/>
      <c r="E87" s="750"/>
      <c r="F87" s="700"/>
    </row>
    <row r="88" spans="1:6" ht="12" customHeight="1">
      <c r="A88" s="749" t="s">
        <v>1337</v>
      </c>
      <c r="B88" s="731">
        <v>365</v>
      </c>
      <c r="C88" s="750"/>
      <c r="D88" s="735"/>
      <c r="E88" s="750"/>
      <c r="F88" s="700"/>
    </row>
    <row r="89" spans="1:6" ht="12" customHeight="1">
      <c r="A89" s="747" t="s">
        <v>1345</v>
      </c>
      <c r="B89" s="718">
        <v>370</v>
      </c>
      <c r="C89" s="748"/>
      <c r="D89" s="719"/>
      <c r="E89" s="748"/>
      <c r="F89" s="700"/>
    </row>
    <row r="90" spans="1:6" ht="12" customHeight="1">
      <c r="A90" s="749" t="s">
        <v>1346</v>
      </c>
      <c r="B90" s="731">
        <v>375</v>
      </c>
      <c r="C90" s="750"/>
      <c r="D90" s="735"/>
      <c r="E90" s="750"/>
      <c r="F90" s="700"/>
    </row>
    <row r="91" spans="1:6" ht="12" customHeight="1">
      <c r="A91" s="2876" t="s">
        <v>102</v>
      </c>
      <c r="B91" s="2881"/>
      <c r="C91" s="2886"/>
      <c r="D91" s="3204"/>
      <c r="E91" s="2883"/>
      <c r="F91" s="700"/>
    </row>
    <row r="92" spans="1:6" ht="12" customHeight="1">
      <c r="A92" s="2877" t="s">
        <v>1309</v>
      </c>
      <c r="B92" s="2882"/>
      <c r="C92" s="2883"/>
      <c r="D92" s="3204"/>
      <c r="E92" s="2883"/>
      <c r="F92" s="700"/>
    </row>
    <row r="93" spans="1:6" ht="12" customHeight="1">
      <c r="A93" s="2880" t="s">
        <v>1347</v>
      </c>
      <c r="B93" s="3002">
        <v>425</v>
      </c>
      <c r="C93" s="762"/>
      <c r="D93" s="2879"/>
      <c r="E93" s="2878"/>
      <c r="F93" s="700"/>
    </row>
    <row r="94" spans="1:6" ht="12" customHeight="1">
      <c r="A94" s="1417" t="s">
        <v>1270</v>
      </c>
      <c r="B94" s="3003">
        <v>430</v>
      </c>
      <c r="C94" s="2472"/>
      <c r="D94" s="769"/>
      <c r="E94" s="2472"/>
      <c r="F94" s="700"/>
    </row>
    <row r="95" spans="1:6" ht="12" customHeight="1">
      <c r="A95" s="2884" t="s">
        <v>1310</v>
      </c>
      <c r="B95" s="2881"/>
      <c r="C95" s="2886"/>
      <c r="D95" s="2886"/>
      <c r="E95" s="2886"/>
      <c r="F95" s="700"/>
    </row>
    <row r="96" spans="1:6" ht="12" customHeight="1">
      <c r="A96" s="2885" t="s">
        <v>1311</v>
      </c>
      <c r="B96" s="3002">
        <v>435</v>
      </c>
      <c r="C96" s="762"/>
      <c r="D96" s="762"/>
      <c r="E96" s="762"/>
      <c r="F96" s="700"/>
    </row>
    <row r="97" spans="1:6" ht="12" customHeight="1">
      <c r="A97" s="1352" t="s">
        <v>1314</v>
      </c>
      <c r="B97" s="3004">
        <v>440</v>
      </c>
      <c r="C97" s="2878"/>
      <c r="D97" s="2879"/>
      <c r="E97" s="762"/>
      <c r="F97" s="700"/>
    </row>
    <row r="98" spans="1:6" ht="12" customHeight="1">
      <c r="A98" s="1340" t="s">
        <v>1315</v>
      </c>
      <c r="B98" s="3003">
        <v>445</v>
      </c>
      <c r="C98" s="2472"/>
      <c r="D98" s="769"/>
      <c r="E98" s="765"/>
      <c r="F98" s="700"/>
    </row>
    <row r="99" spans="1:6" ht="12" customHeight="1">
      <c r="A99" s="1348" t="s">
        <v>1</v>
      </c>
      <c r="B99" s="3003">
        <v>450</v>
      </c>
      <c r="C99" s="2472"/>
      <c r="D99" s="769"/>
      <c r="E99" s="765"/>
      <c r="F99" s="700"/>
    </row>
    <row r="100" spans="1:6" ht="12" customHeight="1">
      <c r="A100" s="1340" t="s">
        <v>1327</v>
      </c>
      <c r="B100" s="3003">
        <v>455</v>
      </c>
      <c r="C100" s="2472"/>
      <c r="D100" s="769"/>
      <c r="E100" s="765"/>
      <c r="F100" s="700"/>
    </row>
    <row r="101" spans="1:6" ht="12" customHeight="1">
      <c r="A101" s="1340" t="s">
        <v>1337</v>
      </c>
      <c r="B101" s="3003">
        <v>460</v>
      </c>
      <c r="C101" s="2472"/>
      <c r="D101" s="769"/>
      <c r="E101" s="765"/>
      <c r="F101" s="700"/>
    </row>
    <row r="102" spans="1:6" ht="12" customHeight="1">
      <c r="A102" s="1340" t="s">
        <v>1345</v>
      </c>
      <c r="B102" s="3003">
        <v>465</v>
      </c>
      <c r="C102" s="2472"/>
      <c r="D102" s="769"/>
      <c r="E102" s="765"/>
      <c r="F102" s="700"/>
    </row>
    <row r="103" spans="1:6" ht="12" customHeight="1">
      <c r="A103" s="1340" t="s">
        <v>1346</v>
      </c>
      <c r="B103" s="3005">
        <v>470</v>
      </c>
      <c r="C103" s="765"/>
      <c r="D103" s="2890"/>
      <c r="E103" s="765"/>
      <c r="F103" s="700"/>
    </row>
    <row r="104" spans="1:6" ht="12" customHeight="1">
      <c r="A104" s="754" t="s">
        <v>1308</v>
      </c>
      <c r="B104" s="755"/>
      <c r="C104" s="756"/>
      <c r="D104" s="766"/>
      <c r="E104" s="759"/>
      <c r="F104" s="700"/>
    </row>
    <row r="105" spans="1:6" ht="12" customHeight="1">
      <c r="A105" s="757" t="s">
        <v>1309</v>
      </c>
      <c r="B105" s="758"/>
      <c r="C105" s="759"/>
      <c r="D105" s="770"/>
      <c r="E105" s="759"/>
      <c r="F105" s="700"/>
    </row>
    <row r="106" spans="1:6" ht="12" customHeight="1">
      <c r="A106" s="760" t="s">
        <v>1270</v>
      </c>
      <c r="B106" s="761">
        <v>475</v>
      </c>
      <c r="C106" s="762"/>
      <c r="D106" s="767"/>
      <c r="E106" s="762"/>
      <c r="F106" s="700"/>
    </row>
    <row r="107" spans="1:6" ht="12" customHeight="1">
      <c r="A107" s="754" t="s">
        <v>1310</v>
      </c>
      <c r="B107" s="755"/>
      <c r="C107" s="756"/>
      <c r="D107" s="766"/>
      <c r="E107" s="759"/>
      <c r="F107" s="700"/>
    </row>
    <row r="108" spans="1:6" ht="12" customHeight="1">
      <c r="A108" s="760" t="s">
        <v>1311</v>
      </c>
      <c r="B108" s="761">
        <v>480</v>
      </c>
      <c r="C108" s="762"/>
      <c r="D108" s="767"/>
      <c r="E108" s="762"/>
      <c r="F108" s="700"/>
    </row>
    <row r="109" spans="1:6" ht="12" customHeight="1">
      <c r="A109" s="754" t="s">
        <v>1314</v>
      </c>
      <c r="B109" s="755">
        <v>485</v>
      </c>
      <c r="C109" s="2472"/>
      <c r="D109" s="769"/>
      <c r="E109" s="2472"/>
      <c r="F109" s="700"/>
    </row>
    <row r="110" spans="1:6" ht="12" customHeight="1">
      <c r="A110" s="763" t="s">
        <v>1315</v>
      </c>
      <c r="B110" s="764">
        <v>490</v>
      </c>
      <c r="C110" s="765"/>
      <c r="D110" s="768"/>
      <c r="E110" s="765"/>
      <c r="F110" s="700"/>
    </row>
    <row r="111" spans="1:6" ht="12" customHeight="1">
      <c r="A111" s="743" t="s">
        <v>59</v>
      </c>
      <c r="B111" s="755">
        <v>495</v>
      </c>
      <c r="C111" s="2472"/>
      <c r="D111" s="769"/>
      <c r="E111" s="2472"/>
      <c r="F111" s="700"/>
    </row>
    <row r="112" spans="1:6" ht="12" customHeight="1">
      <c r="A112" s="763" t="s">
        <v>1318</v>
      </c>
      <c r="B112" s="764">
        <v>500</v>
      </c>
      <c r="C112" s="765"/>
      <c r="D112" s="768"/>
      <c r="E112" s="765"/>
      <c r="F112" s="700"/>
    </row>
    <row r="113" spans="1:6" ht="12" customHeight="1">
      <c r="A113" s="763" t="s">
        <v>1327</v>
      </c>
      <c r="B113" s="764">
        <v>505</v>
      </c>
      <c r="C113" s="765"/>
      <c r="D113" s="768"/>
      <c r="E113" s="765"/>
      <c r="F113" s="700"/>
    </row>
    <row r="114" spans="1:6" ht="12" customHeight="1">
      <c r="A114" s="754" t="s">
        <v>1337</v>
      </c>
      <c r="B114" s="755"/>
      <c r="C114" s="756"/>
      <c r="D114" s="766"/>
      <c r="E114" s="756"/>
      <c r="F114" s="700"/>
    </row>
    <row r="115" spans="1:6" ht="12" customHeight="1">
      <c r="A115" s="760" t="s">
        <v>1338</v>
      </c>
      <c r="B115" s="761">
        <v>510</v>
      </c>
      <c r="C115" s="762"/>
      <c r="D115" s="767"/>
      <c r="E115" s="762"/>
      <c r="F115" s="700"/>
    </row>
    <row r="116" spans="1:6" ht="12" customHeight="1">
      <c r="A116" s="754" t="s">
        <v>1339</v>
      </c>
      <c r="B116" s="755"/>
      <c r="C116" s="756"/>
      <c r="D116" s="766"/>
      <c r="E116" s="756"/>
      <c r="F116" s="700"/>
    </row>
    <row r="117" spans="1:6" ht="12" customHeight="1">
      <c r="A117" s="760" t="s">
        <v>1340</v>
      </c>
      <c r="B117" s="761">
        <v>515</v>
      </c>
      <c r="C117" s="762"/>
      <c r="D117" s="767"/>
      <c r="E117" s="762"/>
      <c r="F117" s="700"/>
    </row>
    <row r="118" spans="1:6" ht="12" customHeight="1">
      <c r="A118" s="763" t="s">
        <v>1341</v>
      </c>
      <c r="B118" s="764">
        <v>520</v>
      </c>
      <c r="C118" s="765"/>
      <c r="D118" s="768"/>
      <c r="E118" s="765"/>
      <c r="F118" s="700"/>
    </row>
    <row r="119" spans="1:6" ht="12" customHeight="1">
      <c r="A119" s="763" t="s">
        <v>69</v>
      </c>
      <c r="B119" s="764">
        <v>525</v>
      </c>
      <c r="C119" s="765"/>
      <c r="D119" s="768"/>
      <c r="E119" s="765"/>
      <c r="F119" s="700"/>
    </row>
    <row r="120" spans="1:6" ht="12" customHeight="1">
      <c r="A120" s="763" t="s">
        <v>1343</v>
      </c>
      <c r="B120" s="764">
        <v>530</v>
      </c>
      <c r="C120" s="765"/>
      <c r="D120" s="768"/>
      <c r="E120" s="765"/>
      <c r="F120" s="700"/>
    </row>
    <row r="121" spans="1:6" ht="12" customHeight="1">
      <c r="A121" s="760" t="s">
        <v>1344</v>
      </c>
      <c r="B121" s="761">
        <v>535</v>
      </c>
      <c r="C121" s="762"/>
      <c r="D121" s="767"/>
      <c r="E121" s="762"/>
      <c r="F121" s="700"/>
    </row>
    <row r="122" spans="1:6" ht="12" customHeight="1">
      <c r="A122" s="763" t="s">
        <v>1345</v>
      </c>
      <c r="B122" s="764">
        <v>540</v>
      </c>
      <c r="C122" s="765"/>
      <c r="D122" s="768"/>
      <c r="E122" s="765"/>
      <c r="F122" s="700"/>
    </row>
    <row r="123" spans="1:6" ht="12" customHeight="1">
      <c r="A123" s="760" t="s">
        <v>1346</v>
      </c>
      <c r="B123" s="761">
        <v>545</v>
      </c>
      <c r="C123" s="762"/>
      <c r="D123" s="767"/>
      <c r="E123" s="762"/>
      <c r="F123" s="700"/>
    </row>
    <row r="124" spans="1:6" ht="12" customHeight="1">
      <c r="A124" s="763" t="s">
        <v>1248</v>
      </c>
      <c r="B124" s="771" t="s">
        <v>92</v>
      </c>
      <c r="C124" s="2473">
        <f>SUM(C75:C123,C31:C65)</f>
        <v>0</v>
      </c>
      <c r="D124" s="2473">
        <f>SUM(D75:D123,D31:D65)</f>
        <v>0</v>
      </c>
      <c r="E124" s="2473">
        <f>SUM(E75:E123,E31:E65)</f>
        <v>0</v>
      </c>
      <c r="F124" s="700"/>
    </row>
    <row r="125" spans="1:6" ht="12.75" customHeight="1">
      <c r="A125" s="772"/>
      <c r="B125" s="773"/>
      <c r="C125" s="774"/>
      <c r="D125" s="774"/>
      <c r="E125" s="774"/>
      <c r="F125" s="700"/>
    </row>
    <row r="126" spans="1:6" ht="12" customHeight="1">
      <c r="A126" s="751"/>
      <c r="B126" s="701"/>
      <c r="C126" s="752"/>
      <c r="D126" s="752"/>
      <c r="E126" s="752"/>
      <c r="F126" s="700"/>
    </row>
    <row r="127" spans="1:6" ht="12" customHeight="1">
      <c r="A127" s="700"/>
      <c r="B127" s="700"/>
      <c r="C127" s="775"/>
      <c r="D127" s="775"/>
      <c r="E127" s="775"/>
      <c r="F127" s="700"/>
    </row>
    <row r="128" spans="1:6" ht="12" customHeight="1">
      <c r="A128" s="700"/>
      <c r="B128" s="700"/>
      <c r="C128" s="775"/>
      <c r="D128" s="775"/>
      <c r="E128" s="775"/>
      <c r="F128" s="700"/>
    </row>
    <row r="129" spans="1:6" ht="12" customHeight="1">
      <c r="A129" s="700"/>
      <c r="B129" s="700"/>
      <c r="C129" s="775"/>
      <c r="D129" s="775"/>
      <c r="E129" s="775"/>
      <c r="F129" s="700"/>
    </row>
    <row r="130" spans="1:6" ht="12" customHeight="1">
      <c r="A130" s="700"/>
      <c r="B130" s="700"/>
      <c r="C130" s="775"/>
      <c r="D130" s="775"/>
      <c r="E130" s="775"/>
      <c r="F130" s="700"/>
    </row>
    <row r="131" spans="1:6" ht="12" customHeight="1">
      <c r="A131" s="700"/>
      <c r="B131" s="700"/>
      <c r="C131" s="775"/>
      <c r="D131" s="775"/>
      <c r="E131" s="775"/>
      <c r="F131" s="700"/>
    </row>
    <row r="132" spans="1:6" ht="12" customHeight="1">
      <c r="A132" s="700"/>
      <c r="B132" s="700"/>
      <c r="C132" s="775"/>
      <c r="D132" s="775"/>
      <c r="E132" s="775"/>
      <c r="F132" s="700"/>
    </row>
    <row r="133" spans="1:6" ht="12" customHeight="1">
      <c r="A133" s="700"/>
      <c r="B133" s="700"/>
      <c r="C133" s="776"/>
      <c r="D133" s="775"/>
      <c r="E133" s="775"/>
      <c r="F133" s="700"/>
    </row>
    <row r="134" spans="1:6" ht="12" customHeight="1">
      <c r="A134" s="700"/>
      <c r="B134" s="700"/>
      <c r="C134" s="775"/>
      <c r="D134" s="775"/>
      <c r="E134" s="775"/>
      <c r="F134" s="700"/>
    </row>
    <row r="135" spans="1:6" ht="12" customHeight="1">
      <c r="A135" s="700"/>
      <c r="B135" s="700"/>
      <c r="C135" s="775"/>
      <c r="D135" s="775"/>
      <c r="E135" s="775"/>
      <c r="F135" s="700"/>
    </row>
    <row r="136" spans="1:6" ht="12" customHeight="1">
      <c r="A136" s="700"/>
      <c r="B136" s="700"/>
      <c r="C136" s="775"/>
      <c r="D136" s="775"/>
      <c r="E136" s="775"/>
      <c r="F136" s="700"/>
    </row>
    <row r="137" spans="1:6" ht="12" customHeight="1">
      <c r="A137" s="700"/>
      <c r="B137" s="700"/>
      <c r="C137" s="775"/>
      <c r="D137" s="775"/>
      <c r="E137" s="775"/>
      <c r="F137" s="700"/>
    </row>
    <row r="138" spans="1:6" ht="12" customHeight="1">
      <c r="A138" s="700"/>
      <c r="B138" s="700"/>
      <c r="C138" s="775"/>
      <c r="D138" s="775"/>
      <c r="E138" s="775"/>
      <c r="F138" s="700"/>
    </row>
    <row r="139" spans="1:6" ht="12" customHeight="1">
      <c r="A139" s="700"/>
      <c r="B139" s="700"/>
      <c r="C139" s="775"/>
      <c r="D139" s="775"/>
      <c r="E139" s="775"/>
      <c r="F139" s="700"/>
    </row>
    <row r="140" spans="1:6" ht="12" customHeight="1">
      <c r="A140" s="700"/>
      <c r="B140" s="700"/>
      <c r="C140" s="775"/>
      <c r="D140" s="775"/>
      <c r="E140" s="775"/>
      <c r="F140" s="700"/>
    </row>
    <row r="141" spans="1:6" ht="12" customHeight="1">
      <c r="A141" s="700"/>
      <c r="B141" s="700"/>
      <c r="C141" s="775"/>
      <c r="D141" s="775"/>
      <c r="E141" s="775"/>
      <c r="F141" s="700"/>
    </row>
    <row r="142" spans="1:6" ht="12" customHeight="1">
      <c r="A142" s="700"/>
      <c r="B142" s="700"/>
      <c r="C142" s="775"/>
      <c r="D142" s="775"/>
      <c r="E142" s="775"/>
      <c r="F142" s="700"/>
    </row>
    <row r="143" spans="1:6" ht="12" customHeight="1">
      <c r="A143" s="700"/>
      <c r="B143" s="700"/>
      <c r="C143" s="775"/>
      <c r="D143" s="775"/>
      <c r="E143" s="775"/>
      <c r="F143" s="700"/>
    </row>
    <row r="144" spans="1:6" ht="12" customHeight="1">
      <c r="A144" s="700"/>
      <c r="B144" s="700"/>
      <c r="C144" s="775"/>
      <c r="D144" s="775"/>
      <c r="E144" s="775"/>
      <c r="F144" s="700"/>
    </row>
    <row r="145" spans="1:6" ht="12" customHeight="1">
      <c r="A145" s="700"/>
      <c r="B145" s="700"/>
      <c r="C145" s="775"/>
      <c r="D145" s="775"/>
      <c r="E145" s="775"/>
      <c r="F145" s="700"/>
    </row>
    <row r="146" spans="1:6" ht="12" customHeight="1">
      <c r="A146" s="700"/>
      <c r="B146" s="700"/>
      <c r="C146" s="775"/>
      <c r="D146" s="775"/>
      <c r="E146" s="775"/>
      <c r="F146" s="700"/>
    </row>
    <row r="147" spans="1:6" ht="12" customHeight="1">
      <c r="A147" s="700"/>
      <c r="B147" s="700"/>
      <c r="C147" s="775"/>
      <c r="D147" s="775"/>
      <c r="E147" s="775"/>
      <c r="F147" s="742"/>
    </row>
    <row r="148" spans="1:6" ht="12" customHeight="1">
      <c r="A148" s="700"/>
      <c r="B148" s="700"/>
      <c r="C148" s="775"/>
      <c r="D148" s="775"/>
      <c r="E148" s="775"/>
      <c r="F148" s="742"/>
    </row>
    <row r="149" spans="1:6" ht="12" customHeight="1">
      <c r="A149" s="700"/>
      <c r="B149" s="700"/>
      <c r="C149" s="775"/>
      <c r="D149" s="775"/>
      <c r="E149" s="775"/>
      <c r="F149" s="700"/>
    </row>
    <row r="150" spans="1:6" ht="12" customHeight="1">
      <c r="A150" s="700"/>
      <c r="B150" s="700"/>
      <c r="C150" s="775"/>
      <c r="D150" s="775"/>
      <c r="E150" s="775"/>
      <c r="F150" s="700"/>
    </row>
    <row r="151" spans="1:6" ht="12" customHeight="1">
      <c r="A151" s="700"/>
      <c r="B151" s="700"/>
      <c r="C151" s="775"/>
      <c r="D151" s="775"/>
      <c r="E151" s="775"/>
      <c r="F151" s="700"/>
    </row>
    <row r="152" spans="1:6" ht="12" customHeight="1">
      <c r="A152" s="700"/>
      <c r="B152" s="700"/>
      <c r="C152" s="775"/>
      <c r="D152" s="775"/>
      <c r="E152" s="775"/>
      <c r="F152" s="700"/>
    </row>
    <row r="153" spans="1:6" ht="12" customHeight="1">
      <c r="A153" s="700"/>
      <c r="B153" s="700"/>
      <c r="C153" s="775"/>
      <c r="D153" s="775"/>
      <c r="E153" s="775"/>
      <c r="F153" s="700"/>
    </row>
    <row r="154" spans="1:6" ht="12" customHeight="1">
      <c r="A154" s="700"/>
      <c r="B154" s="700"/>
      <c r="C154" s="775"/>
      <c r="D154" s="775"/>
      <c r="E154" s="775"/>
      <c r="F154" s="700"/>
    </row>
    <row r="155" spans="1:6" ht="12" customHeight="1">
      <c r="A155" s="700"/>
      <c r="B155" s="700"/>
      <c r="C155" s="775"/>
      <c r="D155" s="775"/>
      <c r="E155" s="775"/>
      <c r="F155" s="700"/>
    </row>
    <row r="156" spans="1:6" ht="12" customHeight="1">
      <c r="A156" s="700"/>
      <c r="B156" s="700"/>
      <c r="C156" s="775"/>
      <c r="D156" s="775"/>
      <c r="E156" s="775"/>
      <c r="F156" s="700"/>
    </row>
    <row r="157" spans="1:6" ht="12" customHeight="1">
      <c r="A157" s="700"/>
      <c r="B157" s="700"/>
      <c r="C157" s="775"/>
      <c r="D157" s="775"/>
      <c r="E157" s="775"/>
      <c r="F157" s="700"/>
    </row>
    <row r="158" spans="1:6" ht="12" customHeight="1">
      <c r="A158" s="700"/>
      <c r="B158" s="700"/>
      <c r="C158" s="775"/>
      <c r="D158" s="775"/>
      <c r="E158" s="775"/>
      <c r="F158" s="700"/>
    </row>
    <row r="159" spans="1:6" ht="12" customHeight="1">
      <c r="A159" s="700"/>
      <c r="B159" s="700"/>
      <c r="C159" s="775"/>
      <c r="D159" s="775"/>
      <c r="E159" s="775"/>
      <c r="F159" s="700"/>
    </row>
    <row r="160" spans="1:6" ht="12" customHeight="1">
      <c r="A160" s="700"/>
      <c r="B160" s="700"/>
      <c r="C160" s="775"/>
      <c r="D160" s="775"/>
      <c r="E160" s="775"/>
      <c r="F160" s="700"/>
    </row>
    <row r="161" spans="1:6" ht="12" customHeight="1">
      <c r="A161" s="700"/>
      <c r="B161" s="700"/>
      <c r="C161" s="775"/>
      <c r="D161" s="775"/>
      <c r="E161" s="775"/>
      <c r="F161" s="700"/>
    </row>
    <row r="162" spans="1:6" ht="12" customHeight="1">
      <c r="A162" s="700"/>
      <c r="B162" s="700"/>
      <c r="C162" s="775"/>
      <c r="D162" s="775"/>
      <c r="E162" s="775"/>
      <c r="F162" s="700"/>
    </row>
    <row r="163" spans="1:6" ht="12" customHeight="1">
      <c r="A163" s="700"/>
      <c r="B163" s="700"/>
      <c r="C163" s="775"/>
      <c r="D163" s="775"/>
      <c r="E163" s="775"/>
      <c r="F163" s="700"/>
    </row>
    <row r="164" spans="1:6" ht="12" customHeight="1">
      <c r="A164" s="700"/>
      <c r="B164" s="700"/>
      <c r="C164" s="775"/>
      <c r="D164" s="775"/>
      <c r="E164" s="775"/>
      <c r="F164" s="700"/>
    </row>
    <row r="165" spans="1:6" ht="12" customHeight="1">
      <c r="A165" s="700"/>
      <c r="B165" s="700"/>
      <c r="C165" s="775"/>
      <c r="D165" s="775"/>
      <c r="E165" s="775"/>
      <c r="F165" s="700"/>
    </row>
    <row r="166" spans="1:6" ht="12" customHeight="1">
      <c r="A166" s="700"/>
      <c r="B166" s="700"/>
      <c r="C166" s="775"/>
      <c r="D166" s="775"/>
      <c r="E166" s="775"/>
      <c r="F166" s="700"/>
    </row>
    <row r="167" spans="1:6" ht="12" customHeight="1">
      <c r="A167" s="700"/>
      <c r="B167" s="700"/>
      <c r="C167" s="775"/>
      <c r="D167" s="775"/>
      <c r="E167" s="775"/>
      <c r="F167" s="700"/>
    </row>
    <row r="168" spans="1:6" ht="12" customHeight="1">
      <c r="A168" s="700"/>
      <c r="B168" s="700"/>
      <c r="C168" s="775"/>
      <c r="D168" s="775"/>
      <c r="E168" s="775"/>
      <c r="F168" s="700"/>
    </row>
    <row r="169" spans="1:6" ht="12" customHeight="1">
      <c r="A169" s="700"/>
      <c r="B169" s="700"/>
      <c r="C169" s="775"/>
      <c r="D169" s="775"/>
      <c r="E169" s="775"/>
      <c r="F169" s="700"/>
    </row>
    <row r="170" spans="1:6" ht="12" customHeight="1">
      <c r="A170" s="700"/>
      <c r="B170" s="700"/>
      <c r="C170" s="775"/>
      <c r="D170" s="775"/>
      <c r="E170" s="775"/>
      <c r="F170" s="700"/>
    </row>
    <row r="171" spans="1:6" ht="12" customHeight="1">
      <c r="A171" s="700"/>
      <c r="B171" s="700"/>
      <c r="C171" s="775"/>
      <c r="D171" s="775"/>
      <c r="E171" s="775"/>
      <c r="F171" s="700"/>
    </row>
    <row r="172" spans="1:6" ht="12" customHeight="1">
      <c r="A172" s="700"/>
      <c r="B172" s="700"/>
      <c r="C172" s="775"/>
      <c r="D172" s="775"/>
      <c r="E172" s="775"/>
      <c r="F172" s="700"/>
    </row>
    <row r="173" spans="1:6" ht="12" customHeight="1">
      <c r="A173" s="700"/>
      <c r="B173" s="700"/>
      <c r="C173" s="775"/>
      <c r="D173" s="775"/>
      <c r="E173" s="775"/>
      <c r="F173" s="700"/>
    </row>
    <row r="174" spans="1:6" ht="12" customHeight="1">
      <c r="A174" s="700"/>
      <c r="B174" s="700"/>
      <c r="C174" s="775"/>
      <c r="D174" s="775"/>
      <c r="E174" s="775"/>
      <c r="F174" s="700"/>
    </row>
    <row r="175" spans="1:6" ht="12" customHeight="1">
      <c r="A175" s="700"/>
      <c r="B175" s="700"/>
      <c r="C175" s="775"/>
      <c r="D175" s="775"/>
      <c r="E175" s="775"/>
      <c r="F175" s="700"/>
    </row>
    <row r="176" spans="1:6" ht="12" customHeight="1">
      <c r="A176" s="700"/>
      <c r="B176" s="701"/>
      <c r="C176" s="775"/>
      <c r="D176" s="775"/>
      <c r="E176" s="775"/>
      <c r="F176" s="700"/>
    </row>
    <row r="177" spans="1:6" ht="12" customHeight="1">
      <c r="A177" s="700"/>
      <c r="B177" s="701"/>
      <c r="C177" s="775"/>
      <c r="D177" s="775"/>
      <c r="E177" s="775"/>
      <c r="F177" s="700"/>
    </row>
    <row r="178" spans="1:6" ht="12" customHeight="1">
      <c r="A178" s="700"/>
      <c r="B178" s="701"/>
      <c r="C178" s="775"/>
      <c r="D178" s="775"/>
      <c r="E178" s="775"/>
      <c r="F178" s="700"/>
    </row>
    <row r="179" spans="1:6" ht="12" customHeight="1">
      <c r="A179" s="700"/>
      <c r="B179" s="701"/>
      <c r="C179" s="775"/>
      <c r="D179" s="775"/>
      <c r="E179" s="775"/>
      <c r="F179" s="700"/>
    </row>
    <row r="180" spans="1:6" ht="12" customHeight="1">
      <c r="A180" s="700"/>
      <c r="B180" s="701"/>
      <c r="C180" s="775"/>
      <c r="D180" s="775"/>
      <c r="E180" s="775"/>
      <c r="F180" s="700"/>
    </row>
    <row r="181" spans="1:6" ht="12" customHeight="1">
      <c r="A181" s="700"/>
      <c r="B181" s="701"/>
      <c r="C181" s="775"/>
      <c r="D181" s="775"/>
      <c r="E181" s="775"/>
      <c r="F181" s="700"/>
    </row>
    <row r="182" spans="1:6" ht="12" customHeight="1">
      <c r="A182" s="700"/>
      <c r="B182" s="701"/>
      <c r="C182" s="775"/>
      <c r="D182" s="775"/>
      <c r="E182" s="775"/>
      <c r="F182" s="700"/>
    </row>
    <row r="183" spans="1:6" ht="12" customHeight="1">
      <c r="A183" s="700"/>
      <c r="B183" s="701"/>
      <c r="C183" s="775"/>
      <c r="D183" s="775"/>
      <c r="E183" s="775"/>
      <c r="F183" s="700"/>
    </row>
    <row r="184" spans="1:6" ht="12" customHeight="1">
      <c r="A184" s="700"/>
      <c r="B184" s="701"/>
      <c r="C184" s="775"/>
      <c r="D184" s="775"/>
      <c r="E184" s="775"/>
      <c r="F184" s="700"/>
    </row>
    <row r="185" spans="1:6" ht="12" customHeight="1">
      <c r="A185" s="700"/>
      <c r="B185" s="701"/>
      <c r="C185" s="775"/>
      <c r="D185" s="775"/>
      <c r="E185" s="775"/>
      <c r="F185" s="700"/>
    </row>
    <row r="186" spans="1:6" ht="12" customHeight="1">
      <c r="A186" s="742"/>
      <c r="B186" s="701"/>
      <c r="C186" s="753"/>
      <c r="D186" s="753"/>
      <c r="E186" s="753"/>
      <c r="F186" s="700"/>
    </row>
    <row r="187" spans="1:6" ht="12" customHeight="1">
      <c r="A187" s="700"/>
      <c r="B187" s="701"/>
      <c r="C187" s="775"/>
      <c r="D187" s="775"/>
      <c r="E187" s="775"/>
      <c r="F187" s="700"/>
    </row>
    <row r="188" spans="1:6" ht="12" customHeight="1">
      <c r="A188" s="700"/>
      <c r="B188" s="701"/>
      <c r="C188" s="775"/>
      <c r="D188" s="775"/>
      <c r="E188" s="775"/>
      <c r="F188" s="700"/>
    </row>
    <row r="189" spans="1:6" ht="12" customHeight="1">
      <c r="A189" s="700"/>
      <c r="B189" s="701"/>
      <c r="C189" s="775"/>
      <c r="D189" s="775"/>
      <c r="E189" s="775"/>
      <c r="F189" s="700"/>
    </row>
    <row r="190" spans="1:6" ht="12" customHeight="1">
      <c r="A190" s="700"/>
      <c r="B190" s="701"/>
      <c r="C190" s="775"/>
      <c r="D190" s="775"/>
      <c r="E190" s="775"/>
      <c r="F190" s="700"/>
    </row>
    <row r="191" spans="1:6" ht="12" customHeight="1">
      <c r="A191" s="700"/>
      <c r="B191" s="701"/>
      <c r="C191" s="775"/>
      <c r="D191" s="775"/>
      <c r="E191" s="775"/>
      <c r="F191" s="700"/>
    </row>
    <row r="192" spans="1:6" ht="12" customHeight="1">
      <c r="A192" s="700"/>
      <c r="B192" s="701"/>
      <c r="C192" s="775"/>
      <c r="D192" s="775"/>
      <c r="E192" s="775"/>
      <c r="F192" s="700"/>
    </row>
    <row r="193" spans="1:6" ht="12" customHeight="1">
      <c r="A193" s="700"/>
      <c r="B193" s="701"/>
      <c r="C193" s="775"/>
      <c r="D193" s="775"/>
      <c r="E193" s="775"/>
      <c r="F193" s="700"/>
    </row>
    <row r="194" spans="1:6" ht="12" customHeight="1">
      <c r="A194" s="700"/>
      <c r="B194" s="701"/>
      <c r="C194" s="775"/>
      <c r="D194" s="775"/>
      <c r="E194" s="775"/>
      <c r="F194" s="700"/>
    </row>
    <row r="195" spans="1:6" ht="12" customHeight="1">
      <c r="A195" s="700"/>
      <c r="B195" s="701"/>
      <c r="C195" s="775"/>
      <c r="D195" s="775"/>
      <c r="E195" s="775"/>
      <c r="F195" s="700"/>
    </row>
    <row r="196" spans="1:6" ht="12" customHeight="1">
      <c r="A196" s="700"/>
      <c r="B196" s="701"/>
      <c r="C196" s="775"/>
      <c r="D196" s="775"/>
      <c r="E196" s="775"/>
      <c r="F196" s="700"/>
    </row>
    <row r="197" spans="1:6" ht="12" customHeight="1">
      <c r="A197" s="700"/>
      <c r="B197" s="701"/>
      <c r="C197" s="775"/>
      <c r="D197" s="775"/>
      <c r="E197" s="775"/>
      <c r="F197" s="700"/>
    </row>
    <row r="198" spans="1:6" ht="12" customHeight="1">
      <c r="A198" s="700"/>
      <c r="B198" s="701"/>
      <c r="C198" s="775"/>
      <c r="D198" s="775"/>
      <c r="E198" s="775"/>
      <c r="F198" s="700"/>
    </row>
    <row r="199" spans="1:6" ht="12" customHeight="1">
      <c r="A199" s="700"/>
      <c r="B199" s="701"/>
      <c r="C199" s="775"/>
      <c r="D199" s="775"/>
      <c r="E199" s="775"/>
      <c r="F199" s="700"/>
    </row>
    <row r="200" spans="1:6" ht="12" customHeight="1">
      <c r="A200" s="700"/>
      <c r="B200" s="701"/>
      <c r="C200" s="775"/>
      <c r="D200" s="775"/>
      <c r="E200" s="775"/>
      <c r="F200" s="700"/>
    </row>
    <row r="201" spans="1:6" ht="12" customHeight="1">
      <c r="A201" s="700"/>
      <c r="B201" s="701"/>
      <c r="C201" s="775"/>
      <c r="D201" s="775"/>
      <c r="E201" s="775"/>
      <c r="F201" s="700"/>
    </row>
    <row r="202" spans="1:6" ht="12" customHeight="1">
      <c r="A202" s="700"/>
      <c r="B202" s="701"/>
      <c r="C202" s="775"/>
      <c r="D202" s="775"/>
      <c r="E202" s="775"/>
      <c r="F202" s="700"/>
    </row>
    <row r="203" spans="1:6" ht="12" customHeight="1">
      <c r="A203" s="700"/>
      <c r="B203" s="701"/>
      <c r="C203" s="775"/>
      <c r="D203" s="775"/>
      <c r="E203" s="775"/>
      <c r="F203" s="700"/>
    </row>
    <row r="204" spans="1:6" ht="12" customHeight="1">
      <c r="A204" s="700"/>
      <c r="B204" s="701"/>
      <c r="C204" s="775"/>
      <c r="D204" s="775"/>
      <c r="E204" s="775"/>
      <c r="F204" s="742"/>
    </row>
  </sheetData>
  <sheetProtection algorithmName="SHA-512" hashValue="IL7lIPfh0+HynMYCbwGD7GY9ahOdx5QdmHytsF89So7wEcJbDFMrHg4R7AfMskMQZN/0jJXxscSXQT6ptWdeug==" saltValue="1NUkGRYDZpEUBqWJCh9jxQ==" spinCount="100000" sheet="1" objects="1" scenarios="1"/>
  <phoneticPr fontId="10" type="noConversion"/>
  <dataValidations count="3">
    <dataValidation type="whole" operator="greaterThanOrEqual" showInputMessage="1" showErrorMessage="1" errorTitle="Invalid Data Entry" error="Please enter a positive number or press the delete key or enter a zero." sqref="C106:E106 C108:E113 C115:E115 C117:E123 C75:E76 C59:E66 C17:C19 D17:E18 C56:E57 C33:E34 C36:E40 C42:E43 C45:E45 C47:E52 C82:E103 C10:D10 C79:E80 E14 C14:C15 D14">
      <formula1>0</formula1>
    </dataValidation>
    <dataValidation type="whole" operator="greaterThan" showInputMessage="1" showErrorMessage="1" errorTitle="Invalid beginning cash balance" error="Please enter a number or press the delete key or enter a zero." sqref="C9">
      <formula1>-1000000000</formula1>
    </dataValidation>
    <dataValidation operator="greaterThanOrEqual" errorTitle="Invalid Data Entry " error="Please enter a positive number or press the delete key or enter zero." sqref="E15"/>
  </dataValidations>
  <hyperlinks>
    <hyperlink ref="G1" location="Contents!F1" display="Return to Contents page"/>
  </hyperlinks>
  <printOptions horizontalCentered="1"/>
  <pageMargins left="0.25" right="0.25" top="0.19" bottom="0.19" header="0.5" footer="0.5"/>
  <pageSetup scale="90" orientation="portrait" blackAndWhite="1" r:id="rId1"/>
  <headerFooter alignWithMargins="0">
    <oddFooter>&amp;L&amp;D     &amp;T&amp;CCode No. 12&amp;RPage &amp;P</oddFooter>
  </headerFooter>
  <rowBreaks count="1" manualBreakCount="1">
    <brk id="6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4" tint="0.39997558519241921"/>
  </sheetPr>
  <dimension ref="A1:Q316"/>
  <sheetViews>
    <sheetView topLeftCell="A22" zoomScaleNormal="100" workbookViewId="0">
      <selection activeCell="E40" sqref="E40"/>
    </sheetView>
  </sheetViews>
  <sheetFormatPr defaultColWidth="10.7109375" defaultRowHeight="12" customHeight="1"/>
  <cols>
    <col min="1" max="1" width="44.5703125" style="1332" customWidth="1"/>
    <col min="2" max="2" width="4.85546875" style="1423" customWidth="1"/>
    <col min="3" max="4" width="14.140625" style="1324" customWidth="1"/>
    <col min="5" max="5" width="13.85546875" style="1324" customWidth="1"/>
    <col min="6" max="6" width="2.28515625" style="1324" customWidth="1"/>
    <col min="7" max="7" width="21.140625" style="1324" customWidth="1"/>
    <col min="8" max="16384" width="10.7109375" style="1324"/>
  </cols>
  <sheetData>
    <row r="1" spans="1:17" ht="12" customHeight="1">
      <c r="A1" s="1320"/>
      <c r="B1" s="1321"/>
      <c r="C1" s="1320"/>
      <c r="D1" s="1320"/>
      <c r="E1" s="1322" t="s">
        <v>1020</v>
      </c>
      <c r="F1" s="1320"/>
      <c r="G1" s="3013" t="s">
        <v>866</v>
      </c>
    </row>
    <row r="2" spans="1:17" ht="12" customHeight="1">
      <c r="A2" s="1322" t="s">
        <v>1019</v>
      </c>
      <c r="B2" s="2859">
        <f>OPEN!B4</f>
        <v>270</v>
      </c>
      <c r="C2" s="1320"/>
      <c r="D2" s="1320"/>
      <c r="E2" s="1322" t="s">
        <v>1212</v>
      </c>
      <c r="F2" s="1320"/>
      <c r="G2" s="1323"/>
    </row>
    <row r="3" spans="1:17" ht="12" customHeight="1">
      <c r="A3" s="1320"/>
      <c r="B3" s="1321"/>
      <c r="C3" s="1320"/>
      <c r="D3" s="1320"/>
      <c r="E3" s="1322" t="str">
        <f>OPEN!N2</f>
        <v>2016-2017</v>
      </c>
      <c r="F3" s="1320"/>
      <c r="G3" s="1323"/>
    </row>
    <row r="4" spans="1:17" ht="5.0999999999999996" customHeight="1">
      <c r="A4" s="1320"/>
      <c r="B4" s="1321"/>
      <c r="C4" s="1320"/>
      <c r="D4" s="1320"/>
      <c r="E4" s="1320"/>
      <c r="F4" s="1320"/>
      <c r="G4" s="1323"/>
    </row>
    <row r="5" spans="1:17" ht="11.85" customHeight="1">
      <c r="A5" s="2800"/>
      <c r="B5" s="1327"/>
      <c r="C5" s="1328" t="s">
        <v>1213</v>
      </c>
      <c r="D5" s="1328" t="s">
        <v>1213</v>
      </c>
      <c r="E5" s="1328" t="s">
        <v>1213</v>
      </c>
      <c r="F5" s="1320"/>
      <c r="G5" s="1323"/>
    </row>
    <row r="6" spans="1:17" ht="11.85" customHeight="1">
      <c r="A6" s="1329"/>
      <c r="B6" s="1330" t="s">
        <v>1045</v>
      </c>
      <c r="C6" s="1331" t="str">
        <f>OPEN!N4</f>
        <v>2014-2015</v>
      </c>
      <c r="D6" s="1331" t="str">
        <f>OPEN!O4</f>
        <v>2015-2016</v>
      </c>
      <c r="E6" s="1331" t="str">
        <f>OPEN!P4</f>
        <v>2016-2017</v>
      </c>
      <c r="F6" s="1320"/>
      <c r="G6" s="1323"/>
      <c r="K6" s="1332"/>
      <c r="L6" s="1332"/>
      <c r="M6" s="1332"/>
      <c r="N6" s="1333"/>
      <c r="O6" s="1332"/>
      <c r="P6" s="1332"/>
      <c r="Q6" s="1332"/>
    </row>
    <row r="7" spans="1:17" ht="14.25" customHeight="1">
      <c r="A7" s="1329" t="s">
        <v>710</v>
      </c>
      <c r="B7" s="2865">
        <v>13</v>
      </c>
      <c r="C7" s="1335" t="s">
        <v>1139</v>
      </c>
      <c r="D7" s="1335" t="s">
        <v>1139</v>
      </c>
      <c r="E7" s="1335" t="s">
        <v>1215</v>
      </c>
      <c r="F7" s="1320"/>
      <c r="G7" s="1323"/>
      <c r="N7" s="1332"/>
      <c r="O7" s="1336"/>
      <c r="P7" s="1336"/>
      <c r="Q7" s="1336"/>
    </row>
    <row r="8" spans="1:17" ht="11.85" customHeight="1">
      <c r="A8" s="1337"/>
      <c r="B8" s="1338" t="s">
        <v>1051</v>
      </c>
      <c r="C8" s="2802">
        <v>1</v>
      </c>
      <c r="D8" s="2802">
        <v>2</v>
      </c>
      <c r="E8" s="2802">
        <v>3</v>
      </c>
      <c r="F8" s="1320"/>
      <c r="G8" s="1323"/>
      <c r="N8" s="1332"/>
      <c r="O8" s="1336"/>
      <c r="P8" s="1336"/>
      <c r="Q8" s="1336"/>
    </row>
    <row r="9" spans="1:17" ht="11.85" customHeight="1">
      <c r="A9" s="332" t="s">
        <v>1218</v>
      </c>
      <c r="B9" s="333">
        <v>1</v>
      </c>
      <c r="C9" s="2533">
        <v>31478</v>
      </c>
      <c r="D9" s="3028">
        <f>C29</f>
        <v>36017</v>
      </c>
      <c r="E9" s="3028">
        <f>D29</f>
        <v>24497</v>
      </c>
      <c r="F9" s="1320"/>
      <c r="G9" s="1323"/>
      <c r="N9" s="1332"/>
      <c r="O9" s="1336"/>
      <c r="P9" s="1336"/>
      <c r="Q9" s="1336"/>
    </row>
    <row r="10" spans="1:17" s="1345" customFormat="1" ht="11.25" customHeight="1">
      <c r="A10" s="1340" t="s">
        <v>73</v>
      </c>
      <c r="B10" s="1341">
        <v>3</v>
      </c>
      <c r="C10" s="1380"/>
      <c r="D10" s="1380"/>
      <c r="E10" s="2531"/>
      <c r="F10" s="1344"/>
      <c r="G10" s="1326"/>
      <c r="N10" s="1346"/>
      <c r="O10" s="1347"/>
      <c r="P10" s="1347"/>
      <c r="Q10" s="1347"/>
    </row>
    <row r="11" spans="1:17" s="1345" customFormat="1" ht="11.25" customHeight="1">
      <c r="A11" s="1348" t="s">
        <v>19</v>
      </c>
      <c r="B11" s="1349"/>
      <c r="C11" s="2803"/>
      <c r="D11" s="2803"/>
      <c r="E11" s="2531"/>
      <c r="F11" s="1344"/>
      <c r="G11" s="1344"/>
      <c r="N11" s="1346"/>
      <c r="O11" s="1347"/>
      <c r="P11" s="1347"/>
      <c r="Q11" s="1347"/>
    </row>
    <row r="12" spans="1:17" s="1345" customFormat="1" ht="11.25" customHeight="1">
      <c r="A12" s="1351" t="s">
        <v>20</v>
      </c>
      <c r="B12" s="1349"/>
      <c r="C12" s="2803"/>
      <c r="D12" s="2803"/>
      <c r="E12" s="2531"/>
      <c r="F12" s="1344"/>
      <c r="G12" s="1344"/>
      <c r="N12" s="1346"/>
      <c r="O12" s="1347"/>
      <c r="P12" s="1347"/>
      <c r="Q12" s="1347"/>
    </row>
    <row r="13" spans="1:17" s="1345" customFormat="1" ht="11.25" customHeight="1">
      <c r="A13" s="1351" t="s">
        <v>735</v>
      </c>
      <c r="B13" s="1349"/>
      <c r="C13" s="2803"/>
      <c r="D13" s="2803"/>
      <c r="E13" s="2531"/>
      <c r="F13" s="1344"/>
      <c r="G13" s="1344"/>
      <c r="N13" s="1346"/>
      <c r="O13" s="1347"/>
      <c r="P13" s="1347"/>
      <c r="Q13" s="1347"/>
    </row>
    <row r="14" spans="1:17" s="1345" customFormat="1" ht="11.25" customHeight="1">
      <c r="A14" s="1352" t="s">
        <v>736</v>
      </c>
      <c r="B14" s="1353">
        <v>5</v>
      </c>
      <c r="C14" s="3031"/>
      <c r="D14" s="3031"/>
      <c r="E14" s="2532"/>
      <c r="F14" s="1344"/>
      <c r="G14" s="1344"/>
      <c r="N14" s="1346"/>
      <c r="O14" s="1346"/>
      <c r="P14" s="1346"/>
      <c r="Q14" s="1346"/>
    </row>
    <row r="15" spans="1:17" s="1345" customFormat="1" ht="11.25" customHeight="1">
      <c r="A15" s="1340" t="s">
        <v>737</v>
      </c>
      <c r="B15" s="1341">
        <v>15</v>
      </c>
      <c r="C15" s="2533"/>
      <c r="D15" s="2533"/>
      <c r="E15" s="2806"/>
      <c r="F15" s="1344"/>
      <c r="G15" s="1344"/>
      <c r="N15" s="1356"/>
      <c r="O15" s="1346"/>
      <c r="P15" s="1346"/>
      <c r="Q15" s="1346"/>
    </row>
    <row r="16" spans="1:17" s="1345" customFormat="1" ht="11.25" customHeight="1">
      <c r="A16" s="1340" t="s">
        <v>1099</v>
      </c>
      <c r="B16" s="1341">
        <v>25</v>
      </c>
      <c r="C16" s="2533"/>
      <c r="D16" s="2533"/>
      <c r="E16" s="2898"/>
      <c r="F16" s="1344"/>
      <c r="G16" s="1344"/>
      <c r="N16" s="1346"/>
      <c r="O16" s="1357"/>
      <c r="P16" s="1357"/>
      <c r="Q16" s="1357"/>
    </row>
    <row r="17" spans="1:17" s="1345" customFormat="1" ht="11.25" customHeight="1">
      <c r="A17" s="1340" t="s">
        <v>95</v>
      </c>
      <c r="B17" s="1341">
        <v>35</v>
      </c>
      <c r="C17" s="2533"/>
      <c r="D17" s="4988" t="s">
        <v>1189</v>
      </c>
      <c r="E17" s="4181" t="s">
        <v>1431</v>
      </c>
      <c r="F17" s="1344"/>
      <c r="G17" s="1344"/>
      <c r="N17" s="1346"/>
      <c r="O17" s="1357"/>
      <c r="P17" s="1357"/>
      <c r="Q17" s="1357"/>
    </row>
    <row r="18" spans="1:17" s="1345" customFormat="1" ht="11.25" customHeight="1">
      <c r="A18" s="1348" t="s">
        <v>738</v>
      </c>
      <c r="B18" s="1358">
        <v>45</v>
      </c>
      <c r="C18" s="2533"/>
      <c r="D18" s="4166"/>
      <c r="E18" s="2535"/>
      <c r="F18" s="1344"/>
      <c r="G18" s="1344"/>
      <c r="N18" s="1346"/>
      <c r="O18" s="1357"/>
      <c r="P18" s="1357"/>
      <c r="Q18" s="1357"/>
    </row>
    <row r="19" spans="1:17" s="1345" customFormat="1" ht="11.25" customHeight="1">
      <c r="A19" s="2884" t="s">
        <v>25</v>
      </c>
      <c r="B19" s="1330"/>
      <c r="C19" s="1362"/>
      <c r="D19" s="2804"/>
      <c r="E19" s="2535"/>
      <c r="F19" s="1344"/>
      <c r="G19" s="1344"/>
      <c r="N19" s="1346"/>
      <c r="O19" s="1357"/>
      <c r="P19" s="1357"/>
      <c r="Q19" s="1357"/>
    </row>
    <row r="20" spans="1:17" s="1345" customFormat="1" ht="11.25" customHeight="1">
      <c r="A20" s="2885" t="s">
        <v>27</v>
      </c>
      <c r="B20" s="1338">
        <v>75</v>
      </c>
      <c r="C20" s="2532"/>
      <c r="D20" s="4167"/>
      <c r="E20" s="2532"/>
      <c r="F20" s="1344"/>
      <c r="G20" s="1344"/>
    </row>
    <row r="21" spans="1:17" s="1345" customFormat="1" ht="11.25" customHeight="1">
      <c r="A21" s="1363" t="s">
        <v>46</v>
      </c>
      <c r="B21" s="1364"/>
      <c r="C21" s="2804"/>
      <c r="D21" s="2535"/>
      <c r="E21" s="2801"/>
      <c r="F21" s="1344"/>
      <c r="G21" s="1344"/>
    </row>
    <row r="22" spans="1:17" s="1345" customFormat="1" ht="11.25" customHeight="1">
      <c r="A22" s="1365" t="s">
        <v>708</v>
      </c>
      <c r="B22" s="1366">
        <v>115</v>
      </c>
      <c r="C22" s="2532"/>
      <c r="D22" s="2532"/>
      <c r="E22" s="2806"/>
      <c r="F22" s="1344"/>
      <c r="G22" s="1344"/>
    </row>
    <row r="23" spans="1:17" s="1345" customFormat="1" ht="11.25" customHeight="1">
      <c r="A23" s="1360" t="s">
        <v>48</v>
      </c>
      <c r="B23" s="1361"/>
      <c r="C23" s="2803"/>
      <c r="D23" s="2531"/>
      <c r="E23" s="2805"/>
      <c r="F23" s="1344"/>
      <c r="G23" s="1344"/>
    </row>
    <row r="24" spans="1:17" s="1345" customFormat="1" ht="11.25" customHeight="1">
      <c r="A24" s="1365" t="s">
        <v>49</v>
      </c>
      <c r="B24" s="1366">
        <v>135</v>
      </c>
      <c r="C24" s="3029">
        <f>'C06'!C356</f>
        <v>35000</v>
      </c>
      <c r="D24" s="3030">
        <f>'C06'!D356</f>
        <v>10142</v>
      </c>
      <c r="E24" s="2871">
        <f>'C06'!E356</f>
        <v>20000</v>
      </c>
      <c r="F24" s="1344"/>
      <c r="G24" s="1344"/>
    </row>
    <row r="25" spans="1:17" s="1345" customFormat="1" ht="12.75" customHeight="1">
      <c r="A25" s="1367" t="s">
        <v>368</v>
      </c>
      <c r="B25" s="1368">
        <v>140</v>
      </c>
      <c r="C25" s="2538">
        <f>'C08'!C323</f>
        <v>100000</v>
      </c>
      <c r="D25" s="2538">
        <f>'C08'!D323</f>
        <v>145000</v>
      </c>
      <c r="E25" s="2872">
        <f>'C08'!E323</f>
        <v>130000</v>
      </c>
      <c r="F25" s="1344"/>
      <c r="G25" s="3803"/>
    </row>
    <row r="26" spans="1:17" s="1345" customFormat="1" ht="11.25" customHeight="1">
      <c r="A26" s="1367" t="s">
        <v>50</v>
      </c>
      <c r="B26" s="1368">
        <v>145</v>
      </c>
      <c r="C26" s="2538">
        <f>'C053'!C276</f>
        <v>0</v>
      </c>
      <c r="D26" s="2538">
        <f>'C053'!D276</f>
        <v>0</v>
      </c>
      <c r="E26" s="2807" t="s">
        <v>1189</v>
      </c>
      <c r="F26" s="1344"/>
      <c r="G26" s="3335"/>
    </row>
    <row r="27" spans="1:17" s="1345" customFormat="1" ht="11.25" customHeight="1">
      <c r="A27" s="1373" t="s">
        <v>743</v>
      </c>
      <c r="B27" s="1374">
        <v>170</v>
      </c>
      <c r="C27" s="2538">
        <f>SUM(C9:C26)</f>
        <v>166478</v>
      </c>
      <c r="D27" s="2538">
        <f>SUM(D9:D26)</f>
        <v>191159</v>
      </c>
      <c r="E27" s="2808">
        <f>SUM(E9:E26)</f>
        <v>174497</v>
      </c>
      <c r="F27" s="1344"/>
      <c r="G27" s="1344"/>
    </row>
    <row r="28" spans="1:17" s="1345" customFormat="1" ht="11.25" customHeight="1">
      <c r="A28" s="1367" t="s">
        <v>53</v>
      </c>
      <c r="B28" s="1368">
        <v>175</v>
      </c>
      <c r="C28" s="2538">
        <f>C179</f>
        <v>130461</v>
      </c>
      <c r="D28" s="2538">
        <f>D179</f>
        <v>166662</v>
      </c>
      <c r="E28" s="2809">
        <f>IF(E179&lt;=E27,E179,"ERROR")</f>
        <v>174497</v>
      </c>
      <c r="F28" s="1344"/>
      <c r="G28" s="2800" t="str">
        <f>IF(E28="ERROR","Expenditures must be less than or equal to Resources Available","")</f>
        <v/>
      </c>
    </row>
    <row r="29" spans="1:17" s="1345" customFormat="1" ht="13.5" customHeight="1">
      <c r="A29" s="1609" t="s">
        <v>1250</v>
      </c>
      <c r="B29" s="1368">
        <v>190</v>
      </c>
      <c r="C29" s="2538">
        <f>C27-C28</f>
        <v>36017</v>
      </c>
      <c r="D29" s="2538">
        <f>D27-D28</f>
        <v>24497</v>
      </c>
      <c r="E29" s="2810">
        <f>IF(ISERROR(E27-E28), "NEGATIVE", E27-E28)</f>
        <v>0</v>
      </c>
      <c r="F29" s="1344"/>
      <c r="G29" s="3588"/>
    </row>
    <row r="30" spans="1:17" s="1345" customFormat="1" ht="15.75" customHeight="1">
      <c r="A30" s="1614"/>
      <c r="B30" s="3091"/>
      <c r="C30" s="3065"/>
      <c r="D30" s="3065"/>
      <c r="E30" s="3484"/>
      <c r="F30" s="1344"/>
      <c r="G30" s="2584"/>
    </row>
    <row r="31" spans="1:17" s="1345" customFormat="1" ht="14.25" customHeight="1">
      <c r="A31"/>
      <c r="B31"/>
      <c r="C31"/>
      <c r="D31"/>
      <c r="E31"/>
      <c r="F31" s="1344"/>
      <c r="G31" s="2584"/>
    </row>
    <row r="32" spans="1:17" s="1345" customFormat="1" ht="10.5" customHeight="1">
      <c r="A32" s="1326"/>
      <c r="B32" s="1328"/>
      <c r="C32" s="1376"/>
      <c r="D32" s="1326"/>
      <c r="E32" s="1376"/>
      <c r="F32" s="1344"/>
      <c r="G32" s="1344"/>
    </row>
    <row r="33" spans="1:7" s="1345" customFormat="1" ht="11.25" customHeight="1">
      <c r="A33" s="1326"/>
      <c r="B33" s="1327"/>
      <c r="C33" s="1328" t="s">
        <v>1213</v>
      </c>
      <c r="D33" s="1328" t="s">
        <v>1213</v>
      </c>
      <c r="E33" s="1328" t="s">
        <v>1213</v>
      </c>
      <c r="F33" s="1344"/>
      <c r="G33" s="1344"/>
    </row>
    <row r="34" spans="1:7" s="1345" customFormat="1" ht="11.25" customHeight="1">
      <c r="A34" s="1329" t="str">
        <f>A7</f>
        <v>AT RISK FUND (K-12)</v>
      </c>
      <c r="B34" s="1330" t="s">
        <v>1045</v>
      </c>
      <c r="C34" s="1331" t="str">
        <f>C6</f>
        <v>2014-2015</v>
      </c>
      <c r="D34" s="1331" t="str">
        <f>D6</f>
        <v>2015-2016</v>
      </c>
      <c r="E34" s="1331" t="str">
        <f>E6</f>
        <v>2016-2017</v>
      </c>
      <c r="F34" s="1344"/>
      <c r="G34" s="1344"/>
    </row>
    <row r="35" spans="1:7" s="1345" customFormat="1" ht="11.25" customHeight="1">
      <c r="A35" s="1329" t="s">
        <v>81</v>
      </c>
      <c r="B35" s="1334">
        <v>13</v>
      </c>
      <c r="C35" s="1335" t="s">
        <v>1139</v>
      </c>
      <c r="D35" s="1335" t="s">
        <v>1139</v>
      </c>
      <c r="E35" s="1335" t="s">
        <v>1215</v>
      </c>
      <c r="F35" s="1344"/>
      <c r="G35" s="1344"/>
    </row>
    <row r="36" spans="1:7" s="1345" customFormat="1" ht="11.25" customHeight="1">
      <c r="A36" s="1337"/>
      <c r="B36" s="1338" t="s">
        <v>1051</v>
      </c>
      <c r="C36" s="2802">
        <v>1</v>
      </c>
      <c r="D36" s="2802">
        <v>2</v>
      </c>
      <c r="E36" s="1339">
        <v>3</v>
      </c>
      <c r="F36" s="1344"/>
      <c r="G36" s="1344"/>
    </row>
    <row r="37" spans="1:7" s="1345" customFormat="1" ht="11.25" customHeight="1">
      <c r="A37" s="1360" t="s">
        <v>1267</v>
      </c>
      <c r="B37" s="1361"/>
      <c r="C37" s="2811"/>
      <c r="D37" s="1377"/>
      <c r="E37" s="2813"/>
      <c r="F37" s="1344"/>
      <c r="G37" s="1344"/>
    </row>
    <row r="38" spans="1:7" s="1345" customFormat="1" ht="11.25" customHeight="1">
      <c r="A38" s="1363" t="s">
        <v>1268</v>
      </c>
      <c r="B38" s="1364"/>
      <c r="C38" s="2812"/>
      <c r="D38" s="1378"/>
      <c r="E38" s="2814"/>
      <c r="F38" s="1344"/>
      <c r="G38" s="1344"/>
    </row>
    <row r="39" spans="1:7" s="1345" customFormat="1" ht="11.25" customHeight="1">
      <c r="A39" s="1365" t="s">
        <v>1269</v>
      </c>
      <c r="B39" s="1366">
        <v>210</v>
      </c>
      <c r="C39" s="3066">
        <v>121015</v>
      </c>
      <c r="D39" s="2546">
        <v>155139</v>
      </c>
      <c r="E39" s="2815">
        <v>161497</v>
      </c>
      <c r="F39" s="1344"/>
      <c r="G39" s="1344"/>
    </row>
    <row r="40" spans="1:7" s="1345" customFormat="1" ht="11.25" customHeight="1">
      <c r="A40" s="1367" t="s">
        <v>360</v>
      </c>
      <c r="B40" s="1368">
        <v>215</v>
      </c>
      <c r="C40" s="1380"/>
      <c r="D40" s="1380"/>
      <c r="E40" s="2816"/>
      <c r="F40" s="1344"/>
      <c r="G40" s="1344"/>
    </row>
    <row r="41" spans="1:7" s="1345" customFormat="1" ht="11.25" customHeight="1">
      <c r="A41" s="1360" t="s">
        <v>1271</v>
      </c>
      <c r="B41" s="1361"/>
      <c r="C41" s="2812"/>
      <c r="D41" s="1378"/>
      <c r="E41" s="2813"/>
      <c r="F41" s="1344"/>
      <c r="G41" s="1344"/>
    </row>
    <row r="42" spans="1:7" s="1345" customFormat="1" ht="11.25" customHeight="1">
      <c r="A42" s="1365" t="s">
        <v>1272</v>
      </c>
      <c r="B42" s="1366">
        <v>220</v>
      </c>
      <c r="C42" s="3066"/>
      <c r="D42" s="2546"/>
      <c r="E42" s="2815"/>
      <c r="F42" s="1344"/>
      <c r="G42" s="1344"/>
    </row>
    <row r="43" spans="1:7" s="1345" customFormat="1" ht="11.25" customHeight="1">
      <c r="A43" s="1367" t="s">
        <v>1273</v>
      </c>
      <c r="B43" s="1368">
        <v>225</v>
      </c>
      <c r="C43" s="1380">
        <v>8880</v>
      </c>
      <c r="D43" s="1380">
        <v>11051</v>
      </c>
      <c r="E43" s="2816">
        <v>11000</v>
      </c>
      <c r="F43" s="1344"/>
      <c r="G43" s="1344"/>
    </row>
    <row r="44" spans="1:7" s="1345" customFormat="1" ht="11.25" customHeight="1">
      <c r="A44" s="1367" t="s">
        <v>1276</v>
      </c>
      <c r="B44" s="1368">
        <v>230</v>
      </c>
      <c r="C44" s="1380">
        <v>566</v>
      </c>
      <c r="D44" s="1380">
        <v>397</v>
      </c>
      <c r="E44" s="2816">
        <v>1000</v>
      </c>
      <c r="F44" s="1344"/>
      <c r="G44" s="1344"/>
    </row>
    <row r="45" spans="1:7" s="1345" customFormat="1" ht="11.25" customHeight="1">
      <c r="A45" s="1367" t="s">
        <v>1</v>
      </c>
      <c r="B45" s="1368">
        <v>235</v>
      </c>
      <c r="C45" s="1380"/>
      <c r="D45" s="1380"/>
      <c r="E45" s="2816"/>
      <c r="F45" s="1344"/>
      <c r="G45" s="1344"/>
    </row>
    <row r="46" spans="1:7" s="1345" customFormat="1" ht="11.25" customHeight="1">
      <c r="A46" s="2918" t="s">
        <v>711</v>
      </c>
      <c r="B46" s="2919">
        <v>237</v>
      </c>
      <c r="C46" s="1380"/>
      <c r="D46" s="1380"/>
      <c r="E46" s="2826"/>
      <c r="F46" s="1344"/>
      <c r="G46" s="1344"/>
    </row>
    <row r="47" spans="1:7" s="1345" customFormat="1" ht="11.25" customHeight="1">
      <c r="A47" s="1360" t="s">
        <v>1282</v>
      </c>
      <c r="B47" s="1361"/>
      <c r="C47" s="2812"/>
      <c r="D47" s="1378"/>
      <c r="E47" s="2813"/>
      <c r="F47" s="1344"/>
      <c r="G47" s="1344"/>
    </row>
    <row r="48" spans="1:7" s="1345" customFormat="1" ht="11.25" customHeight="1">
      <c r="A48" s="1363" t="s">
        <v>1283</v>
      </c>
      <c r="B48" s="1364"/>
      <c r="C48" s="2812"/>
      <c r="D48" s="1378"/>
      <c r="E48" s="2814"/>
      <c r="F48" s="1344"/>
      <c r="G48" s="1344"/>
    </row>
    <row r="49" spans="1:7" s="1345" customFormat="1" ht="11.25" customHeight="1">
      <c r="A49" s="1365" t="s">
        <v>1284</v>
      </c>
      <c r="B49" s="1366">
        <v>240</v>
      </c>
      <c r="C49" s="3066"/>
      <c r="D49" s="2546"/>
      <c r="E49" s="2815"/>
      <c r="F49" s="1344"/>
      <c r="G49" s="1344"/>
    </row>
    <row r="50" spans="1:7" s="1345" customFormat="1" ht="11.25" customHeight="1">
      <c r="A50" s="1367" t="s">
        <v>1246</v>
      </c>
      <c r="B50" s="1368">
        <v>245</v>
      </c>
      <c r="C50" s="1380"/>
      <c r="D50" s="1380"/>
      <c r="E50" s="2816"/>
      <c r="F50" s="1344"/>
      <c r="G50" s="1344"/>
    </row>
    <row r="51" spans="1:7" s="1345" customFormat="1" ht="11.25" customHeight="1">
      <c r="A51" s="1367" t="s">
        <v>1287</v>
      </c>
      <c r="B51" s="1368">
        <v>250</v>
      </c>
      <c r="C51" s="1380"/>
      <c r="D51" s="1380"/>
      <c r="E51" s="2816"/>
      <c r="F51" s="1344"/>
      <c r="G51" s="1344"/>
    </row>
    <row r="52" spans="1:7" s="1345" customFormat="1" ht="11.25" customHeight="1">
      <c r="A52" s="1360" t="s">
        <v>1288</v>
      </c>
      <c r="B52" s="1361"/>
      <c r="C52" s="2812"/>
      <c r="D52" s="1378"/>
      <c r="E52" s="2813"/>
      <c r="F52" s="1344"/>
      <c r="G52" s="1344"/>
    </row>
    <row r="53" spans="1:7" s="1345" customFormat="1" ht="11.25" customHeight="1">
      <c r="A53" s="1365" t="s">
        <v>1289</v>
      </c>
      <c r="B53" s="1366">
        <v>255</v>
      </c>
      <c r="C53" s="3066"/>
      <c r="D53" s="2546">
        <v>75</v>
      </c>
      <c r="E53" s="2815">
        <v>1000</v>
      </c>
      <c r="F53" s="1344"/>
      <c r="G53" s="1344"/>
    </row>
    <row r="54" spans="1:7" s="1345" customFormat="1" ht="11.25" customHeight="1">
      <c r="A54" s="1367" t="s">
        <v>1290</v>
      </c>
      <c r="B54" s="1368">
        <v>260</v>
      </c>
      <c r="C54" s="1380"/>
      <c r="D54" s="1380"/>
      <c r="E54" s="2816"/>
      <c r="F54" s="1344"/>
      <c r="G54" s="1344"/>
    </row>
    <row r="55" spans="1:7" s="1345" customFormat="1" ht="11.25" customHeight="1">
      <c r="A55" s="2920" t="s">
        <v>1256</v>
      </c>
      <c r="B55" s="2921">
        <v>263</v>
      </c>
      <c r="C55" s="1380"/>
      <c r="D55" s="1380"/>
      <c r="E55" s="2816"/>
      <c r="F55" s="1344"/>
      <c r="G55" s="1344"/>
    </row>
    <row r="56" spans="1:7" s="1345" customFormat="1" ht="11.25" customHeight="1">
      <c r="A56" s="1367" t="s">
        <v>1291</v>
      </c>
      <c r="B56" s="1368">
        <v>265</v>
      </c>
      <c r="C56" s="1380"/>
      <c r="D56" s="1380"/>
      <c r="E56" s="2816"/>
      <c r="F56" s="1344"/>
      <c r="G56" s="1344"/>
    </row>
    <row r="57" spans="1:7" s="1345" customFormat="1" ht="11.25" customHeight="1">
      <c r="A57" s="1367" t="s">
        <v>1292</v>
      </c>
      <c r="B57" s="1368">
        <v>270</v>
      </c>
      <c r="C57" s="1380"/>
      <c r="D57" s="1380"/>
      <c r="E57" s="2816"/>
      <c r="F57" s="1344"/>
      <c r="G57" s="1344"/>
    </row>
    <row r="58" spans="1:7" s="1345" customFormat="1" ht="11.25" customHeight="1">
      <c r="A58" s="1367" t="s">
        <v>1293</v>
      </c>
      <c r="B58" s="1368">
        <v>275</v>
      </c>
      <c r="C58" s="1380"/>
      <c r="D58" s="1380"/>
      <c r="E58" s="2816"/>
      <c r="F58" s="1344"/>
      <c r="G58" s="1344"/>
    </row>
    <row r="59" spans="1:7" s="1345" customFormat="1" ht="11.25" customHeight="1">
      <c r="A59" s="1348" t="s">
        <v>88</v>
      </c>
      <c r="B59" s="1358"/>
      <c r="C59" s="2812"/>
      <c r="D59" s="1378"/>
      <c r="E59" s="2813"/>
      <c r="F59" s="1344"/>
      <c r="G59" s="1383"/>
    </row>
    <row r="60" spans="1:7" s="1345" customFormat="1" ht="11.25" customHeight="1">
      <c r="A60" s="1351" t="s">
        <v>89</v>
      </c>
      <c r="B60" s="1349"/>
      <c r="C60" s="2812"/>
      <c r="D60" s="1378"/>
      <c r="E60" s="2814"/>
      <c r="F60" s="1344"/>
      <c r="G60" s="1383"/>
    </row>
    <row r="61" spans="1:7" s="1345" customFormat="1" ht="11.25" customHeight="1">
      <c r="A61" s="1363" t="s">
        <v>1309</v>
      </c>
      <c r="B61" s="1364"/>
      <c r="C61" s="2812"/>
      <c r="D61" s="1378"/>
      <c r="E61" s="2814"/>
      <c r="F61" s="1344"/>
      <c r="G61" s="1383"/>
    </row>
    <row r="62" spans="1:7" s="1345" customFormat="1" ht="11.25" customHeight="1">
      <c r="A62" s="1365" t="s">
        <v>1347</v>
      </c>
      <c r="B62" s="1366">
        <v>280</v>
      </c>
      <c r="C62" s="3066"/>
      <c r="D62" s="2546"/>
      <c r="E62" s="2815"/>
      <c r="F62" s="1344"/>
      <c r="G62" s="1383"/>
    </row>
    <row r="63" spans="1:7" s="1345" customFormat="1" ht="11.25" customHeight="1">
      <c r="A63" s="1367" t="s">
        <v>1270</v>
      </c>
      <c r="B63" s="1368">
        <v>285</v>
      </c>
      <c r="C63" s="1380"/>
      <c r="D63" s="1380"/>
      <c r="E63" s="2816"/>
      <c r="F63" s="1344"/>
      <c r="G63" s="1383"/>
    </row>
    <row r="64" spans="1:7" ht="12" customHeight="1">
      <c r="A64" s="1322" t="s">
        <v>1019</v>
      </c>
      <c r="B64" s="1321">
        <f>B2</f>
        <v>270</v>
      </c>
      <c r="C64" s="1320"/>
      <c r="D64" s="1320"/>
      <c r="E64" s="1322" t="s">
        <v>1020</v>
      </c>
      <c r="F64" s="1323"/>
      <c r="G64" s="1385"/>
    </row>
    <row r="65" spans="1:7" ht="12" customHeight="1">
      <c r="A65" s="1320"/>
      <c r="B65" s="1384"/>
      <c r="C65" s="1320"/>
      <c r="D65" s="1320"/>
      <c r="E65" s="1322" t="s">
        <v>1212</v>
      </c>
      <c r="F65" s="1323"/>
      <c r="G65" s="1385"/>
    </row>
    <row r="66" spans="1:7" ht="12" customHeight="1">
      <c r="A66" s="1320"/>
      <c r="B66" s="1384"/>
      <c r="C66" s="1320"/>
      <c r="D66" s="1320"/>
      <c r="E66" s="1322" t="str">
        <f>E3</f>
        <v>2016-2017</v>
      </c>
      <c r="F66" s="1323"/>
      <c r="G66" s="1385"/>
    </row>
    <row r="67" spans="1:7" ht="12" customHeight="1">
      <c r="A67" s="1320"/>
      <c r="B67" s="1384"/>
      <c r="C67" s="1320"/>
      <c r="D67" s="1320"/>
      <c r="E67" s="1320"/>
      <c r="F67" s="1323"/>
      <c r="G67" s="1323"/>
    </row>
    <row r="68" spans="1:7" ht="12" customHeight="1">
      <c r="A68" s="1320"/>
      <c r="B68" s="1321"/>
      <c r="C68" s="1384" t="s">
        <v>1213</v>
      </c>
      <c r="D68" s="1384" t="s">
        <v>1213</v>
      </c>
      <c r="E68" s="1384" t="s">
        <v>1213</v>
      </c>
      <c r="F68" s="1323"/>
      <c r="G68" s="1323"/>
    </row>
    <row r="69" spans="1:7" ht="12" customHeight="1">
      <c r="A69" s="1388" t="str">
        <f>A34</f>
        <v>AT RISK FUND (K-12)</v>
      </c>
      <c r="B69" s="1389" t="s">
        <v>1045</v>
      </c>
      <c r="C69" s="1390" t="str">
        <f>C6</f>
        <v>2014-2015</v>
      </c>
      <c r="D69" s="1390" t="str">
        <f>D6</f>
        <v>2015-2016</v>
      </c>
      <c r="E69" s="1390" t="str">
        <f>E6</f>
        <v>2016-2017</v>
      </c>
      <c r="F69" s="1323"/>
      <c r="G69" s="1323"/>
    </row>
    <row r="70" spans="1:7" ht="12" customHeight="1">
      <c r="A70" s="1388" t="s">
        <v>81</v>
      </c>
      <c r="B70" s="1391">
        <v>13</v>
      </c>
      <c r="C70" s="1392" t="s">
        <v>1139</v>
      </c>
      <c r="D70" s="1392" t="s">
        <v>1139</v>
      </c>
      <c r="E70" s="1392" t="s">
        <v>1215</v>
      </c>
      <c r="F70" s="1323"/>
      <c r="G70" s="1323"/>
    </row>
    <row r="71" spans="1:7" ht="12" customHeight="1">
      <c r="A71" s="1393"/>
      <c r="B71" s="1394" t="s">
        <v>1051</v>
      </c>
      <c r="C71" s="2817">
        <v>1</v>
      </c>
      <c r="D71" s="2817">
        <v>2</v>
      </c>
      <c r="E71" s="1395">
        <v>3</v>
      </c>
      <c r="F71" s="1323"/>
      <c r="G71" s="1323"/>
    </row>
    <row r="72" spans="1:7" ht="12" customHeight="1">
      <c r="A72" s="1396" t="s">
        <v>1310</v>
      </c>
      <c r="B72" s="1397"/>
      <c r="C72" s="2818"/>
      <c r="D72" s="2540"/>
      <c r="E72" s="2820"/>
      <c r="F72" s="1323"/>
      <c r="G72" s="1323"/>
    </row>
    <row r="73" spans="1:7" ht="12" customHeight="1">
      <c r="A73" s="1399" t="s">
        <v>1311</v>
      </c>
      <c r="B73" s="1400">
        <v>290</v>
      </c>
      <c r="C73" s="3082"/>
      <c r="D73" s="2544"/>
      <c r="E73" s="2821"/>
      <c r="F73" s="1323"/>
      <c r="G73" s="1323"/>
    </row>
    <row r="74" spans="1:7" ht="12" customHeight="1">
      <c r="A74" s="1402" t="s">
        <v>1314</v>
      </c>
      <c r="B74" s="1403">
        <v>295</v>
      </c>
      <c r="C74" s="1409"/>
      <c r="D74" s="1409"/>
      <c r="E74" s="2822"/>
      <c r="F74" s="1323"/>
      <c r="G74" s="1323"/>
    </row>
    <row r="75" spans="1:7" ht="12" customHeight="1">
      <c r="A75" s="1402" t="s">
        <v>1315</v>
      </c>
      <c r="B75" s="1403">
        <v>300</v>
      </c>
      <c r="C75" s="1409"/>
      <c r="D75" s="1409"/>
      <c r="E75" s="2822"/>
      <c r="F75" s="1323"/>
      <c r="G75" s="1323"/>
    </row>
    <row r="76" spans="1:7" ht="12" customHeight="1">
      <c r="A76" s="1396" t="s">
        <v>1</v>
      </c>
      <c r="B76" s="1397">
        <v>305</v>
      </c>
      <c r="C76" s="1409"/>
      <c r="D76" s="1409"/>
      <c r="E76" s="2823"/>
      <c r="F76" s="1323"/>
      <c r="G76" s="1323"/>
    </row>
    <row r="77" spans="1:7" ht="12" customHeight="1">
      <c r="A77" s="2922" t="s">
        <v>1318</v>
      </c>
      <c r="B77" s="2923">
        <v>307</v>
      </c>
      <c r="C77" s="1409"/>
      <c r="D77" s="1409"/>
      <c r="E77" s="2823"/>
      <c r="F77" s="1323"/>
      <c r="G77" s="1323"/>
    </row>
    <row r="78" spans="1:7" ht="12" customHeight="1">
      <c r="A78" s="1402" t="s">
        <v>1327</v>
      </c>
      <c r="B78" s="1403">
        <v>310</v>
      </c>
      <c r="C78" s="1409"/>
      <c r="D78" s="1409"/>
      <c r="E78" s="2822"/>
      <c r="F78" s="1323"/>
      <c r="G78" s="1323"/>
    </row>
    <row r="79" spans="1:7" ht="12" customHeight="1">
      <c r="A79" s="1402" t="s">
        <v>1337</v>
      </c>
      <c r="B79" s="1403">
        <v>315</v>
      </c>
      <c r="C79" s="1409"/>
      <c r="D79" s="1409"/>
      <c r="E79" s="2822"/>
      <c r="F79" s="1323"/>
      <c r="G79" s="1323"/>
    </row>
    <row r="80" spans="1:7" ht="12" customHeight="1">
      <c r="A80" s="1402" t="s">
        <v>1345</v>
      </c>
      <c r="B80" s="1403">
        <v>320</v>
      </c>
      <c r="C80" s="1409"/>
      <c r="D80" s="1409"/>
      <c r="E80" s="2822"/>
      <c r="F80" s="1323"/>
      <c r="G80" s="1323"/>
    </row>
    <row r="81" spans="1:7" ht="12" customHeight="1">
      <c r="A81" s="1402" t="s">
        <v>1346</v>
      </c>
      <c r="B81" s="1403">
        <v>325</v>
      </c>
      <c r="C81" s="1409"/>
      <c r="D81" s="1409"/>
      <c r="E81" s="2822"/>
      <c r="F81" s="1323"/>
      <c r="G81" s="1323"/>
    </row>
    <row r="82" spans="1:7" ht="12" customHeight="1">
      <c r="A82" s="1396" t="s">
        <v>307</v>
      </c>
      <c r="B82" s="1397"/>
      <c r="C82" s="2819"/>
      <c r="D82" s="2543"/>
      <c r="E82" s="2820"/>
      <c r="F82" s="1323"/>
      <c r="G82" s="1323"/>
    </row>
    <row r="83" spans="1:7" ht="12" customHeight="1">
      <c r="A83" s="1406" t="s">
        <v>1309</v>
      </c>
      <c r="B83" s="1407"/>
      <c r="C83" s="2819"/>
      <c r="D83" s="2543"/>
      <c r="E83" s="2824"/>
      <c r="F83" s="1323"/>
      <c r="G83" s="1323"/>
    </row>
    <row r="84" spans="1:7" ht="12" customHeight="1">
      <c r="A84" s="1399" t="s">
        <v>1347</v>
      </c>
      <c r="B84" s="1400">
        <v>330</v>
      </c>
      <c r="C84" s="3082"/>
      <c r="D84" s="2544"/>
      <c r="E84" s="2821"/>
      <c r="F84" s="1323"/>
      <c r="G84" s="1323"/>
    </row>
    <row r="85" spans="1:7" ht="12" customHeight="1">
      <c r="A85" s="1402" t="s">
        <v>1270</v>
      </c>
      <c r="B85" s="1403">
        <v>335</v>
      </c>
      <c r="C85" s="1409"/>
      <c r="D85" s="1409"/>
      <c r="E85" s="2822"/>
      <c r="F85" s="1323"/>
      <c r="G85" s="1323"/>
    </row>
    <row r="86" spans="1:7" ht="12" customHeight="1">
      <c r="A86" s="1396" t="s">
        <v>1310</v>
      </c>
      <c r="B86" s="1397"/>
      <c r="C86" s="2819"/>
      <c r="D86" s="2543"/>
      <c r="E86" s="2820"/>
      <c r="F86" s="1323"/>
      <c r="G86" s="1323"/>
    </row>
    <row r="87" spans="1:7" ht="12" customHeight="1">
      <c r="A87" s="1399" t="s">
        <v>1311</v>
      </c>
      <c r="B87" s="1400">
        <v>340</v>
      </c>
      <c r="C87" s="3082"/>
      <c r="D87" s="2544"/>
      <c r="E87" s="2821"/>
      <c r="F87" s="1323"/>
      <c r="G87" s="1323"/>
    </row>
    <row r="88" spans="1:7" ht="12" customHeight="1">
      <c r="A88" s="1402" t="s">
        <v>1314</v>
      </c>
      <c r="B88" s="1403">
        <v>345</v>
      </c>
      <c r="C88" s="1409"/>
      <c r="D88" s="1409"/>
      <c r="E88" s="2822"/>
      <c r="F88" s="1323"/>
      <c r="G88" s="1323"/>
    </row>
    <row r="89" spans="1:7" ht="12" customHeight="1">
      <c r="A89" s="1402" t="s">
        <v>1315</v>
      </c>
      <c r="B89" s="1403">
        <v>350</v>
      </c>
      <c r="C89" s="1409"/>
      <c r="D89" s="1409"/>
      <c r="E89" s="2822"/>
      <c r="F89" s="1323"/>
      <c r="G89" s="1323"/>
    </row>
    <row r="90" spans="1:7" ht="12" customHeight="1">
      <c r="A90" s="1396" t="s">
        <v>1</v>
      </c>
      <c r="B90" s="1397">
        <v>355</v>
      </c>
      <c r="C90" s="1409"/>
      <c r="D90" s="1409"/>
      <c r="E90" s="2823"/>
      <c r="F90" s="1323"/>
      <c r="G90" s="1323"/>
    </row>
    <row r="91" spans="1:7" ht="12" customHeight="1">
      <c r="A91" s="2922" t="s">
        <v>1318</v>
      </c>
      <c r="B91" s="2923">
        <v>357</v>
      </c>
      <c r="C91" s="1409"/>
      <c r="D91" s="1409"/>
      <c r="E91" s="2823"/>
      <c r="F91" s="1323"/>
      <c r="G91" s="1323"/>
    </row>
    <row r="92" spans="1:7" ht="12" customHeight="1">
      <c r="A92" s="1402" t="s">
        <v>1327</v>
      </c>
      <c r="B92" s="1403">
        <v>360</v>
      </c>
      <c r="C92" s="1409"/>
      <c r="D92" s="1409"/>
      <c r="E92" s="2822"/>
      <c r="F92" s="1323"/>
      <c r="G92" s="1323"/>
    </row>
    <row r="93" spans="1:7" ht="12" customHeight="1">
      <c r="A93" s="1396" t="s">
        <v>1337</v>
      </c>
      <c r="B93" s="1397"/>
      <c r="C93" s="2819"/>
      <c r="D93" s="2543"/>
      <c r="E93" s="2820"/>
      <c r="F93" s="1323"/>
      <c r="G93" s="1323"/>
    </row>
    <row r="94" spans="1:7" ht="12" customHeight="1">
      <c r="A94" s="1406" t="s">
        <v>745</v>
      </c>
      <c r="B94" s="1407">
        <v>365</v>
      </c>
      <c r="C94" s="3082"/>
      <c r="D94" s="2544"/>
      <c r="E94" s="2825"/>
      <c r="F94" s="1323"/>
      <c r="G94" s="1323"/>
    </row>
    <row r="95" spans="1:7" ht="12" customHeight="1">
      <c r="A95" s="1396" t="s">
        <v>795</v>
      </c>
      <c r="B95" s="1397">
        <v>370</v>
      </c>
      <c r="C95" s="1409"/>
      <c r="D95" s="1409"/>
      <c r="E95" s="2823"/>
      <c r="F95" s="1323"/>
      <c r="G95" s="1323"/>
    </row>
    <row r="96" spans="1:7" ht="12" customHeight="1">
      <c r="A96" s="1402" t="s">
        <v>1344</v>
      </c>
      <c r="B96" s="1403">
        <v>375</v>
      </c>
      <c r="C96" s="1409"/>
      <c r="D96" s="1409"/>
      <c r="E96" s="2822"/>
      <c r="F96" s="1323"/>
      <c r="G96" s="1323"/>
    </row>
    <row r="97" spans="1:7" ht="12" customHeight="1">
      <c r="A97" s="1402" t="s">
        <v>1345</v>
      </c>
      <c r="B97" s="1403">
        <v>380</v>
      </c>
      <c r="C97" s="1409"/>
      <c r="D97" s="1409"/>
      <c r="E97" s="2822"/>
      <c r="F97" s="1323"/>
      <c r="G97" s="1323"/>
    </row>
    <row r="98" spans="1:7" ht="12" customHeight="1">
      <c r="A98" s="1402" t="s">
        <v>1346</v>
      </c>
      <c r="B98" s="1403">
        <v>385</v>
      </c>
      <c r="C98" s="1409"/>
      <c r="D98" s="1409"/>
      <c r="E98" s="2822"/>
      <c r="F98" s="1323"/>
      <c r="G98" s="1323"/>
    </row>
    <row r="99" spans="1:7" ht="12" customHeight="1">
      <c r="A99" s="1411" t="s">
        <v>102</v>
      </c>
      <c r="B99" s="1412"/>
      <c r="C99" s="2819"/>
      <c r="D99" s="2543"/>
      <c r="E99" s="2820"/>
      <c r="F99" s="1323"/>
      <c r="G99" s="1323"/>
    </row>
    <row r="100" spans="1:7" ht="12" customHeight="1">
      <c r="A100" s="1413" t="s">
        <v>1309</v>
      </c>
      <c r="B100" s="1414"/>
      <c r="C100" s="2819"/>
      <c r="D100" s="2543"/>
      <c r="E100" s="2824"/>
      <c r="F100" s="1323"/>
      <c r="G100" s="1323"/>
    </row>
    <row r="101" spans="1:7" ht="12" customHeight="1">
      <c r="A101" s="1415" t="s">
        <v>1347</v>
      </c>
      <c r="B101" s="1416">
        <v>390</v>
      </c>
      <c r="C101" s="3082"/>
      <c r="D101" s="2544"/>
      <c r="E101" s="2821"/>
      <c r="F101" s="1323"/>
      <c r="G101" s="1323"/>
    </row>
    <row r="102" spans="1:7" ht="12" customHeight="1">
      <c r="A102" s="1417" t="s">
        <v>1270</v>
      </c>
      <c r="B102" s="1418">
        <v>395</v>
      </c>
      <c r="C102" s="1409"/>
      <c r="D102" s="1409"/>
      <c r="E102" s="2822"/>
      <c r="F102" s="1323"/>
      <c r="G102" s="1323"/>
    </row>
    <row r="103" spans="1:7" ht="12" customHeight="1">
      <c r="A103" s="1348" t="s">
        <v>1310</v>
      </c>
      <c r="B103" s="1358"/>
      <c r="C103" s="2812"/>
      <c r="D103" s="1378"/>
      <c r="E103" s="2813"/>
      <c r="F103" s="1387"/>
      <c r="G103" s="1323"/>
    </row>
    <row r="104" spans="1:7" ht="12" customHeight="1">
      <c r="A104" s="1352" t="s">
        <v>1311</v>
      </c>
      <c r="B104" s="1353">
        <v>400</v>
      </c>
      <c r="C104" s="3066"/>
      <c r="D104" s="2546"/>
      <c r="E104" s="2815"/>
      <c r="F104" s="1387"/>
      <c r="G104" s="1323"/>
    </row>
    <row r="105" spans="1:7" ht="12" customHeight="1">
      <c r="A105" s="1352" t="s">
        <v>1314</v>
      </c>
      <c r="B105" s="1353">
        <v>405</v>
      </c>
      <c r="C105" s="1380"/>
      <c r="D105" s="1380"/>
      <c r="E105" s="2815"/>
      <c r="F105" s="1387"/>
      <c r="G105" s="1323"/>
    </row>
    <row r="106" spans="1:7" ht="12" customHeight="1">
      <c r="A106" s="1340" t="s">
        <v>1315</v>
      </c>
      <c r="B106" s="1341">
        <v>410</v>
      </c>
      <c r="C106" s="1380"/>
      <c r="D106" s="1380"/>
      <c r="E106" s="2816"/>
      <c r="F106" s="1387"/>
      <c r="G106" s="1323"/>
    </row>
    <row r="107" spans="1:7" ht="12" customHeight="1">
      <c r="A107" s="1348" t="s">
        <v>1</v>
      </c>
      <c r="B107" s="1358">
        <v>415</v>
      </c>
      <c r="C107" s="1380"/>
      <c r="D107" s="1380"/>
      <c r="E107" s="2826"/>
      <c r="F107" s="1387"/>
      <c r="G107" s="1323"/>
    </row>
    <row r="108" spans="1:7" ht="12" customHeight="1">
      <c r="A108" s="1340" t="s">
        <v>1327</v>
      </c>
      <c r="B108" s="1341">
        <v>420</v>
      </c>
      <c r="C108" s="1380"/>
      <c r="D108" s="1380"/>
      <c r="E108" s="2816"/>
      <c r="F108" s="1387"/>
      <c r="G108" s="1323"/>
    </row>
    <row r="109" spans="1:7" ht="11.85" customHeight="1">
      <c r="A109" s="1340" t="s">
        <v>1337</v>
      </c>
      <c r="B109" s="1341">
        <v>425</v>
      </c>
      <c r="C109" s="1380"/>
      <c r="D109" s="1380"/>
      <c r="E109" s="2816"/>
      <c r="F109" s="1323"/>
      <c r="G109" s="1323"/>
    </row>
    <row r="110" spans="1:7" ht="11.85" customHeight="1">
      <c r="A110" s="1340" t="s">
        <v>1345</v>
      </c>
      <c r="B110" s="1341">
        <v>430</v>
      </c>
      <c r="C110" s="1380"/>
      <c r="D110" s="1380"/>
      <c r="E110" s="2816"/>
      <c r="F110" s="1323"/>
      <c r="G110" s="1323"/>
    </row>
    <row r="111" spans="1:7" ht="11.85" customHeight="1">
      <c r="A111" s="1340" t="s">
        <v>1346</v>
      </c>
      <c r="B111" s="1341">
        <v>435</v>
      </c>
      <c r="C111" s="1380"/>
      <c r="D111" s="1380"/>
      <c r="E111" s="2816"/>
      <c r="F111" s="1323"/>
      <c r="G111" s="1323"/>
    </row>
    <row r="112" spans="1:7" ht="11.85" customHeight="1">
      <c r="A112" s="375" t="s">
        <v>1745</v>
      </c>
      <c r="B112" s="379"/>
      <c r="C112" s="3852"/>
      <c r="D112" s="3851"/>
      <c r="E112" s="3854"/>
      <c r="F112" s="1323"/>
      <c r="G112" s="1323"/>
    </row>
    <row r="113" spans="1:7" ht="11.85" customHeight="1">
      <c r="A113" s="378" t="s">
        <v>1544</v>
      </c>
      <c r="B113" s="379"/>
      <c r="C113" s="3853"/>
      <c r="D113" s="2635"/>
      <c r="E113" s="3854"/>
      <c r="F113" s="1323"/>
      <c r="G113" s="1323"/>
    </row>
    <row r="114" spans="1:7" ht="11.85" customHeight="1">
      <c r="A114" s="381" t="s">
        <v>1746</v>
      </c>
      <c r="B114" s="2903">
        <v>535</v>
      </c>
      <c r="C114" s="3959"/>
      <c r="D114" s="3951"/>
      <c r="E114" s="3958"/>
      <c r="F114" s="1323"/>
      <c r="G114" s="1323"/>
    </row>
    <row r="115" spans="1:7" ht="11.85" customHeight="1">
      <c r="A115" s="384" t="s">
        <v>1732</v>
      </c>
      <c r="B115" s="2902">
        <v>540</v>
      </c>
      <c r="C115" s="3954"/>
      <c r="D115" s="3954"/>
      <c r="E115" s="3960"/>
      <c r="F115" s="1323"/>
      <c r="G115" s="1323"/>
    </row>
    <row r="116" spans="1:7" ht="11.85" customHeight="1">
      <c r="A116" s="378" t="s">
        <v>944</v>
      </c>
      <c r="B116" s="2900"/>
      <c r="C116" s="3961"/>
      <c r="D116" s="3955"/>
      <c r="E116" s="3962"/>
      <c r="F116" s="1323"/>
      <c r="G116" s="1323"/>
    </row>
    <row r="117" spans="1:7" ht="11.85" customHeight="1">
      <c r="A117" s="381" t="s">
        <v>1748</v>
      </c>
      <c r="B117" s="2900">
        <v>545</v>
      </c>
      <c r="C117" s="3959"/>
      <c r="D117" s="3951"/>
      <c r="E117" s="3963"/>
      <c r="F117" s="1323"/>
      <c r="G117" s="1323"/>
    </row>
    <row r="118" spans="1:7" ht="11.85" customHeight="1">
      <c r="A118" s="384" t="s">
        <v>1747</v>
      </c>
      <c r="B118" s="2902">
        <v>550</v>
      </c>
      <c r="C118" s="3954"/>
      <c r="D118" s="3954"/>
      <c r="E118" s="3960"/>
      <c r="F118" s="1323"/>
      <c r="G118" s="1323"/>
    </row>
    <row r="119" spans="1:7" ht="11.85" customHeight="1">
      <c r="A119" s="384" t="s">
        <v>1749</v>
      </c>
      <c r="B119" s="2902">
        <v>555</v>
      </c>
      <c r="C119" s="3954"/>
      <c r="D119" s="3954"/>
      <c r="E119" s="3960"/>
      <c r="F119" s="1323"/>
      <c r="G119" s="1323"/>
    </row>
    <row r="120" spans="1:7" ht="11.85" customHeight="1">
      <c r="A120" s="384" t="s">
        <v>1439</v>
      </c>
      <c r="B120" s="2902">
        <v>560</v>
      </c>
      <c r="C120" s="3954"/>
      <c r="D120" s="3954"/>
      <c r="E120" s="3960"/>
      <c r="F120" s="1323"/>
      <c r="G120" s="1323"/>
    </row>
    <row r="121" spans="1:7" ht="11.85" customHeight="1">
      <c r="A121" s="384" t="s">
        <v>711</v>
      </c>
      <c r="B121" s="2902">
        <v>565</v>
      </c>
      <c r="C121" s="3954"/>
      <c r="D121" s="3954"/>
      <c r="E121" s="3960"/>
      <c r="F121" s="1323"/>
      <c r="G121" s="1323"/>
    </row>
    <row r="122" spans="1:7" ht="11.85" customHeight="1">
      <c r="A122" s="384" t="s">
        <v>683</v>
      </c>
      <c r="B122" s="2902">
        <v>570</v>
      </c>
      <c r="C122" s="3954"/>
      <c r="D122" s="3954"/>
      <c r="E122" s="3960"/>
      <c r="F122" s="1323"/>
      <c r="G122" s="1323"/>
    </row>
    <row r="123" spans="1:7" ht="11.85" customHeight="1">
      <c r="A123" s="384" t="s">
        <v>1738</v>
      </c>
      <c r="B123" s="2902">
        <v>575</v>
      </c>
      <c r="C123" s="3954"/>
      <c r="D123" s="3954"/>
      <c r="E123" s="3960"/>
      <c r="F123" s="1323"/>
      <c r="G123" s="1323"/>
    </row>
    <row r="124" spans="1:7" ht="11.85" customHeight="1">
      <c r="A124" s="384" t="s">
        <v>1739</v>
      </c>
      <c r="B124" s="2902">
        <v>580</v>
      </c>
      <c r="C124" s="3954"/>
      <c r="D124" s="3954"/>
      <c r="E124" s="3960"/>
      <c r="F124" s="1323"/>
      <c r="G124" s="1323"/>
    </row>
    <row r="125" spans="1:7" ht="11.85" customHeight="1">
      <c r="A125" s="384" t="s">
        <v>943</v>
      </c>
      <c r="B125" s="2902">
        <v>585</v>
      </c>
      <c r="C125" s="3964"/>
      <c r="D125" s="3954"/>
      <c r="E125" s="3960"/>
      <c r="F125" s="1323"/>
      <c r="G125" s="1323"/>
    </row>
    <row r="126" spans="1:7" ht="11.85" customHeight="1">
      <c r="A126" s="1322" t="s">
        <v>1019</v>
      </c>
      <c r="B126" s="1321">
        <f>B2</f>
        <v>270</v>
      </c>
      <c r="C126" s="1320"/>
      <c r="D126" s="1320"/>
      <c r="E126" s="1322" t="s">
        <v>1020</v>
      </c>
      <c r="F126" s="1323"/>
      <c r="G126" s="1323"/>
    </row>
    <row r="127" spans="1:7" ht="11.85" customHeight="1">
      <c r="A127" s="1320"/>
      <c r="B127" s="1384"/>
      <c r="C127" s="1320"/>
      <c r="D127" s="1320"/>
      <c r="E127" s="1322" t="s">
        <v>1212</v>
      </c>
      <c r="F127" s="1323"/>
      <c r="G127" s="1323"/>
    </row>
    <row r="128" spans="1:7" ht="11.85" customHeight="1">
      <c r="A128" s="1320"/>
      <c r="B128" s="1384"/>
      <c r="C128" s="1320"/>
      <c r="D128" s="1320"/>
      <c r="E128" s="1322" t="str">
        <f>E3</f>
        <v>2016-2017</v>
      </c>
      <c r="F128" s="1323"/>
      <c r="G128" s="1323"/>
    </row>
    <row r="129" spans="1:7" ht="11.85" customHeight="1">
      <c r="A129" s="1320"/>
      <c r="B129" s="1384"/>
      <c r="C129" s="1320"/>
      <c r="D129" s="1320"/>
      <c r="E129" s="1320"/>
      <c r="F129" s="1323"/>
      <c r="G129" s="1323"/>
    </row>
    <row r="130" spans="1:7" ht="11.85" customHeight="1">
      <c r="A130" s="1320"/>
      <c r="B130" s="1321"/>
      <c r="C130" s="1384" t="s">
        <v>1213</v>
      </c>
      <c r="D130" s="1384" t="s">
        <v>1213</v>
      </c>
      <c r="E130" s="1384" t="s">
        <v>1213</v>
      </c>
      <c r="F130" s="1323"/>
      <c r="G130" s="1323"/>
    </row>
    <row r="131" spans="1:7" ht="11.85" customHeight="1">
      <c r="A131" s="1388" t="str">
        <f>A69</f>
        <v>AT RISK FUND (K-12)</v>
      </c>
      <c r="B131" s="1389" t="s">
        <v>1045</v>
      </c>
      <c r="C131" s="1390" t="str">
        <f>C6</f>
        <v>2014-2015</v>
      </c>
      <c r="D131" s="1390" t="str">
        <f t="shared" ref="D131:E131" si="0">D6</f>
        <v>2015-2016</v>
      </c>
      <c r="E131" s="1390" t="str">
        <f t="shared" si="0"/>
        <v>2016-2017</v>
      </c>
      <c r="F131" s="1323"/>
      <c r="G131" s="1323"/>
    </row>
    <row r="132" spans="1:7" ht="11.85" customHeight="1">
      <c r="A132" s="1388" t="s">
        <v>81</v>
      </c>
      <c r="B132" s="1391">
        <v>13</v>
      </c>
      <c r="C132" s="1392" t="s">
        <v>1139</v>
      </c>
      <c r="D132" s="1392" t="s">
        <v>1139</v>
      </c>
      <c r="E132" s="1392" t="s">
        <v>1215</v>
      </c>
      <c r="F132" s="1323"/>
      <c r="G132" s="1323"/>
    </row>
    <row r="133" spans="1:7" ht="11.85" customHeight="1">
      <c r="A133" s="1393"/>
      <c r="B133" s="1394" t="s">
        <v>1051</v>
      </c>
      <c r="C133" s="1395">
        <v>1</v>
      </c>
      <c r="D133" s="1395">
        <v>2</v>
      </c>
      <c r="E133" s="1395">
        <v>3</v>
      </c>
      <c r="F133" s="1323"/>
      <c r="G133" s="1323"/>
    </row>
    <row r="134" spans="1:7" ht="11.85" customHeight="1">
      <c r="A134" s="1348" t="s">
        <v>1308</v>
      </c>
      <c r="B134" s="1358"/>
      <c r="C134" s="2812"/>
      <c r="D134" s="1378"/>
      <c r="E134" s="2813"/>
      <c r="F134" s="1323"/>
      <c r="G134" s="1323"/>
    </row>
    <row r="135" spans="1:7" ht="11.85" customHeight="1">
      <c r="A135" s="1351" t="s">
        <v>1309</v>
      </c>
      <c r="B135" s="1349"/>
      <c r="C135" s="2812"/>
      <c r="D135" s="1378"/>
      <c r="E135" s="2814"/>
      <c r="F135" s="1323"/>
      <c r="G135" s="1323"/>
    </row>
    <row r="136" spans="1:7" ht="11.85" customHeight="1">
      <c r="A136" s="1352" t="s">
        <v>1270</v>
      </c>
      <c r="B136" s="1353">
        <v>440</v>
      </c>
      <c r="C136" s="1379"/>
      <c r="D136" s="1379"/>
      <c r="E136" s="2815"/>
      <c r="F136" s="1323"/>
      <c r="G136" s="1323"/>
    </row>
    <row r="137" spans="1:7" ht="11.85" customHeight="1">
      <c r="A137" s="1348" t="s">
        <v>1310</v>
      </c>
      <c r="B137" s="1358"/>
      <c r="C137" s="2812"/>
      <c r="D137" s="1378"/>
      <c r="E137" s="2813"/>
      <c r="F137" s="1323"/>
      <c r="G137" s="1323"/>
    </row>
    <row r="138" spans="1:7" ht="11.85" customHeight="1">
      <c r="A138" s="1352" t="s">
        <v>1311</v>
      </c>
      <c r="B138" s="1353">
        <v>445</v>
      </c>
      <c r="C138" s="3066"/>
      <c r="D138" s="2546"/>
      <c r="E138" s="2815"/>
      <c r="F138" s="1323"/>
      <c r="G138" s="1323"/>
    </row>
    <row r="139" spans="1:7" ht="11.85" customHeight="1">
      <c r="A139" s="1340" t="s">
        <v>1314</v>
      </c>
      <c r="B139" s="1341">
        <v>450</v>
      </c>
      <c r="C139" s="1380"/>
      <c r="D139" s="1380"/>
      <c r="E139" s="2816"/>
      <c r="F139" s="1323"/>
      <c r="G139" s="1323"/>
    </row>
    <row r="140" spans="1:7" ht="11.85" customHeight="1">
      <c r="A140" s="1351" t="s">
        <v>1315</v>
      </c>
      <c r="B140" s="1349">
        <v>455</v>
      </c>
      <c r="C140" s="1380"/>
      <c r="D140" s="1380"/>
      <c r="E140" s="2827"/>
      <c r="F140" s="1323"/>
      <c r="G140" s="1323"/>
    </row>
    <row r="141" spans="1:7" ht="11.85" customHeight="1">
      <c r="A141" s="1340" t="s">
        <v>1</v>
      </c>
      <c r="B141" s="1341">
        <v>460</v>
      </c>
      <c r="C141" s="1380"/>
      <c r="D141" s="1380"/>
      <c r="E141" s="2816"/>
      <c r="F141" s="1323"/>
      <c r="G141" s="1323"/>
    </row>
    <row r="142" spans="1:7" ht="11.85" customHeight="1">
      <c r="A142" s="1348" t="s">
        <v>1318</v>
      </c>
      <c r="B142" s="1358"/>
      <c r="C142" s="2812"/>
      <c r="D142" s="1378"/>
      <c r="E142" s="2813"/>
      <c r="F142" s="1323"/>
      <c r="G142" s="1323"/>
    </row>
    <row r="143" spans="1:7" ht="11.85" customHeight="1">
      <c r="A143" s="1352" t="s">
        <v>1319</v>
      </c>
      <c r="B143" s="1353">
        <v>465</v>
      </c>
      <c r="C143" s="3066"/>
      <c r="D143" s="2546"/>
      <c r="E143" s="2815"/>
      <c r="F143" s="1323"/>
      <c r="G143" s="1323"/>
    </row>
    <row r="144" spans="1:7" ht="11.85" customHeight="1">
      <c r="A144" s="1340" t="s">
        <v>1320</v>
      </c>
      <c r="B144" s="1341">
        <v>470</v>
      </c>
      <c r="C144" s="1380"/>
      <c r="D144" s="1380"/>
      <c r="E144" s="2816"/>
      <c r="F144" s="1323"/>
      <c r="G144" s="1323"/>
    </row>
    <row r="145" spans="1:7" ht="11.85" customHeight="1">
      <c r="A145" s="1340" t="s">
        <v>1321</v>
      </c>
      <c r="B145" s="1341">
        <v>475</v>
      </c>
      <c r="C145" s="1380"/>
      <c r="D145" s="1380"/>
      <c r="E145" s="2816"/>
      <c r="F145" s="1323"/>
      <c r="G145" s="1323"/>
    </row>
    <row r="146" spans="1:7" ht="11.85" customHeight="1">
      <c r="A146" s="1340" t="s">
        <v>1322</v>
      </c>
      <c r="B146" s="1341">
        <v>480</v>
      </c>
      <c r="C146" s="1380"/>
      <c r="D146" s="1380"/>
      <c r="E146" s="2816"/>
      <c r="F146" s="1323"/>
      <c r="G146" s="1323"/>
    </row>
    <row r="147" spans="1:7" ht="11.85" customHeight="1">
      <c r="A147" s="1340" t="s">
        <v>1326</v>
      </c>
      <c r="B147" s="1341">
        <v>485</v>
      </c>
      <c r="C147" s="1380"/>
      <c r="D147" s="1380"/>
      <c r="E147" s="2816"/>
      <c r="F147" s="1323"/>
      <c r="G147" s="1323"/>
    </row>
    <row r="148" spans="1:7" ht="11.85" customHeight="1">
      <c r="A148" s="1340" t="s">
        <v>1327</v>
      </c>
      <c r="B148" s="1341">
        <v>490</v>
      </c>
      <c r="C148" s="1380"/>
      <c r="D148" s="1380"/>
      <c r="E148" s="2816"/>
      <c r="F148" s="1323"/>
      <c r="G148" s="1323"/>
    </row>
    <row r="149" spans="1:7" ht="11.85" customHeight="1">
      <c r="A149" s="1348" t="s">
        <v>1337</v>
      </c>
      <c r="B149" s="1358"/>
      <c r="C149" s="2812"/>
      <c r="D149" s="1378"/>
      <c r="E149" s="2813"/>
      <c r="F149" s="1323"/>
      <c r="G149" s="1323"/>
    </row>
    <row r="150" spans="1:7" ht="11.85" customHeight="1">
      <c r="A150" s="1352" t="s">
        <v>1338</v>
      </c>
      <c r="B150" s="1353">
        <v>495</v>
      </c>
      <c r="C150" s="1379"/>
      <c r="D150" s="1379"/>
      <c r="E150" s="2815"/>
      <c r="F150" s="1323"/>
      <c r="G150" s="1323"/>
    </row>
    <row r="151" spans="1:7" ht="11.85" customHeight="1">
      <c r="A151" s="1348" t="s">
        <v>1339</v>
      </c>
      <c r="B151" s="1358"/>
      <c r="C151" s="2812"/>
      <c r="D151" s="1378"/>
      <c r="E151" s="2813"/>
      <c r="F151" s="1323"/>
      <c r="G151" s="1323"/>
    </row>
    <row r="152" spans="1:7" ht="11.85" customHeight="1">
      <c r="A152" s="1352" t="s">
        <v>1340</v>
      </c>
      <c r="B152" s="1353">
        <v>500</v>
      </c>
      <c r="C152" s="3066"/>
      <c r="D152" s="2546"/>
      <c r="E152" s="2815"/>
      <c r="F152" s="1323"/>
      <c r="G152" s="1323"/>
    </row>
    <row r="153" spans="1:7" ht="11.85" customHeight="1">
      <c r="A153" s="1340" t="s">
        <v>1341</v>
      </c>
      <c r="B153" s="1341">
        <v>505</v>
      </c>
      <c r="C153" s="1380"/>
      <c r="D153" s="1380"/>
      <c r="E153" s="2816"/>
      <c r="F153" s="1323"/>
      <c r="G153" s="1323"/>
    </row>
    <row r="154" spans="1:7" ht="11.85" customHeight="1">
      <c r="A154" s="1340" t="s">
        <v>1342</v>
      </c>
      <c r="B154" s="1341">
        <v>510</v>
      </c>
      <c r="C154" s="1380"/>
      <c r="D154" s="1380"/>
      <c r="E154" s="2816"/>
      <c r="F154" s="1387"/>
      <c r="G154" s="1323"/>
    </row>
    <row r="155" spans="1:7" ht="11.85" customHeight="1">
      <c r="A155" s="1340" t="s">
        <v>1343</v>
      </c>
      <c r="B155" s="1341">
        <v>515</v>
      </c>
      <c r="C155" s="1380"/>
      <c r="D155" s="1380"/>
      <c r="E155" s="2816"/>
      <c r="F155" s="1387"/>
      <c r="G155" s="1323"/>
    </row>
    <row r="156" spans="1:7" ht="11.85" customHeight="1">
      <c r="A156" s="1340" t="s">
        <v>1344</v>
      </c>
      <c r="B156" s="1341">
        <v>520</v>
      </c>
      <c r="C156" s="1380"/>
      <c r="D156" s="1380"/>
      <c r="E156" s="2816"/>
      <c r="F156" s="1323"/>
      <c r="G156" s="1323"/>
    </row>
    <row r="157" spans="1:7" ht="11.85" customHeight="1">
      <c r="A157" s="1340" t="s">
        <v>1345</v>
      </c>
      <c r="B157" s="1341">
        <v>525</v>
      </c>
      <c r="C157" s="1380"/>
      <c r="D157" s="1380"/>
      <c r="E157" s="2816"/>
      <c r="F157" s="1323"/>
      <c r="G157" s="1323"/>
    </row>
    <row r="158" spans="1:7" ht="11.85" customHeight="1">
      <c r="A158" s="1348" t="s">
        <v>1346</v>
      </c>
      <c r="B158" s="1358">
        <v>530</v>
      </c>
      <c r="C158" s="1380"/>
      <c r="D158" s="1380"/>
      <c r="E158" s="2826"/>
      <c r="F158" s="1323"/>
      <c r="G158" s="1323"/>
    </row>
    <row r="159" spans="1:7" ht="11.85" customHeight="1">
      <c r="A159" s="2884" t="s">
        <v>1385</v>
      </c>
      <c r="B159" s="1330"/>
      <c r="C159" s="3065"/>
      <c r="D159" s="3029"/>
      <c r="E159" s="3067"/>
      <c r="F159" s="1323"/>
      <c r="G159" s="1323"/>
    </row>
    <row r="160" spans="1:7" ht="11.85" customHeight="1">
      <c r="A160" s="2885" t="s">
        <v>945</v>
      </c>
      <c r="B160" s="1338">
        <v>531</v>
      </c>
      <c r="C160" s="1420"/>
      <c r="D160" s="3066"/>
      <c r="E160" s="1379"/>
      <c r="F160" s="1323"/>
      <c r="G160" s="1323"/>
    </row>
    <row r="161" spans="1:7" ht="11.85" customHeight="1">
      <c r="A161" s="1351" t="s">
        <v>944</v>
      </c>
      <c r="B161" s="1349">
        <v>532</v>
      </c>
      <c r="C161" s="1380"/>
      <c r="D161" s="1380"/>
      <c r="E161" s="2827"/>
      <c r="F161" s="1323"/>
      <c r="G161" s="1323"/>
    </row>
    <row r="162" spans="1:7" ht="11.85" customHeight="1">
      <c r="A162" s="1348" t="s">
        <v>1346</v>
      </c>
      <c r="B162" s="1358">
        <v>533</v>
      </c>
      <c r="C162" s="2545"/>
      <c r="D162" s="1380"/>
      <c r="E162" s="2826"/>
      <c r="F162" s="1323"/>
      <c r="G162" s="1323"/>
    </row>
    <row r="163" spans="1:7" ht="12.75" customHeight="1">
      <c r="A163" s="1348" t="s">
        <v>1751</v>
      </c>
      <c r="B163" s="1358"/>
      <c r="C163" s="1377"/>
      <c r="D163" s="2814"/>
      <c r="E163" s="2813"/>
      <c r="F163" s="1323"/>
      <c r="G163" s="1323"/>
    </row>
    <row r="164" spans="1:7" ht="11.85" customHeight="1">
      <c r="A164" s="1351" t="s">
        <v>1309</v>
      </c>
      <c r="B164" s="1349"/>
      <c r="C164" s="1378"/>
      <c r="D164" s="2814"/>
      <c r="E164" s="2814"/>
      <c r="F164" s="1323"/>
      <c r="G164" s="1323"/>
    </row>
    <row r="165" spans="1:7" ht="11.85" customHeight="1">
      <c r="A165" s="1352" t="s">
        <v>1347</v>
      </c>
      <c r="B165" s="2948">
        <v>600</v>
      </c>
      <c r="C165" s="3747"/>
      <c r="D165" s="2827"/>
      <c r="E165" s="2815"/>
      <c r="F165" s="1323"/>
      <c r="G165" s="1323"/>
    </row>
    <row r="166" spans="1:7" ht="11.85" customHeight="1">
      <c r="A166" s="1421" t="s">
        <v>1270</v>
      </c>
      <c r="B166" s="3977">
        <v>605</v>
      </c>
      <c r="C166" s="3747"/>
      <c r="D166" s="2816"/>
      <c r="E166" s="2816"/>
      <c r="F166" s="1323"/>
      <c r="G166" s="1323"/>
    </row>
    <row r="167" spans="1:7" ht="11.85" customHeight="1">
      <c r="A167" s="1348" t="s">
        <v>1310</v>
      </c>
      <c r="B167" s="3978"/>
      <c r="C167" s="3030"/>
      <c r="D167" s="2814"/>
      <c r="E167" s="2813"/>
      <c r="F167" s="1323"/>
      <c r="G167" s="1323"/>
    </row>
    <row r="168" spans="1:7" ht="11.85" customHeight="1">
      <c r="A168" s="1352" t="s">
        <v>1348</v>
      </c>
      <c r="B168" s="2948">
        <v>610</v>
      </c>
      <c r="C168" s="3747"/>
      <c r="D168" s="2827"/>
      <c r="E168" s="2815"/>
      <c r="F168" s="1323"/>
      <c r="G168" s="1323"/>
    </row>
    <row r="169" spans="1:7" ht="11.85" customHeight="1">
      <c r="A169" s="1340" t="s">
        <v>1314</v>
      </c>
      <c r="B169" s="3977">
        <v>615</v>
      </c>
      <c r="C169" s="3747"/>
      <c r="D169" s="2816"/>
      <c r="E169" s="2816"/>
      <c r="F169" s="1323"/>
      <c r="G169" s="1323"/>
    </row>
    <row r="170" spans="1:7" ht="11.85" customHeight="1">
      <c r="A170" s="1348" t="s">
        <v>1315</v>
      </c>
      <c r="B170" s="3978">
        <v>620</v>
      </c>
      <c r="C170" s="3747"/>
      <c r="D170" s="2816"/>
      <c r="E170" s="2826"/>
      <c r="F170" s="1323"/>
      <c r="G170" s="1323"/>
    </row>
    <row r="171" spans="1:7" ht="11.85" customHeight="1">
      <c r="A171" s="1360" t="s">
        <v>1</v>
      </c>
      <c r="B171" s="2919">
        <v>625</v>
      </c>
      <c r="C171" s="3747"/>
      <c r="D171" s="2816"/>
      <c r="E171" s="2826"/>
      <c r="F171" s="1323"/>
      <c r="G171" s="1323"/>
    </row>
    <row r="172" spans="1:7" ht="11.85" customHeight="1">
      <c r="A172" s="1367" t="s">
        <v>1318</v>
      </c>
      <c r="B172" s="2921">
        <v>630</v>
      </c>
      <c r="C172" s="3747"/>
      <c r="D172" s="2816"/>
      <c r="E172" s="2816"/>
      <c r="F172" s="1323"/>
      <c r="G172" s="1323"/>
    </row>
    <row r="173" spans="1:7" ht="11.85" customHeight="1">
      <c r="A173" s="1367" t="s">
        <v>1327</v>
      </c>
      <c r="B173" s="2921">
        <v>635</v>
      </c>
      <c r="C173" s="3747"/>
      <c r="D173" s="2816"/>
      <c r="E173" s="2816"/>
      <c r="F173" s="1323"/>
      <c r="G173" s="1323"/>
    </row>
    <row r="174" spans="1:7" ht="11.85" customHeight="1">
      <c r="A174" s="1367" t="s">
        <v>1337</v>
      </c>
      <c r="B174" s="2921">
        <v>640</v>
      </c>
      <c r="C174" s="3747"/>
      <c r="D174" s="2816"/>
      <c r="E174" s="2816"/>
      <c r="F174" s="1323"/>
      <c r="G174" s="1323"/>
    </row>
    <row r="175" spans="1:7" ht="11.85" customHeight="1">
      <c r="A175" s="1367" t="s">
        <v>1345</v>
      </c>
      <c r="B175" s="2921">
        <v>645</v>
      </c>
      <c r="C175" s="3747"/>
      <c r="D175" s="2816"/>
      <c r="E175" s="2816"/>
      <c r="F175" s="1323"/>
      <c r="G175" s="1323"/>
    </row>
    <row r="176" spans="1:7" ht="11.85" customHeight="1">
      <c r="A176" s="1348" t="s">
        <v>1346</v>
      </c>
      <c r="B176" s="3978">
        <v>650</v>
      </c>
      <c r="C176" s="3747"/>
      <c r="D176" s="2826"/>
      <c r="E176" s="2826"/>
      <c r="F176" s="1323"/>
      <c r="G176" s="1323"/>
    </row>
    <row r="177" spans="1:7" ht="11.85" customHeight="1">
      <c r="A177" s="3490" t="s">
        <v>1501</v>
      </c>
      <c r="B177" s="1358"/>
      <c r="C177" s="3030"/>
      <c r="D177" s="1372"/>
      <c r="E177" s="3067"/>
      <c r="F177" s="1323"/>
      <c r="G177" s="1323"/>
    </row>
    <row r="178" spans="1:7" ht="11.85" customHeight="1">
      <c r="A178" s="3491" t="s">
        <v>1502</v>
      </c>
      <c r="B178" s="3533">
        <v>595</v>
      </c>
      <c r="C178" s="3747"/>
      <c r="D178" s="3865"/>
      <c r="E178" s="1379"/>
      <c r="F178" s="1323"/>
      <c r="G178" s="3588"/>
    </row>
    <row r="179" spans="1:7" ht="11.85" customHeight="1">
      <c r="A179" s="1352" t="s">
        <v>1248</v>
      </c>
      <c r="B179" s="3486" t="s">
        <v>92</v>
      </c>
      <c r="C179" s="3083">
        <f>SUM(C134:C178,C72:C125,C37:C63)</f>
        <v>130461</v>
      </c>
      <c r="D179" s="3083">
        <f t="shared" ref="D179:E179" si="1">SUM(D134:D178,D72:D125,D37:D63)</f>
        <v>166662</v>
      </c>
      <c r="E179" s="2538">
        <f t="shared" si="1"/>
        <v>174497</v>
      </c>
      <c r="F179" s="1323"/>
      <c r="G179" s="3588"/>
    </row>
    <row r="180" spans="1:7" s="1332" customFormat="1" ht="12.75" customHeight="1">
      <c r="A180" s="1320"/>
      <c r="B180" s="1321"/>
      <c r="C180" s="1320"/>
      <c r="D180" s="1320"/>
      <c r="E180" s="1320"/>
      <c r="F180" s="1320"/>
      <c r="G180" s="1320"/>
    </row>
    <row r="181" spans="1:7" s="1332" customFormat="1" ht="12.75" customHeight="1">
      <c r="A181" s="1320"/>
      <c r="B181" s="1321"/>
      <c r="C181" s="1320"/>
      <c r="D181" s="1320"/>
      <c r="E181" s="1320"/>
      <c r="F181" s="1320"/>
      <c r="G181" s="1320"/>
    </row>
    <row r="182" spans="1:7" s="1332" customFormat="1" ht="12.75" customHeight="1">
      <c r="A182" s="1386"/>
      <c r="B182" s="1422"/>
      <c r="C182" s="1386"/>
      <c r="D182" s="1386"/>
      <c r="E182" s="1386"/>
      <c r="F182" s="1386"/>
      <c r="G182" s="1320"/>
    </row>
    <row r="183" spans="1:7" ht="12.75" customHeight="1">
      <c r="A183" s="1320"/>
      <c r="B183" s="1320"/>
      <c r="C183" s="1323"/>
      <c r="D183" s="1323"/>
      <c r="E183" s="1323"/>
      <c r="F183" s="1323"/>
      <c r="G183" s="1323"/>
    </row>
    <row r="184" spans="1:7" ht="12" customHeight="1">
      <c r="A184" s="1320"/>
      <c r="B184" s="1320"/>
      <c r="C184" s="1323"/>
      <c r="D184" s="1323"/>
      <c r="E184" s="1323"/>
      <c r="F184" s="1323"/>
      <c r="G184" s="1323"/>
    </row>
    <row r="185" spans="1:7" ht="12" customHeight="1">
      <c r="A185" s="1320"/>
      <c r="B185" s="1320"/>
      <c r="C185" s="1323"/>
      <c r="D185" s="1323"/>
      <c r="E185" s="1323"/>
      <c r="F185" s="1323"/>
      <c r="G185" s="1323"/>
    </row>
    <row r="186" spans="1:7" ht="12" customHeight="1">
      <c r="A186" s="1320"/>
      <c r="B186" s="1320"/>
      <c r="C186" s="1323"/>
      <c r="D186" s="1323"/>
      <c r="E186" s="1323"/>
      <c r="F186" s="1323"/>
      <c r="G186" s="1323"/>
    </row>
    <row r="187" spans="1:7" ht="12" customHeight="1">
      <c r="A187" s="1320"/>
      <c r="B187" s="1320"/>
      <c r="C187" s="1323"/>
      <c r="D187" s="1323"/>
      <c r="E187" s="1323"/>
      <c r="F187" s="1323"/>
      <c r="G187" s="1323"/>
    </row>
    <row r="188" spans="1:7" ht="12" customHeight="1">
      <c r="A188" s="1320"/>
      <c r="B188" s="1320"/>
      <c r="C188" s="1323"/>
      <c r="D188" s="1323"/>
      <c r="E188" s="1323"/>
      <c r="F188" s="1323"/>
      <c r="G188" s="1323"/>
    </row>
    <row r="189" spans="1:7" ht="12" customHeight="1">
      <c r="A189" s="1320"/>
      <c r="B189" s="1320"/>
      <c r="C189" s="1323"/>
      <c r="D189" s="1323"/>
      <c r="E189" s="1323"/>
      <c r="F189" s="1323"/>
      <c r="G189" s="1323"/>
    </row>
    <row r="190" spans="1:7" ht="12" customHeight="1">
      <c r="A190" s="1320"/>
      <c r="B190" s="1320"/>
      <c r="C190" s="1323"/>
      <c r="D190" s="1323"/>
      <c r="E190" s="1323"/>
      <c r="F190" s="1323"/>
      <c r="G190" s="1323"/>
    </row>
    <row r="191" spans="1:7" ht="12" customHeight="1">
      <c r="A191" s="1320"/>
      <c r="B191" s="1320"/>
      <c r="C191" s="1323"/>
      <c r="D191" s="1323"/>
      <c r="E191" s="1323"/>
      <c r="F191" s="1323"/>
      <c r="G191" s="1323"/>
    </row>
    <row r="192" spans="1:7" ht="12" customHeight="1">
      <c r="A192" s="1320"/>
      <c r="B192" s="1320"/>
      <c r="C192" s="1323"/>
      <c r="D192" s="1323"/>
      <c r="E192" s="1323"/>
      <c r="F192" s="1323"/>
      <c r="G192" s="1323"/>
    </row>
    <row r="193" spans="1:7" ht="12" customHeight="1">
      <c r="A193" s="1320"/>
      <c r="B193" s="1320"/>
      <c r="C193" s="1323"/>
      <c r="D193" s="1323"/>
      <c r="E193" s="1323"/>
      <c r="F193" s="1323"/>
      <c r="G193" s="1323"/>
    </row>
    <row r="194" spans="1:7" ht="12" customHeight="1">
      <c r="A194" s="1320"/>
      <c r="B194" s="1320"/>
      <c r="C194" s="1323"/>
      <c r="D194" s="1323"/>
      <c r="E194" s="1323"/>
      <c r="F194" s="1323"/>
      <c r="G194" s="1323"/>
    </row>
    <row r="195" spans="1:7" ht="12" customHeight="1">
      <c r="A195" s="1320"/>
      <c r="B195" s="1320"/>
      <c r="C195" s="1323"/>
      <c r="D195" s="1323"/>
      <c r="E195" s="1323"/>
      <c r="F195" s="1323"/>
      <c r="G195" s="1323"/>
    </row>
    <row r="196" spans="1:7" ht="12" customHeight="1">
      <c r="A196" s="1320"/>
      <c r="B196" s="1320"/>
      <c r="C196" s="1323"/>
      <c r="D196" s="1323"/>
      <c r="E196" s="1323"/>
      <c r="F196" s="1323"/>
      <c r="G196" s="1323"/>
    </row>
    <row r="197" spans="1:7" ht="12" customHeight="1">
      <c r="A197" s="1320"/>
      <c r="B197" s="1320"/>
      <c r="C197" s="1323"/>
      <c r="D197" s="1323"/>
      <c r="E197" s="1323"/>
      <c r="F197" s="1323"/>
      <c r="G197" s="1323"/>
    </row>
    <row r="198" spans="1:7" ht="12" customHeight="1">
      <c r="A198" s="1320"/>
      <c r="B198" s="1320"/>
      <c r="C198" s="1323"/>
      <c r="D198" s="1323"/>
      <c r="E198" s="1323"/>
      <c r="F198" s="1323"/>
      <c r="G198" s="1323"/>
    </row>
    <row r="199" spans="1:7" ht="12" customHeight="1">
      <c r="A199" s="1320"/>
      <c r="B199" s="1320"/>
      <c r="C199" s="1323"/>
      <c r="D199" s="1323"/>
      <c r="E199" s="1323"/>
      <c r="F199" s="1323"/>
      <c r="G199" s="1323"/>
    </row>
    <row r="200" spans="1:7" ht="12" customHeight="1">
      <c r="A200" s="1320"/>
      <c r="B200" s="1320"/>
      <c r="C200" s="1323"/>
      <c r="D200" s="1323"/>
      <c r="E200" s="1323"/>
      <c r="F200" s="1323"/>
      <c r="G200" s="1323"/>
    </row>
    <row r="201" spans="1:7" ht="12" customHeight="1">
      <c r="A201" s="1320"/>
      <c r="B201" s="1320"/>
      <c r="C201" s="1323"/>
      <c r="D201" s="1323"/>
      <c r="E201" s="1323"/>
      <c r="F201" s="1323"/>
      <c r="G201" s="1323"/>
    </row>
    <row r="202" spans="1:7" ht="12" customHeight="1">
      <c r="A202" s="1320"/>
      <c r="B202" s="1320"/>
      <c r="C202" s="1323"/>
      <c r="D202" s="1323"/>
      <c r="E202" s="1323"/>
      <c r="F202" s="1323"/>
      <c r="G202" s="1323"/>
    </row>
    <row r="203" spans="1:7" ht="12" customHeight="1">
      <c r="A203" s="1320"/>
      <c r="B203" s="1320"/>
      <c r="C203" s="1323"/>
      <c r="D203" s="1323"/>
      <c r="E203" s="1323"/>
      <c r="F203" s="1323"/>
      <c r="G203" s="1323"/>
    </row>
    <row r="204" spans="1:7" ht="12" customHeight="1">
      <c r="A204" s="1320"/>
      <c r="B204" s="1320"/>
      <c r="C204" s="1323"/>
      <c r="D204" s="1323"/>
      <c r="E204" s="1323"/>
      <c r="F204" s="1323"/>
      <c r="G204" s="1323"/>
    </row>
    <row r="205" spans="1:7" ht="12" customHeight="1">
      <c r="A205" s="1320"/>
      <c r="B205" s="1320"/>
      <c r="C205" s="1323"/>
      <c r="D205" s="1323"/>
      <c r="E205" s="1323"/>
      <c r="F205" s="1323"/>
      <c r="G205" s="1323"/>
    </row>
    <row r="206" spans="1:7" ht="12" customHeight="1">
      <c r="A206" s="1320"/>
      <c r="B206" s="1320"/>
      <c r="C206" s="1323"/>
      <c r="D206" s="1323"/>
      <c r="E206" s="1323"/>
      <c r="F206" s="1323"/>
      <c r="G206" s="1323"/>
    </row>
    <row r="207" spans="1:7" ht="12" customHeight="1">
      <c r="A207" s="1320"/>
      <c r="B207" s="1320"/>
      <c r="C207" s="1323"/>
      <c r="D207" s="1323"/>
      <c r="E207" s="1323"/>
      <c r="F207" s="1323"/>
      <c r="G207" s="1323"/>
    </row>
    <row r="208" spans="1:7" ht="12" customHeight="1">
      <c r="A208" s="1320"/>
      <c r="B208" s="1320"/>
      <c r="C208" s="1323"/>
      <c r="D208" s="1323"/>
      <c r="E208" s="1323"/>
      <c r="F208" s="1323"/>
      <c r="G208" s="1323"/>
    </row>
    <row r="209" spans="1:7" ht="12" customHeight="1">
      <c r="A209" s="1320"/>
      <c r="B209" s="1320"/>
      <c r="C209" s="1323"/>
      <c r="D209" s="1323"/>
      <c r="E209" s="1323"/>
      <c r="F209" s="1323"/>
      <c r="G209" s="1323"/>
    </row>
    <row r="210" spans="1:7" ht="12" customHeight="1">
      <c r="A210" s="1320"/>
      <c r="B210" s="1320"/>
      <c r="C210" s="1323"/>
      <c r="D210" s="1323"/>
      <c r="E210" s="1323"/>
      <c r="F210" s="1323"/>
      <c r="G210" s="1323"/>
    </row>
    <row r="211" spans="1:7" ht="12" customHeight="1">
      <c r="A211" s="1320"/>
      <c r="B211" s="1320"/>
      <c r="C211" s="1323"/>
      <c r="D211" s="1323"/>
      <c r="E211" s="1323"/>
      <c r="F211" s="1323"/>
      <c r="G211" s="1323"/>
    </row>
    <row r="212" spans="1:7" ht="12" customHeight="1">
      <c r="A212" s="1320"/>
      <c r="B212" s="1320"/>
      <c r="C212" s="1323"/>
      <c r="D212" s="1323"/>
      <c r="E212" s="1323"/>
      <c r="F212" s="1323"/>
      <c r="G212" s="1323"/>
    </row>
    <row r="213" spans="1:7" ht="12" customHeight="1">
      <c r="A213" s="1320"/>
      <c r="B213" s="1320"/>
      <c r="C213" s="1323"/>
      <c r="D213" s="1323"/>
      <c r="E213" s="1323"/>
      <c r="F213" s="1323"/>
      <c r="G213" s="1323"/>
    </row>
    <row r="214" spans="1:7" ht="12" customHeight="1">
      <c r="A214" s="1320"/>
      <c r="B214" s="1320"/>
      <c r="C214" s="1323"/>
      <c r="D214" s="1323"/>
      <c r="E214" s="1323"/>
      <c r="F214" s="1323"/>
      <c r="G214" s="1323"/>
    </row>
    <row r="215" spans="1:7" ht="12" customHeight="1">
      <c r="A215" s="1320"/>
      <c r="B215" s="1320"/>
      <c r="C215" s="1323"/>
      <c r="D215" s="1323"/>
      <c r="E215" s="1323"/>
      <c r="F215" s="1323"/>
      <c r="G215" s="1323"/>
    </row>
    <row r="216" spans="1:7" ht="12" customHeight="1">
      <c r="A216" s="1320"/>
      <c r="B216" s="1320"/>
      <c r="C216" s="1323"/>
      <c r="D216" s="1323"/>
      <c r="E216" s="1323"/>
      <c r="F216" s="1323"/>
      <c r="G216" s="1323"/>
    </row>
    <row r="217" spans="1:7" ht="12" customHeight="1">
      <c r="A217" s="1320"/>
      <c r="B217" s="1320"/>
      <c r="C217" s="1323"/>
      <c r="D217" s="1323"/>
      <c r="E217" s="1323"/>
      <c r="F217" s="1323"/>
      <c r="G217" s="1323"/>
    </row>
    <row r="218" spans="1:7" ht="12" customHeight="1">
      <c r="A218" s="1320"/>
      <c r="B218" s="1320"/>
      <c r="C218" s="1323"/>
      <c r="D218" s="1323"/>
      <c r="E218" s="1323"/>
      <c r="F218" s="1323"/>
      <c r="G218" s="1323"/>
    </row>
    <row r="219" spans="1:7" ht="12" customHeight="1">
      <c r="A219" s="1320"/>
      <c r="B219" s="1320"/>
      <c r="C219" s="1323"/>
      <c r="D219" s="1323"/>
      <c r="E219" s="1323"/>
      <c r="F219" s="1323"/>
      <c r="G219" s="1323"/>
    </row>
    <row r="220" spans="1:7" ht="12" customHeight="1">
      <c r="A220" s="1320"/>
      <c r="B220" s="1320"/>
      <c r="C220" s="1323"/>
      <c r="D220" s="1323"/>
      <c r="E220" s="1323"/>
      <c r="F220" s="1323"/>
      <c r="G220" s="1323"/>
    </row>
    <row r="221" spans="1:7" ht="12" customHeight="1">
      <c r="A221" s="1320"/>
      <c r="B221" s="1320"/>
      <c r="C221" s="1323"/>
      <c r="D221" s="1323"/>
      <c r="E221" s="1323"/>
      <c r="F221" s="1323"/>
      <c r="G221" s="1323"/>
    </row>
    <row r="222" spans="1:7" ht="12" customHeight="1">
      <c r="A222" s="1320"/>
      <c r="B222" s="1320"/>
      <c r="C222" s="1323"/>
      <c r="D222" s="1323"/>
      <c r="E222" s="1323"/>
      <c r="F222" s="1323"/>
      <c r="G222" s="1323"/>
    </row>
    <row r="223" spans="1:7" ht="12" customHeight="1">
      <c r="A223" s="1320"/>
      <c r="B223" s="1320"/>
      <c r="C223" s="1323"/>
      <c r="D223" s="1323"/>
      <c r="E223" s="1323"/>
      <c r="F223" s="1323"/>
      <c r="G223" s="1323"/>
    </row>
    <row r="224" spans="1:7" ht="12" customHeight="1">
      <c r="A224" s="1320"/>
      <c r="B224" s="1320"/>
      <c r="C224" s="1323"/>
      <c r="D224" s="1323"/>
      <c r="E224" s="1323"/>
      <c r="F224" s="1323"/>
      <c r="G224" s="1323"/>
    </row>
    <row r="225" spans="1:7" ht="12" customHeight="1">
      <c r="A225" s="1320"/>
      <c r="B225" s="1320"/>
      <c r="C225" s="1323"/>
      <c r="D225" s="1323"/>
      <c r="E225" s="1323"/>
      <c r="F225" s="1323"/>
      <c r="G225" s="1323"/>
    </row>
    <row r="226" spans="1:7" ht="12" customHeight="1">
      <c r="A226" s="1320"/>
      <c r="B226" s="1320"/>
      <c r="C226" s="1323"/>
      <c r="D226" s="1323"/>
      <c r="E226" s="1323"/>
      <c r="F226" s="1323"/>
      <c r="G226" s="1323"/>
    </row>
    <row r="227" spans="1:7" ht="12" customHeight="1">
      <c r="A227" s="1320"/>
      <c r="B227" s="1320"/>
      <c r="C227" s="1323"/>
      <c r="D227" s="1323"/>
      <c r="E227" s="1323"/>
      <c r="F227" s="1323"/>
      <c r="G227" s="1323"/>
    </row>
    <row r="228" spans="1:7" ht="12" customHeight="1">
      <c r="A228" s="1320"/>
      <c r="B228" s="1320"/>
      <c r="C228" s="1323"/>
      <c r="D228" s="1323"/>
      <c r="E228" s="1323"/>
      <c r="F228" s="1323"/>
      <c r="G228" s="1323"/>
    </row>
    <row r="229" spans="1:7" ht="12" customHeight="1">
      <c r="A229" s="1320"/>
      <c r="B229" s="1320"/>
      <c r="C229" s="1323"/>
      <c r="D229" s="1323"/>
      <c r="E229" s="1323"/>
      <c r="F229" s="1323"/>
      <c r="G229" s="1323"/>
    </row>
    <row r="230" spans="1:7" ht="12" customHeight="1">
      <c r="A230" s="1320"/>
      <c r="B230" s="1320"/>
      <c r="C230" s="1323"/>
      <c r="D230" s="1323"/>
      <c r="E230" s="1323"/>
      <c r="F230" s="1323"/>
      <c r="G230" s="1323"/>
    </row>
    <row r="231" spans="1:7" ht="12" customHeight="1">
      <c r="A231" s="1320"/>
      <c r="B231" s="1320"/>
      <c r="C231" s="1323"/>
      <c r="D231" s="1323"/>
      <c r="E231" s="1323"/>
      <c r="F231" s="1323"/>
      <c r="G231" s="1323"/>
    </row>
    <row r="232" spans="1:7" ht="12" customHeight="1">
      <c r="A232" s="1320"/>
      <c r="B232" s="1320"/>
      <c r="C232" s="1323"/>
      <c r="D232" s="1323"/>
      <c r="E232" s="1323"/>
      <c r="F232" s="1323"/>
      <c r="G232" s="1323"/>
    </row>
    <row r="233" spans="1:7" ht="12" customHeight="1">
      <c r="A233" s="1320"/>
      <c r="B233" s="1320"/>
      <c r="C233" s="1323"/>
      <c r="D233" s="1323"/>
      <c r="E233" s="1323"/>
      <c r="F233" s="1323"/>
      <c r="G233" s="1323"/>
    </row>
    <row r="234" spans="1:7" ht="12" customHeight="1">
      <c r="A234" s="1320"/>
      <c r="B234" s="1320"/>
      <c r="C234" s="1323"/>
      <c r="D234" s="1323"/>
      <c r="E234" s="1323"/>
      <c r="F234" s="1323"/>
      <c r="G234" s="1323"/>
    </row>
    <row r="235" spans="1:7" ht="12" customHeight="1">
      <c r="A235" s="1320"/>
      <c r="B235" s="1320"/>
      <c r="C235" s="1323"/>
      <c r="D235" s="1323"/>
      <c r="E235" s="1323"/>
      <c r="F235" s="1323"/>
      <c r="G235" s="1323"/>
    </row>
    <row r="236" spans="1:7" ht="12" customHeight="1">
      <c r="A236" s="1320"/>
      <c r="B236" s="1320"/>
      <c r="C236" s="1323"/>
      <c r="D236" s="1323"/>
      <c r="E236" s="1323"/>
      <c r="F236" s="1323"/>
      <c r="G236" s="1323"/>
    </row>
    <row r="237" spans="1:7" ht="12" customHeight="1">
      <c r="A237" s="1320"/>
      <c r="B237" s="1320"/>
      <c r="C237" s="1323"/>
      <c r="D237" s="1323"/>
      <c r="E237" s="1323"/>
      <c r="F237" s="1323"/>
      <c r="G237" s="1323"/>
    </row>
    <row r="238" spans="1:7" ht="12" customHeight="1">
      <c r="A238" s="1320"/>
      <c r="B238" s="1320"/>
      <c r="C238" s="1323"/>
      <c r="D238" s="1323"/>
      <c r="E238" s="1323"/>
      <c r="F238" s="1323"/>
      <c r="G238" s="1323"/>
    </row>
    <row r="239" spans="1:7" ht="12" customHeight="1">
      <c r="A239" s="1320"/>
      <c r="B239" s="1320"/>
      <c r="C239" s="1323"/>
      <c r="D239" s="1323"/>
      <c r="E239" s="1323"/>
      <c r="F239" s="1323"/>
      <c r="G239" s="1323"/>
    </row>
    <row r="240" spans="1:7" ht="12" customHeight="1">
      <c r="A240" s="1320"/>
      <c r="B240" s="1320"/>
      <c r="C240" s="1323"/>
      <c r="D240" s="1323"/>
      <c r="E240" s="1323"/>
      <c r="F240" s="1323"/>
      <c r="G240" s="1323"/>
    </row>
    <row r="241" spans="1:7" ht="12" customHeight="1">
      <c r="A241" s="1320"/>
      <c r="B241" s="1320"/>
      <c r="C241" s="1323"/>
      <c r="D241" s="1323"/>
      <c r="E241" s="1323"/>
      <c r="F241" s="1323"/>
      <c r="G241" s="1323"/>
    </row>
    <row r="242" spans="1:7" ht="12" customHeight="1">
      <c r="A242" s="1320"/>
      <c r="B242" s="1320"/>
      <c r="C242" s="1323"/>
      <c r="D242" s="1323"/>
      <c r="E242" s="1323"/>
      <c r="F242" s="1323"/>
      <c r="G242" s="1323"/>
    </row>
    <row r="243" spans="1:7" ht="12" customHeight="1">
      <c r="A243" s="1320"/>
      <c r="B243" s="1320"/>
      <c r="C243" s="1323"/>
      <c r="D243" s="1323"/>
      <c r="E243" s="1323"/>
      <c r="F243" s="1323"/>
      <c r="G243" s="1323"/>
    </row>
    <row r="244" spans="1:7" ht="12" customHeight="1">
      <c r="A244" s="1320"/>
      <c r="B244" s="1320"/>
      <c r="C244" s="1323"/>
      <c r="D244" s="1323"/>
      <c r="E244" s="1323"/>
      <c r="F244" s="1323"/>
      <c r="G244" s="1323"/>
    </row>
    <row r="245" spans="1:7" ht="12" customHeight="1">
      <c r="A245" s="1320"/>
      <c r="B245" s="1320"/>
      <c r="C245" s="1323"/>
      <c r="D245" s="1323"/>
      <c r="E245" s="1323"/>
      <c r="F245" s="1323"/>
      <c r="G245" s="1323"/>
    </row>
    <row r="246" spans="1:7" ht="12" customHeight="1">
      <c r="A246" s="1320"/>
      <c r="B246" s="1320"/>
      <c r="C246" s="1323"/>
      <c r="D246" s="1323"/>
      <c r="E246" s="1323"/>
      <c r="F246" s="1323"/>
      <c r="G246" s="1323"/>
    </row>
    <row r="247" spans="1:7" ht="12" customHeight="1">
      <c r="A247" s="1320"/>
      <c r="B247" s="1320"/>
      <c r="C247" s="1323"/>
      <c r="D247" s="1323"/>
      <c r="E247" s="1323"/>
      <c r="F247" s="1323"/>
      <c r="G247" s="1323"/>
    </row>
    <row r="248" spans="1:7" ht="12" customHeight="1">
      <c r="A248" s="1320"/>
      <c r="B248" s="1320"/>
      <c r="C248" s="1323"/>
      <c r="D248" s="1323"/>
      <c r="E248" s="1323"/>
      <c r="F248" s="1323"/>
      <c r="G248" s="1323"/>
    </row>
    <row r="249" spans="1:7" ht="12" customHeight="1">
      <c r="A249" s="1320"/>
      <c r="B249" s="1320"/>
      <c r="C249" s="1323"/>
      <c r="D249" s="1323"/>
      <c r="E249" s="1323"/>
      <c r="F249" s="1323"/>
      <c r="G249" s="1323"/>
    </row>
    <row r="250" spans="1:7" ht="12" customHeight="1">
      <c r="A250" s="1320"/>
      <c r="B250" s="1320"/>
      <c r="C250" s="1323"/>
      <c r="D250" s="1323"/>
      <c r="E250" s="1323"/>
      <c r="F250" s="1323"/>
      <c r="G250" s="1323"/>
    </row>
    <row r="251" spans="1:7" ht="12" customHeight="1">
      <c r="A251" s="1320"/>
      <c r="B251" s="1320"/>
      <c r="C251" s="1323"/>
      <c r="D251" s="1323"/>
      <c r="E251" s="1323"/>
      <c r="F251" s="1323"/>
      <c r="G251" s="1323"/>
    </row>
    <row r="252" spans="1:7" ht="12" customHeight="1">
      <c r="A252" s="1320"/>
      <c r="B252" s="1320"/>
      <c r="C252" s="1323"/>
      <c r="D252" s="1323"/>
      <c r="E252" s="1323"/>
      <c r="F252" s="1323"/>
      <c r="G252" s="1323"/>
    </row>
    <row r="253" spans="1:7" ht="12" customHeight="1">
      <c r="A253" s="1320"/>
      <c r="B253" s="1320"/>
      <c r="C253" s="1323"/>
      <c r="D253" s="1323"/>
      <c r="E253" s="1323"/>
      <c r="F253" s="1323"/>
      <c r="G253" s="1323"/>
    </row>
    <row r="254" spans="1:7" ht="12" customHeight="1">
      <c r="A254" s="1320"/>
      <c r="B254" s="1320"/>
      <c r="C254" s="1323"/>
      <c r="D254" s="1323"/>
      <c r="E254" s="1323"/>
      <c r="F254" s="1323"/>
      <c r="G254" s="1323"/>
    </row>
    <row r="255" spans="1:7" ht="12" customHeight="1">
      <c r="A255" s="1320"/>
      <c r="B255" s="1320"/>
      <c r="C255" s="1323"/>
      <c r="D255" s="1323"/>
      <c r="E255" s="1323"/>
      <c r="F255" s="1323"/>
      <c r="G255" s="1323"/>
    </row>
    <row r="256" spans="1:7" ht="12" customHeight="1">
      <c r="A256" s="1320"/>
      <c r="B256" s="1320"/>
      <c r="C256" s="1323"/>
      <c r="D256" s="1323"/>
      <c r="E256" s="1323"/>
      <c r="F256" s="1323"/>
      <c r="G256" s="1323"/>
    </row>
    <row r="257" spans="1:7" ht="12" customHeight="1">
      <c r="A257" s="1320"/>
      <c r="B257" s="1320"/>
      <c r="C257" s="1323"/>
      <c r="D257" s="1323"/>
      <c r="E257" s="1323"/>
      <c r="F257" s="1323"/>
      <c r="G257" s="1323"/>
    </row>
    <row r="258" spans="1:7" ht="12" customHeight="1">
      <c r="A258" s="1320"/>
      <c r="B258" s="1320"/>
      <c r="C258" s="1323"/>
      <c r="D258" s="1323"/>
      <c r="E258" s="1323"/>
      <c r="F258" s="1323"/>
      <c r="G258" s="1323"/>
    </row>
    <row r="259" spans="1:7" ht="12" customHeight="1">
      <c r="A259" s="1320"/>
      <c r="B259" s="1320"/>
      <c r="C259" s="1323"/>
      <c r="D259" s="1323"/>
      <c r="E259" s="1323"/>
      <c r="F259" s="1323"/>
      <c r="G259" s="1323"/>
    </row>
    <row r="260" spans="1:7" ht="12" customHeight="1">
      <c r="A260" s="1320"/>
      <c r="B260" s="1320"/>
      <c r="C260" s="1323"/>
      <c r="D260" s="1323"/>
      <c r="E260" s="1323"/>
      <c r="F260" s="1323"/>
      <c r="G260" s="1323"/>
    </row>
    <row r="261" spans="1:7" ht="12" customHeight="1">
      <c r="A261" s="1320"/>
      <c r="B261" s="1320"/>
      <c r="C261" s="1323"/>
      <c r="D261" s="1323"/>
      <c r="E261" s="1323"/>
      <c r="F261" s="1323"/>
      <c r="G261" s="1323"/>
    </row>
    <row r="262" spans="1:7" ht="12" customHeight="1">
      <c r="A262" s="1320"/>
      <c r="B262" s="1320"/>
      <c r="C262" s="1323"/>
      <c r="D262" s="1323"/>
      <c r="E262" s="1323"/>
      <c r="F262" s="1323"/>
      <c r="G262" s="1323"/>
    </row>
    <row r="263" spans="1:7" ht="12" customHeight="1">
      <c r="A263" s="1320"/>
      <c r="B263" s="1320"/>
      <c r="C263" s="1323"/>
      <c r="D263" s="1323"/>
      <c r="E263" s="1323"/>
      <c r="F263" s="1323"/>
      <c r="G263" s="1323"/>
    </row>
    <row r="264" spans="1:7" ht="12" customHeight="1">
      <c r="A264" s="1320"/>
      <c r="B264" s="1320"/>
      <c r="C264" s="1323"/>
      <c r="D264" s="1323"/>
      <c r="E264" s="1323"/>
      <c r="F264" s="1323"/>
      <c r="G264" s="1323"/>
    </row>
    <row r="265" spans="1:7" ht="12" customHeight="1">
      <c r="A265" s="1320"/>
      <c r="B265" s="1320"/>
      <c r="C265" s="1323"/>
      <c r="D265" s="1323"/>
      <c r="E265" s="1323"/>
      <c r="F265" s="1323"/>
      <c r="G265" s="1323"/>
    </row>
    <row r="266" spans="1:7" ht="12" customHeight="1">
      <c r="A266" s="1320"/>
      <c r="B266" s="1320"/>
      <c r="C266" s="1323"/>
      <c r="D266" s="1323"/>
      <c r="E266" s="1323"/>
      <c r="F266" s="1323"/>
      <c r="G266" s="1323"/>
    </row>
    <row r="267" spans="1:7" ht="12" customHeight="1">
      <c r="A267" s="1320"/>
      <c r="B267" s="1320"/>
      <c r="C267" s="1323"/>
      <c r="D267" s="1323"/>
      <c r="E267" s="1323"/>
      <c r="F267" s="1323"/>
      <c r="G267" s="1323"/>
    </row>
    <row r="268" spans="1:7" ht="12" customHeight="1">
      <c r="A268" s="1320"/>
      <c r="B268" s="1320"/>
      <c r="C268" s="1323"/>
      <c r="D268" s="1323"/>
      <c r="E268" s="1323"/>
      <c r="F268" s="1323"/>
      <c r="G268" s="1323"/>
    </row>
    <row r="269" spans="1:7" ht="12" customHeight="1">
      <c r="A269" s="1320"/>
      <c r="B269" s="1320"/>
      <c r="C269" s="1323"/>
      <c r="D269" s="1323"/>
      <c r="E269" s="1323"/>
      <c r="F269" s="1323"/>
      <c r="G269" s="1323"/>
    </row>
    <row r="270" spans="1:7" ht="12" customHeight="1">
      <c r="A270" s="1320"/>
      <c r="B270" s="1320"/>
      <c r="C270" s="1323"/>
      <c r="D270" s="1323"/>
      <c r="E270" s="1323"/>
      <c r="F270" s="1323"/>
      <c r="G270" s="1323"/>
    </row>
    <row r="271" spans="1:7" ht="12" customHeight="1">
      <c r="A271" s="1320"/>
      <c r="B271" s="1320"/>
      <c r="C271" s="1323"/>
      <c r="D271" s="1323"/>
      <c r="E271" s="1323"/>
      <c r="F271" s="1323"/>
      <c r="G271" s="1323"/>
    </row>
    <row r="272" spans="1:7" ht="12" customHeight="1">
      <c r="A272" s="1320"/>
      <c r="B272" s="1320"/>
      <c r="C272" s="1323"/>
      <c r="D272" s="1323"/>
      <c r="E272" s="1323"/>
      <c r="F272" s="1323"/>
      <c r="G272" s="1323"/>
    </row>
    <row r="273" spans="1:7" ht="12" customHeight="1">
      <c r="A273" s="1320"/>
      <c r="B273" s="1320"/>
      <c r="C273" s="1323"/>
      <c r="D273" s="1323"/>
      <c r="E273" s="1323"/>
      <c r="F273" s="1323"/>
      <c r="G273" s="1323"/>
    </row>
    <row r="274" spans="1:7" ht="12" customHeight="1">
      <c r="A274" s="1320"/>
      <c r="B274" s="1320"/>
      <c r="C274" s="1323"/>
      <c r="D274" s="1323"/>
      <c r="E274" s="1323"/>
      <c r="F274" s="1323"/>
      <c r="G274" s="1323"/>
    </row>
    <row r="275" spans="1:7" ht="12" customHeight="1">
      <c r="A275" s="1320"/>
      <c r="B275" s="1320"/>
      <c r="C275" s="1323"/>
      <c r="D275" s="1323"/>
      <c r="E275" s="1323"/>
      <c r="F275" s="1323"/>
      <c r="G275" s="1323"/>
    </row>
    <row r="276" spans="1:7" ht="12" customHeight="1">
      <c r="A276" s="1320"/>
      <c r="B276" s="1320"/>
      <c r="C276" s="1323"/>
      <c r="D276" s="1323"/>
      <c r="E276" s="1323"/>
      <c r="F276" s="1323"/>
      <c r="G276" s="1323"/>
    </row>
    <row r="277" spans="1:7" ht="12" customHeight="1">
      <c r="A277" s="1320"/>
      <c r="B277" s="1320"/>
      <c r="C277" s="1323"/>
      <c r="D277" s="1323"/>
      <c r="E277" s="1323"/>
      <c r="F277" s="1323"/>
      <c r="G277" s="1323"/>
    </row>
    <row r="278" spans="1:7" ht="12" customHeight="1">
      <c r="A278" s="1320"/>
      <c r="B278" s="1320"/>
      <c r="C278" s="1323"/>
      <c r="D278" s="1323"/>
      <c r="E278" s="1323"/>
      <c r="F278" s="1323"/>
      <c r="G278" s="1323"/>
    </row>
    <row r="279" spans="1:7" ht="12" customHeight="1">
      <c r="A279" s="1320"/>
      <c r="B279" s="1320"/>
      <c r="C279" s="1323"/>
      <c r="D279" s="1323"/>
      <c r="E279" s="1323"/>
      <c r="F279" s="1323"/>
      <c r="G279" s="1323"/>
    </row>
    <row r="280" spans="1:7" ht="12" customHeight="1">
      <c r="A280" s="1320"/>
      <c r="B280" s="1320"/>
      <c r="C280" s="1323"/>
      <c r="D280" s="1323"/>
      <c r="E280" s="1323"/>
      <c r="F280" s="1323"/>
      <c r="G280" s="1323"/>
    </row>
    <row r="281" spans="1:7" ht="12" customHeight="1">
      <c r="A281" s="1320"/>
      <c r="B281" s="1320"/>
      <c r="C281" s="1323"/>
      <c r="D281" s="1323"/>
      <c r="E281" s="1323"/>
      <c r="F281" s="1323"/>
      <c r="G281" s="1323"/>
    </row>
    <row r="282" spans="1:7" ht="12" customHeight="1">
      <c r="A282" s="1320"/>
      <c r="B282" s="1320"/>
      <c r="C282" s="1323"/>
      <c r="D282" s="1323"/>
      <c r="E282" s="1323"/>
      <c r="F282" s="1323"/>
      <c r="G282" s="1323"/>
    </row>
    <row r="283" spans="1:7" ht="12" customHeight="1">
      <c r="A283" s="1320"/>
      <c r="B283" s="1320"/>
      <c r="C283" s="1323"/>
      <c r="D283" s="1323"/>
      <c r="E283" s="1323"/>
      <c r="F283" s="1323"/>
      <c r="G283" s="1323"/>
    </row>
    <row r="284" spans="1:7" ht="12" customHeight="1">
      <c r="A284" s="1320"/>
      <c r="B284" s="1320"/>
      <c r="C284" s="1323"/>
      <c r="D284" s="1323"/>
      <c r="E284" s="1323"/>
      <c r="F284" s="1323"/>
      <c r="G284" s="1323"/>
    </row>
    <row r="285" spans="1:7" ht="12" customHeight="1">
      <c r="A285" s="1320"/>
      <c r="B285" s="1320"/>
      <c r="C285" s="1323"/>
      <c r="D285" s="1323"/>
      <c r="E285" s="1323"/>
      <c r="F285" s="1323"/>
      <c r="G285" s="1323"/>
    </row>
    <row r="286" spans="1:7" ht="12" customHeight="1">
      <c r="A286" s="1320"/>
      <c r="B286" s="1320"/>
      <c r="C286" s="1323"/>
      <c r="D286" s="1323"/>
      <c r="E286" s="1323"/>
      <c r="F286" s="1323"/>
      <c r="G286" s="1323"/>
    </row>
    <row r="287" spans="1:7" ht="12" customHeight="1">
      <c r="A287" s="1320"/>
      <c r="B287" s="1320"/>
      <c r="C287" s="1323"/>
      <c r="D287" s="1323"/>
      <c r="E287" s="1323"/>
      <c r="F287" s="1323"/>
      <c r="G287" s="1323"/>
    </row>
    <row r="288" spans="1:7" ht="12" customHeight="1">
      <c r="A288" s="1320"/>
      <c r="B288" s="1320"/>
      <c r="C288" s="1323"/>
      <c r="D288" s="1323"/>
      <c r="E288" s="1323"/>
      <c r="F288" s="1323"/>
      <c r="G288" s="1323"/>
    </row>
    <row r="289" spans="1:7" ht="12" customHeight="1">
      <c r="A289" s="1320"/>
      <c r="B289" s="1320"/>
      <c r="C289" s="1323"/>
      <c r="D289" s="1323"/>
      <c r="E289" s="1323"/>
      <c r="F289" s="1323"/>
      <c r="G289" s="1323"/>
    </row>
    <row r="290" spans="1:7" ht="12" customHeight="1">
      <c r="A290" s="1320"/>
      <c r="B290" s="1320"/>
      <c r="C290" s="1323"/>
      <c r="D290" s="1323"/>
      <c r="E290" s="1323"/>
      <c r="F290" s="1323"/>
      <c r="G290" s="1323"/>
    </row>
    <row r="291" spans="1:7" ht="12" customHeight="1">
      <c r="A291" s="1320"/>
      <c r="B291" s="1320"/>
      <c r="C291" s="1323"/>
      <c r="D291" s="1323"/>
      <c r="E291" s="1323"/>
      <c r="F291" s="1323"/>
      <c r="G291" s="1323"/>
    </row>
    <row r="292" spans="1:7" ht="12" customHeight="1">
      <c r="A292" s="1320"/>
      <c r="B292" s="1320"/>
      <c r="C292" s="1323"/>
      <c r="D292" s="1323"/>
      <c r="E292" s="1323"/>
      <c r="F292" s="1323"/>
      <c r="G292" s="1323"/>
    </row>
    <row r="293" spans="1:7" ht="12" customHeight="1">
      <c r="A293" s="1320"/>
      <c r="B293" s="1320"/>
      <c r="C293" s="1323"/>
      <c r="D293" s="1323"/>
      <c r="E293" s="1323"/>
      <c r="F293" s="1323"/>
      <c r="G293" s="1323"/>
    </row>
    <row r="294" spans="1:7" ht="12" customHeight="1">
      <c r="A294" s="1320"/>
      <c r="B294" s="1320"/>
      <c r="C294" s="1323"/>
      <c r="D294" s="1323"/>
      <c r="E294" s="1323"/>
      <c r="F294" s="1323"/>
      <c r="G294" s="1323"/>
    </row>
    <row r="295" spans="1:7" ht="12" customHeight="1">
      <c r="A295" s="1320"/>
      <c r="B295" s="1320"/>
      <c r="C295" s="1323"/>
      <c r="D295" s="1323"/>
      <c r="E295" s="1323"/>
      <c r="F295" s="1323"/>
      <c r="G295" s="1323"/>
    </row>
    <row r="296" spans="1:7" ht="12" customHeight="1">
      <c r="A296" s="1320"/>
      <c r="B296" s="1320"/>
      <c r="C296" s="1323"/>
      <c r="D296" s="1323"/>
      <c r="E296" s="1323"/>
      <c r="F296" s="1323"/>
      <c r="G296" s="1323"/>
    </row>
    <row r="297" spans="1:7" ht="12" customHeight="1">
      <c r="A297" s="1320"/>
      <c r="B297" s="1320"/>
      <c r="C297" s="1323"/>
      <c r="D297" s="1323"/>
      <c r="E297" s="1323"/>
      <c r="F297" s="1323"/>
      <c r="G297" s="1323"/>
    </row>
    <row r="298" spans="1:7" ht="12" customHeight="1">
      <c r="A298" s="1320"/>
      <c r="B298" s="1320"/>
      <c r="C298" s="1323"/>
      <c r="D298" s="1323"/>
      <c r="E298" s="1323"/>
      <c r="F298" s="1323"/>
      <c r="G298" s="1323"/>
    </row>
    <row r="299" spans="1:7" ht="12" customHeight="1">
      <c r="A299" s="1320"/>
      <c r="B299" s="1320"/>
      <c r="C299" s="1323"/>
      <c r="D299" s="1323"/>
      <c r="E299" s="1323"/>
      <c r="F299" s="1323"/>
      <c r="G299" s="1323"/>
    </row>
    <row r="300" spans="1:7" ht="12" customHeight="1">
      <c r="A300" s="1320"/>
      <c r="B300" s="1320"/>
      <c r="C300" s="1323"/>
      <c r="D300" s="1323"/>
      <c r="E300" s="1323"/>
      <c r="F300" s="1323"/>
      <c r="G300" s="1323"/>
    </row>
    <row r="301" spans="1:7" ht="12" customHeight="1">
      <c r="A301" s="1320"/>
      <c r="B301" s="1320"/>
      <c r="C301" s="1323"/>
      <c r="D301" s="1323"/>
      <c r="E301" s="1323"/>
      <c r="F301" s="1323"/>
      <c r="G301" s="1323"/>
    </row>
    <row r="302" spans="1:7" ht="12" customHeight="1">
      <c r="A302" s="1320"/>
      <c r="B302" s="1320"/>
      <c r="C302" s="1323"/>
      <c r="D302" s="1323"/>
      <c r="E302" s="1323"/>
      <c r="F302" s="1323"/>
      <c r="G302" s="1323"/>
    </row>
    <row r="303" spans="1:7" ht="12" customHeight="1">
      <c r="A303" s="1320"/>
      <c r="B303" s="1320"/>
      <c r="C303" s="1323"/>
      <c r="D303" s="1323"/>
      <c r="E303" s="1323"/>
      <c r="F303" s="1323"/>
      <c r="G303" s="1323"/>
    </row>
    <row r="304" spans="1:7" ht="12" customHeight="1">
      <c r="A304" s="1320"/>
      <c r="B304" s="1320"/>
      <c r="C304" s="1323"/>
      <c r="D304" s="1323"/>
      <c r="E304" s="1323"/>
      <c r="F304" s="1323"/>
      <c r="G304" s="1323"/>
    </row>
    <row r="305" spans="1:7" ht="12" customHeight="1">
      <c r="A305" s="1320"/>
      <c r="B305" s="1320"/>
      <c r="C305" s="1323"/>
      <c r="D305" s="1323"/>
      <c r="E305" s="1323"/>
      <c r="F305" s="1323"/>
      <c r="G305" s="1323"/>
    </row>
    <row r="306" spans="1:7" ht="12" customHeight="1">
      <c r="A306" s="1320"/>
      <c r="B306" s="1320"/>
      <c r="C306" s="1323"/>
      <c r="D306" s="1323"/>
      <c r="E306" s="1323"/>
      <c r="F306" s="1323"/>
      <c r="G306" s="1323"/>
    </row>
    <row r="307" spans="1:7" ht="12" customHeight="1">
      <c r="A307" s="1320"/>
      <c r="B307" s="1320"/>
      <c r="C307" s="1323"/>
      <c r="D307" s="1323"/>
      <c r="E307" s="1323"/>
      <c r="F307" s="1323"/>
      <c r="G307" s="1323"/>
    </row>
    <row r="308" spans="1:7" ht="12" customHeight="1">
      <c r="A308" s="1320"/>
      <c r="B308" s="1320"/>
      <c r="C308" s="1323"/>
      <c r="D308" s="1323"/>
      <c r="E308" s="1323"/>
      <c r="F308" s="1323"/>
      <c r="G308" s="1323"/>
    </row>
    <row r="309" spans="1:7" ht="12" customHeight="1">
      <c r="A309" s="1320"/>
      <c r="B309" s="1320"/>
      <c r="C309" s="1323"/>
      <c r="D309" s="1323"/>
      <c r="E309" s="1323"/>
      <c r="F309" s="1323"/>
      <c r="G309" s="1323"/>
    </row>
    <row r="310" spans="1:7" ht="12" customHeight="1">
      <c r="A310" s="1320"/>
      <c r="B310" s="1320"/>
      <c r="C310" s="1323"/>
      <c r="D310" s="1323"/>
      <c r="E310" s="1323"/>
      <c r="F310" s="1323"/>
      <c r="G310" s="1323"/>
    </row>
    <row r="311" spans="1:7" ht="12" customHeight="1">
      <c r="A311" s="1320"/>
      <c r="B311" s="1320"/>
      <c r="C311" s="1323"/>
      <c r="D311" s="1323"/>
      <c r="E311" s="1323"/>
      <c r="F311" s="1323"/>
      <c r="G311" s="1323"/>
    </row>
    <row r="312" spans="1:7" ht="12" customHeight="1">
      <c r="A312" s="1320"/>
      <c r="B312" s="1320"/>
      <c r="C312" s="1323"/>
      <c r="D312" s="1323"/>
      <c r="E312" s="1323"/>
      <c r="F312" s="1323"/>
      <c r="G312" s="1323"/>
    </row>
    <row r="313" spans="1:7" ht="12" customHeight="1">
      <c r="A313" s="1320"/>
      <c r="B313" s="1320"/>
      <c r="C313" s="1323"/>
      <c r="D313" s="1323"/>
      <c r="E313" s="1323"/>
      <c r="F313" s="1323"/>
      <c r="G313" s="1323"/>
    </row>
    <row r="314" spans="1:7" ht="12" customHeight="1">
      <c r="A314" s="1320"/>
      <c r="B314" s="1320"/>
      <c r="C314" s="1323"/>
      <c r="D314" s="1323"/>
      <c r="E314" s="1323"/>
      <c r="F314" s="1323"/>
      <c r="G314" s="1323"/>
    </row>
    <row r="315" spans="1:7" ht="12" customHeight="1">
      <c r="A315" s="1320"/>
      <c r="B315" s="1320"/>
      <c r="C315" s="1323"/>
      <c r="D315" s="1323"/>
      <c r="E315" s="1323"/>
      <c r="F315" s="1323"/>
      <c r="G315" s="1323"/>
    </row>
    <row r="316" spans="1:7" ht="12" customHeight="1">
      <c r="A316" s="1320"/>
      <c r="B316" s="1320"/>
      <c r="C316" s="1323"/>
      <c r="D316" s="1323"/>
      <c r="E316" s="1323"/>
      <c r="F316" s="1323"/>
      <c r="G316" s="1323"/>
    </row>
  </sheetData>
  <sheetProtection algorithmName="SHA-512" hashValue="PSC9IFouXnemA2vyrrx0c2gTLKZ43dcViRaO5/3VnvImfOuWAc0Y/gDL/jIe7Kl6yFM70rRmugqpt0HH7sWlIA==" saltValue="80BNsq9DvsLNTvSHZbcPEg==" spinCount="100000" sheet="1" objects="1" scenarios="1"/>
  <phoneticPr fontId="10" type="noConversion"/>
  <dataValidations count="3">
    <dataValidation type="whole" operator="greaterThanOrEqual" showInputMessage="1" showErrorMessage="1" errorTitle="Invalid Data Entry " error="Please enter a positive number or press the delete key or enter zero." sqref="C150:E150 C152:E162 C165:E178 C136:E136 C42:E46 C49:E58 C73:E81 C87:E92 C94:E98 C84:E85 C62:E63 C39:E40 C10:D10 E14:E16 C101:E111 C20:E20 C22:E22 C138:E148 C14:C18 D14:D16 D18">
      <formula1>0</formula1>
    </dataValidation>
    <dataValidation type="whole" operator="greaterThanOrEqual" showInputMessage="1" showErrorMessage="1" errorTitle="Invalid Data Entry" error="Please enter a positive number or press the delete key or enter a zero." sqref="C114:E115 C117:E125">
      <formula1>0</formula1>
    </dataValidation>
    <dataValidation operator="greaterThanOrEqual" errorTitle="Invalid Data Entry " error="Please enter a positive number or press the delete key or enter zero." sqref="E17"/>
  </dataValidations>
  <hyperlinks>
    <hyperlink ref="G1" location="Contents!F1" display="Return to Contents page"/>
  </hyperlinks>
  <printOptions horizontalCentered="1"/>
  <pageMargins left="0.5" right="0.25" top="0.75" bottom="0.75" header="0.5" footer="0.5"/>
  <pageSetup scale="95" fitToHeight="3" orientation="portrait" blackAndWhite="1" r:id="rId1"/>
  <headerFooter alignWithMargins="0">
    <oddFooter>&amp;L&amp;D     &amp;T &amp;CCode No. 13&amp;RPage &amp;P</oddFooter>
  </headerFooter>
  <rowBreaks count="2" manualBreakCount="2">
    <brk id="63" max="4" man="1"/>
    <brk id="184" max="65535"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4" tint="0.39997558519241921"/>
  </sheetPr>
  <dimension ref="A1:Q209"/>
  <sheetViews>
    <sheetView zoomScaleNormal="100" workbookViewId="0">
      <selection activeCell="C9" sqref="C9"/>
    </sheetView>
  </sheetViews>
  <sheetFormatPr defaultColWidth="10.7109375" defaultRowHeight="12" customHeight="1"/>
  <cols>
    <col min="1" max="1" width="45" style="787" customWidth="1"/>
    <col min="2" max="2" width="4.85546875" style="833" customWidth="1"/>
    <col min="3" max="3" width="15.42578125" style="782" customWidth="1"/>
    <col min="4" max="4" width="15.5703125" style="782" customWidth="1"/>
    <col min="5" max="5" width="15.42578125" style="782" customWidth="1"/>
    <col min="6" max="6" width="2.28515625" style="782" customWidth="1"/>
    <col min="7" max="7" width="21.28515625" style="782" customWidth="1"/>
    <col min="8" max="16384" width="10.7109375" style="782"/>
  </cols>
  <sheetData>
    <row r="1" spans="1:17" ht="12" customHeight="1">
      <c r="A1" s="778"/>
      <c r="B1" s="779" t="s">
        <v>1019</v>
      </c>
      <c r="C1" s="780">
        <f>OPEN!$B$4</f>
        <v>270</v>
      </c>
      <c r="D1" s="778"/>
      <c r="E1" s="781" t="s">
        <v>1020</v>
      </c>
      <c r="F1" s="778"/>
      <c r="G1" s="3013" t="s">
        <v>866</v>
      </c>
    </row>
    <row r="2" spans="1:17" ht="12" customHeight="1">
      <c r="A2" s="778"/>
      <c r="B2" s="779"/>
      <c r="C2" s="778"/>
      <c r="D2" s="778"/>
      <c r="E2" s="781" t="s">
        <v>1212</v>
      </c>
      <c r="F2" s="778"/>
    </row>
    <row r="3" spans="1:17" ht="12" customHeight="1">
      <c r="A3" s="778"/>
      <c r="B3" s="779"/>
      <c r="C3" s="778"/>
      <c r="D3" s="778"/>
      <c r="E3" s="781" t="str">
        <f>OPEN!N2</f>
        <v>2016-2017</v>
      </c>
      <c r="F3" s="778"/>
    </row>
    <row r="4" spans="1:17" ht="5.0999999999999996" customHeight="1">
      <c r="A4" s="778"/>
      <c r="B4" s="779"/>
      <c r="C4" s="778"/>
      <c r="D4" s="778"/>
      <c r="E4" s="778"/>
      <c r="F4" s="778"/>
    </row>
    <row r="5" spans="1:17" ht="12" customHeight="1">
      <c r="A5" s="778"/>
      <c r="B5" s="779"/>
      <c r="C5" s="783" t="s">
        <v>1213</v>
      </c>
      <c r="D5" s="783" t="s">
        <v>1213</v>
      </c>
      <c r="E5" s="783" t="s">
        <v>1213</v>
      </c>
      <c r="F5" s="778"/>
    </row>
    <row r="6" spans="1:17" ht="12" customHeight="1">
      <c r="A6" s="784" t="s">
        <v>94</v>
      </c>
      <c r="B6" s="785" t="s">
        <v>1045</v>
      </c>
      <c r="C6" s="786" t="str">
        <f>OPEN!N4</f>
        <v>2014-2015</v>
      </c>
      <c r="D6" s="786" t="str">
        <f>OPEN!O4</f>
        <v>2015-2016</v>
      </c>
      <c r="E6" s="786" t="str">
        <f>OPEN!P4</f>
        <v>2016-2017</v>
      </c>
      <c r="F6" s="778"/>
      <c r="K6" s="787"/>
      <c r="L6" s="787"/>
      <c r="M6" s="787"/>
      <c r="N6" s="788"/>
      <c r="O6" s="787"/>
      <c r="P6" s="787"/>
      <c r="Q6" s="787"/>
    </row>
    <row r="7" spans="1:17" ht="12" customHeight="1">
      <c r="A7" s="783"/>
      <c r="B7" s="789">
        <v>14</v>
      </c>
      <c r="C7" s="790" t="s">
        <v>1139</v>
      </c>
      <c r="D7" s="790" t="s">
        <v>1139</v>
      </c>
      <c r="E7" s="790" t="s">
        <v>1215</v>
      </c>
      <c r="F7" s="778"/>
      <c r="N7" s="787"/>
      <c r="O7" s="791"/>
      <c r="P7" s="791"/>
      <c r="Q7" s="791"/>
    </row>
    <row r="8" spans="1:17" ht="12" customHeight="1">
      <c r="A8" s="792"/>
      <c r="B8" s="793" t="s">
        <v>1051</v>
      </c>
      <c r="C8" s="794">
        <v>1</v>
      </c>
      <c r="D8" s="794">
        <v>2</v>
      </c>
      <c r="E8" s="794">
        <v>3</v>
      </c>
      <c r="F8" s="778"/>
      <c r="N8" s="787"/>
      <c r="O8" s="791"/>
      <c r="P8" s="791"/>
      <c r="Q8" s="791"/>
    </row>
    <row r="9" spans="1:17" ht="12" customHeight="1">
      <c r="A9" s="2927" t="s">
        <v>1402</v>
      </c>
      <c r="B9" s="2928">
        <v>1</v>
      </c>
      <c r="C9" s="3258"/>
      <c r="D9" s="3112">
        <f>C24</f>
        <v>0</v>
      </c>
      <c r="E9" s="3032">
        <f>D24</f>
        <v>0</v>
      </c>
      <c r="F9" s="778"/>
      <c r="N9" s="787"/>
      <c r="O9" s="791"/>
      <c r="P9" s="791"/>
      <c r="Q9" s="791"/>
    </row>
    <row r="10" spans="1:17" ht="12" customHeight="1">
      <c r="A10" s="795" t="s">
        <v>73</v>
      </c>
      <c r="B10" s="796">
        <v>3</v>
      </c>
      <c r="C10" s="818"/>
      <c r="D10" s="798"/>
      <c r="E10" s="815"/>
      <c r="F10" s="778"/>
      <c r="N10" s="787"/>
      <c r="O10" s="791"/>
      <c r="P10" s="791"/>
      <c r="Q10" s="791"/>
    </row>
    <row r="11" spans="1:17" ht="12" customHeight="1">
      <c r="A11" s="795" t="s">
        <v>19</v>
      </c>
      <c r="B11" s="799"/>
      <c r="C11" s="816"/>
      <c r="D11" s="800"/>
      <c r="E11" s="816"/>
      <c r="F11" s="778"/>
      <c r="N11" s="787"/>
      <c r="O11" s="791"/>
      <c r="P11" s="791"/>
      <c r="Q11" s="791"/>
    </row>
    <row r="12" spans="1:17" ht="12" customHeight="1">
      <c r="A12" s="801" t="s">
        <v>20</v>
      </c>
      <c r="B12" s="799"/>
      <c r="C12" s="816"/>
      <c r="D12" s="800"/>
      <c r="E12" s="816"/>
      <c r="F12" s="778"/>
      <c r="N12" s="787"/>
      <c r="O12" s="802"/>
      <c r="P12" s="802"/>
      <c r="Q12" s="802"/>
    </row>
    <row r="13" spans="1:17" ht="12" customHeight="1">
      <c r="A13" s="803" t="s">
        <v>95</v>
      </c>
      <c r="B13" s="804">
        <v>5</v>
      </c>
      <c r="C13" s="817"/>
      <c r="D13" s="4990" t="s">
        <v>1189</v>
      </c>
      <c r="E13" s="4177" t="s">
        <v>1431</v>
      </c>
      <c r="F13" s="805"/>
      <c r="N13" s="787"/>
      <c r="O13" s="791"/>
      <c r="P13" s="791"/>
      <c r="Q13" s="791"/>
    </row>
    <row r="14" spans="1:17" ht="12" customHeight="1">
      <c r="A14" s="806" t="s">
        <v>25</v>
      </c>
      <c r="B14" s="796">
        <v>15</v>
      </c>
      <c r="C14" s="818"/>
      <c r="D14" s="797"/>
      <c r="E14" s="817"/>
      <c r="F14" s="805"/>
      <c r="N14" s="787"/>
      <c r="O14" s="787"/>
      <c r="P14" s="787"/>
      <c r="Q14" s="787"/>
    </row>
    <row r="15" spans="1:17" ht="12" customHeight="1">
      <c r="A15" s="795" t="s">
        <v>46</v>
      </c>
      <c r="B15" s="807"/>
      <c r="C15" s="815"/>
      <c r="D15" s="800"/>
      <c r="E15" s="816"/>
      <c r="F15" s="805"/>
      <c r="N15" s="788"/>
      <c r="O15" s="787"/>
      <c r="P15" s="787"/>
      <c r="Q15" s="787"/>
    </row>
    <row r="16" spans="1:17" ht="12" customHeight="1">
      <c r="A16" s="803" t="s">
        <v>96</v>
      </c>
      <c r="B16" s="804">
        <v>35</v>
      </c>
      <c r="C16" s="817"/>
      <c r="D16" s="798"/>
      <c r="E16" s="817"/>
      <c r="F16" s="805"/>
      <c r="N16" s="787"/>
      <c r="O16" s="809"/>
      <c r="P16" s="809"/>
      <c r="Q16" s="809"/>
    </row>
    <row r="17" spans="1:17" ht="12" customHeight="1">
      <c r="A17" s="3508" t="s">
        <v>1536</v>
      </c>
      <c r="B17" s="2580">
        <v>40</v>
      </c>
      <c r="C17" s="2857"/>
      <c r="D17" s="2858"/>
      <c r="E17" s="2857"/>
      <c r="F17" s="805"/>
      <c r="N17" s="787"/>
      <c r="O17" s="809"/>
      <c r="P17" s="809"/>
      <c r="Q17" s="809"/>
    </row>
    <row r="18" spans="1:17" ht="12" customHeight="1">
      <c r="A18" s="795" t="s">
        <v>48</v>
      </c>
      <c r="B18" s="807"/>
      <c r="C18" s="815"/>
      <c r="D18" s="808"/>
      <c r="E18" s="815"/>
      <c r="F18" s="805"/>
      <c r="N18" s="787"/>
      <c r="O18" s="809"/>
      <c r="P18" s="809"/>
      <c r="Q18" s="809"/>
    </row>
    <row r="19" spans="1:17" ht="12" customHeight="1">
      <c r="A19" s="803" t="s">
        <v>49</v>
      </c>
      <c r="B19" s="804">
        <v>45</v>
      </c>
      <c r="C19" s="2474">
        <f>'C06'!C339</f>
        <v>0</v>
      </c>
      <c r="D19" s="810">
        <f>'C06'!D339</f>
        <v>0</v>
      </c>
      <c r="E19" s="2474">
        <f>'C06'!E339</f>
        <v>0</v>
      </c>
      <c r="F19" s="805"/>
      <c r="N19" s="787"/>
      <c r="O19" s="809"/>
      <c r="P19" s="809"/>
      <c r="Q19" s="809"/>
    </row>
    <row r="20" spans="1:17" ht="12" customHeight="1">
      <c r="A20" s="806" t="s">
        <v>97</v>
      </c>
      <c r="B20" s="796">
        <v>50</v>
      </c>
      <c r="C20" s="2475">
        <f>'C08'!$C$309</f>
        <v>0</v>
      </c>
      <c r="D20" s="811">
        <f>'C08'!$D$309</f>
        <v>0</v>
      </c>
      <c r="E20" s="2475">
        <f>'C08'!$E$309</f>
        <v>0</v>
      </c>
      <c r="F20" s="805"/>
      <c r="N20" s="787"/>
      <c r="O20" s="809"/>
      <c r="P20" s="809"/>
      <c r="Q20" s="809"/>
    </row>
    <row r="21" spans="1:17" ht="12" customHeight="1">
      <c r="A21" s="806" t="s">
        <v>50</v>
      </c>
      <c r="B21" s="796">
        <v>55</v>
      </c>
      <c r="C21" s="2474">
        <f>'C053'!C263</f>
        <v>0</v>
      </c>
      <c r="D21" s="810">
        <f>'C053'!D263</f>
        <v>0</v>
      </c>
      <c r="E21" s="2476" t="s">
        <v>1189</v>
      </c>
      <c r="F21" s="805"/>
      <c r="G21" s="4065"/>
      <c r="N21" s="787"/>
      <c r="O21" s="787"/>
      <c r="P21" s="787"/>
      <c r="Q21" s="787"/>
    </row>
    <row r="22" spans="1:17" ht="12" customHeight="1">
      <c r="A22" s="812" t="s">
        <v>1245</v>
      </c>
      <c r="B22" s="813">
        <v>170</v>
      </c>
      <c r="C22" s="2474">
        <f>SUM(C9:C21)</f>
        <v>0</v>
      </c>
      <c r="D22" s="810">
        <f>SUM(D9:D21)</f>
        <v>0</v>
      </c>
      <c r="E22" s="2474">
        <f>SUM(E9:E21)</f>
        <v>0</v>
      </c>
      <c r="F22" s="805"/>
      <c r="G22" s="3336"/>
      <c r="N22" s="787"/>
      <c r="O22" s="809"/>
      <c r="P22" s="809"/>
      <c r="Q22" s="809"/>
    </row>
    <row r="23" spans="1:17" ht="12" customHeight="1">
      <c r="A23" s="814" t="s">
        <v>53</v>
      </c>
      <c r="B23" s="796">
        <v>175</v>
      </c>
      <c r="C23" s="2475">
        <f>C180</f>
        <v>0</v>
      </c>
      <c r="D23" s="811">
        <f>D180</f>
        <v>0</v>
      </c>
      <c r="E23" s="2475">
        <f>IF(E180&lt;=E22,E180,"ERROR")</f>
        <v>0</v>
      </c>
      <c r="F23" s="805"/>
      <c r="G23" s="3589" t="str">
        <f>IF(E23="ERROR","Expenditures must be less than or equal to Resources Available","")</f>
        <v/>
      </c>
    </row>
    <row r="24" spans="1:17" ht="12" customHeight="1">
      <c r="A24" s="814" t="s">
        <v>1250</v>
      </c>
      <c r="B24" s="2929">
        <v>190</v>
      </c>
      <c r="C24" s="2475">
        <f>C22-C23</f>
        <v>0</v>
      </c>
      <c r="D24" s="2475">
        <f>D22-D23</f>
        <v>0</v>
      </c>
      <c r="E24" s="2838">
        <f>IF(ISERROR(E22-E23),"Negative",E22-E23)</f>
        <v>0</v>
      </c>
      <c r="F24" s="805"/>
      <c r="G24" s="3588"/>
    </row>
    <row r="25" spans="1:17" ht="13.5" customHeight="1">
      <c r="A25" s="3492"/>
      <c r="B25" s="3493"/>
      <c r="C25" s="3494"/>
      <c r="D25" s="3494"/>
      <c r="E25" s="3495"/>
      <c r="F25" s="805"/>
      <c r="G25" s="2583"/>
    </row>
    <row r="26" spans="1:17" ht="14.25" customHeight="1">
      <c r="A26"/>
      <c r="B26"/>
      <c r="C26"/>
      <c r="D26"/>
      <c r="E26"/>
      <c r="F26" s="805"/>
      <c r="G26" s="2583"/>
    </row>
    <row r="27" spans="1:17" s="787" customFormat="1" ht="13.5" customHeight="1">
      <c r="A27" s="778"/>
      <c r="B27" s="779"/>
      <c r="C27" s="778"/>
      <c r="D27" s="778"/>
      <c r="E27" s="778"/>
      <c r="F27" s="778"/>
    </row>
    <row r="28" spans="1:17" ht="12" customHeight="1">
      <c r="A28" s="778"/>
      <c r="B28" s="779"/>
      <c r="C28" s="783" t="s">
        <v>1213</v>
      </c>
      <c r="D28" s="783" t="s">
        <v>1213</v>
      </c>
      <c r="E28" s="783" t="s">
        <v>1213</v>
      </c>
      <c r="F28" s="805"/>
    </row>
    <row r="29" spans="1:17" ht="12" customHeight="1">
      <c r="A29" s="784" t="s">
        <v>94</v>
      </c>
      <c r="B29" s="785" t="s">
        <v>1045</v>
      </c>
      <c r="C29" s="786" t="str">
        <f>C6</f>
        <v>2014-2015</v>
      </c>
      <c r="D29" s="786" t="str">
        <f>D6</f>
        <v>2015-2016</v>
      </c>
      <c r="E29" s="786" t="str">
        <f>E6</f>
        <v>2016-2017</v>
      </c>
      <c r="F29" s="805"/>
    </row>
    <row r="30" spans="1:17" ht="12" customHeight="1">
      <c r="A30" s="784" t="s">
        <v>81</v>
      </c>
      <c r="B30" s="789">
        <v>14</v>
      </c>
      <c r="C30" s="790" t="s">
        <v>1139</v>
      </c>
      <c r="D30" s="790" t="s">
        <v>1139</v>
      </c>
      <c r="E30" s="790" t="s">
        <v>1215</v>
      </c>
      <c r="F30" s="805"/>
    </row>
    <row r="31" spans="1:17" ht="12" customHeight="1">
      <c r="A31" s="792"/>
      <c r="B31" s="793" t="s">
        <v>1051</v>
      </c>
      <c r="C31" s="794">
        <v>1</v>
      </c>
      <c r="D31" s="794">
        <v>2</v>
      </c>
      <c r="E31" s="794">
        <v>3</v>
      </c>
      <c r="F31" s="805"/>
    </row>
    <row r="32" spans="1:17" ht="12" customHeight="1">
      <c r="A32" s="795" t="s">
        <v>82</v>
      </c>
      <c r="B32" s="807"/>
      <c r="C32" s="815"/>
      <c r="D32" s="808"/>
      <c r="E32" s="815"/>
      <c r="F32" s="805"/>
    </row>
    <row r="33" spans="1:6" ht="12" customHeight="1">
      <c r="A33" s="801" t="s">
        <v>1309</v>
      </c>
      <c r="B33" s="799"/>
      <c r="C33" s="816"/>
      <c r="D33" s="800"/>
      <c r="E33" s="816"/>
      <c r="F33" s="805"/>
    </row>
    <row r="34" spans="1:6" ht="12" customHeight="1">
      <c r="A34" s="803" t="s">
        <v>1347</v>
      </c>
      <c r="B34" s="804">
        <v>210</v>
      </c>
      <c r="C34" s="817"/>
      <c r="D34" s="798"/>
      <c r="E34" s="817"/>
      <c r="F34" s="805"/>
    </row>
    <row r="35" spans="1:6" ht="12" customHeight="1">
      <c r="A35" s="806" t="s">
        <v>1270</v>
      </c>
      <c r="B35" s="796">
        <v>215</v>
      </c>
      <c r="C35" s="818"/>
      <c r="D35" s="797"/>
      <c r="E35" s="818"/>
      <c r="F35" s="805"/>
    </row>
    <row r="36" spans="1:6" ht="12" customHeight="1">
      <c r="A36" s="795" t="s">
        <v>1310</v>
      </c>
      <c r="B36" s="807"/>
      <c r="C36" s="815"/>
      <c r="D36" s="808"/>
      <c r="E36" s="815"/>
      <c r="F36" s="805"/>
    </row>
    <row r="37" spans="1:6" ht="12" customHeight="1">
      <c r="A37" s="803" t="s">
        <v>1311</v>
      </c>
      <c r="B37" s="804">
        <v>220</v>
      </c>
      <c r="C37" s="817"/>
      <c r="D37" s="798"/>
      <c r="E37" s="817"/>
      <c r="F37" s="805"/>
    </row>
    <row r="38" spans="1:6" ht="12" customHeight="1">
      <c r="A38" s="806" t="s">
        <v>1314</v>
      </c>
      <c r="B38" s="796">
        <v>225</v>
      </c>
      <c r="C38" s="818"/>
      <c r="D38" s="797"/>
      <c r="E38" s="818"/>
      <c r="F38" s="805"/>
    </row>
    <row r="39" spans="1:6" ht="12" customHeight="1">
      <c r="A39" s="806" t="s">
        <v>1315</v>
      </c>
      <c r="B39" s="796">
        <v>230</v>
      </c>
      <c r="C39" s="818"/>
      <c r="D39" s="797"/>
      <c r="E39" s="818"/>
      <c r="F39" s="805"/>
    </row>
    <row r="40" spans="1:6" ht="12" customHeight="1">
      <c r="A40" s="795" t="s">
        <v>98</v>
      </c>
      <c r="B40" s="807">
        <v>235</v>
      </c>
      <c r="C40" s="2477"/>
      <c r="D40" s="819"/>
      <c r="E40" s="2477"/>
      <c r="F40" s="805"/>
    </row>
    <row r="41" spans="1:6" ht="12" customHeight="1">
      <c r="A41" s="2930" t="s">
        <v>711</v>
      </c>
      <c r="B41" s="2931">
        <v>237</v>
      </c>
      <c r="C41" s="2477"/>
      <c r="D41" s="819"/>
      <c r="E41" s="2477"/>
      <c r="F41" s="805"/>
    </row>
    <row r="42" spans="1:6" ht="12" customHeight="1">
      <c r="A42" s="795" t="s">
        <v>1327</v>
      </c>
      <c r="B42" s="807"/>
      <c r="C42" s="815"/>
      <c r="D42" s="808"/>
      <c r="E42" s="815"/>
      <c r="F42" s="805"/>
    </row>
    <row r="43" spans="1:6" ht="12" customHeight="1">
      <c r="A43" s="801" t="s">
        <v>83</v>
      </c>
      <c r="B43" s="799"/>
      <c r="C43" s="816"/>
      <c r="D43" s="800"/>
      <c r="E43" s="816"/>
      <c r="F43" s="805"/>
    </row>
    <row r="44" spans="1:6" ht="12" customHeight="1">
      <c r="A44" s="803" t="s">
        <v>99</v>
      </c>
      <c r="B44" s="804">
        <v>240</v>
      </c>
      <c r="C44" s="817"/>
      <c r="D44" s="798"/>
      <c r="E44" s="817"/>
      <c r="F44" s="805"/>
    </row>
    <row r="45" spans="1:6" ht="12" customHeight="1">
      <c r="A45" s="803" t="s">
        <v>100</v>
      </c>
      <c r="B45" s="804">
        <v>245</v>
      </c>
      <c r="C45" s="817"/>
      <c r="D45" s="798"/>
      <c r="E45" s="817"/>
      <c r="F45" s="805"/>
    </row>
    <row r="46" spans="1:6" ht="12" customHeight="1">
      <c r="A46" s="806" t="s">
        <v>101</v>
      </c>
      <c r="B46" s="796">
        <v>250</v>
      </c>
      <c r="C46" s="818"/>
      <c r="D46" s="797"/>
      <c r="E46" s="818"/>
      <c r="F46" s="805"/>
    </row>
    <row r="47" spans="1:6" ht="12" customHeight="1">
      <c r="A47" s="803" t="s">
        <v>1336</v>
      </c>
      <c r="B47" s="804">
        <v>255</v>
      </c>
      <c r="C47" s="817"/>
      <c r="D47" s="798"/>
      <c r="E47" s="817"/>
      <c r="F47" s="805"/>
    </row>
    <row r="48" spans="1:6" ht="12" customHeight="1">
      <c r="A48" s="795" t="s">
        <v>1337</v>
      </c>
      <c r="B48" s="807"/>
      <c r="C48" s="815"/>
      <c r="D48" s="808"/>
      <c r="E48" s="815"/>
      <c r="F48" s="805"/>
    </row>
    <row r="49" spans="1:6" ht="12" customHeight="1">
      <c r="A49" s="803" t="s">
        <v>84</v>
      </c>
      <c r="B49" s="804">
        <v>260</v>
      </c>
      <c r="C49" s="817"/>
      <c r="D49" s="798"/>
      <c r="E49" s="817"/>
      <c r="F49" s="805"/>
    </row>
    <row r="50" spans="1:6" ht="12" customHeight="1">
      <c r="A50" s="806" t="s">
        <v>87</v>
      </c>
      <c r="B50" s="796">
        <v>265</v>
      </c>
      <c r="C50" s="818"/>
      <c r="D50" s="797"/>
      <c r="E50" s="818"/>
      <c r="F50" s="805"/>
    </row>
    <row r="51" spans="1:6" ht="12" customHeight="1">
      <c r="A51" s="814" t="s">
        <v>1256</v>
      </c>
      <c r="B51" s="2932">
        <v>267</v>
      </c>
      <c r="C51" s="818"/>
      <c r="D51" s="797"/>
      <c r="E51" s="818"/>
      <c r="F51" s="805"/>
    </row>
    <row r="52" spans="1:6" ht="12" customHeight="1">
      <c r="A52" s="806" t="s">
        <v>1344</v>
      </c>
      <c r="B52" s="796">
        <v>270</v>
      </c>
      <c r="C52" s="818"/>
      <c r="D52" s="797"/>
      <c r="E52" s="818"/>
      <c r="F52" s="805"/>
    </row>
    <row r="53" spans="1:6" ht="12" customHeight="1">
      <c r="A53" s="806" t="s">
        <v>1345</v>
      </c>
      <c r="B53" s="796">
        <v>275</v>
      </c>
      <c r="C53" s="818"/>
      <c r="D53" s="797"/>
      <c r="E53" s="818"/>
      <c r="F53" s="805"/>
    </row>
    <row r="54" spans="1:6" ht="12" customHeight="1">
      <c r="A54" s="806" t="s">
        <v>1346</v>
      </c>
      <c r="B54" s="796">
        <v>280</v>
      </c>
      <c r="C54" s="818"/>
      <c r="D54" s="797"/>
      <c r="E54" s="818"/>
      <c r="F54" s="805"/>
    </row>
    <row r="55" spans="1:6" ht="12" customHeight="1">
      <c r="A55" s="795" t="s">
        <v>88</v>
      </c>
      <c r="B55" s="807"/>
      <c r="C55" s="815"/>
      <c r="D55" s="808"/>
      <c r="E55" s="815"/>
      <c r="F55" s="805"/>
    </row>
    <row r="56" spans="1:6" ht="12" customHeight="1">
      <c r="A56" s="801" t="s">
        <v>89</v>
      </c>
      <c r="B56" s="799"/>
      <c r="C56" s="816"/>
      <c r="D56" s="800"/>
      <c r="E56" s="816"/>
      <c r="F56" s="805"/>
    </row>
    <row r="57" spans="1:6" ht="12" customHeight="1">
      <c r="A57" s="801" t="s">
        <v>1309</v>
      </c>
      <c r="B57" s="799"/>
      <c r="C57" s="816"/>
      <c r="D57" s="800"/>
      <c r="E57" s="816"/>
      <c r="F57" s="805"/>
    </row>
    <row r="58" spans="1:6" ht="12" customHeight="1">
      <c r="A58" s="803" t="s">
        <v>1347</v>
      </c>
      <c r="B58" s="804">
        <v>285</v>
      </c>
      <c r="C58" s="817"/>
      <c r="D58" s="798"/>
      <c r="E58" s="817"/>
      <c r="F58" s="805"/>
    </row>
    <row r="59" spans="1:6" ht="12" customHeight="1">
      <c r="A59" s="803" t="s">
        <v>1270</v>
      </c>
      <c r="B59" s="804">
        <v>290</v>
      </c>
      <c r="C59" s="817"/>
      <c r="D59" s="798"/>
      <c r="E59" s="817"/>
      <c r="F59" s="805"/>
    </row>
    <row r="60" spans="1:6" ht="12" customHeight="1">
      <c r="A60" s="795" t="s">
        <v>1310</v>
      </c>
      <c r="B60" s="807"/>
      <c r="C60" s="815"/>
      <c r="D60" s="808"/>
      <c r="E60" s="815"/>
      <c r="F60" s="805"/>
    </row>
    <row r="61" spans="1:6" ht="12" customHeight="1">
      <c r="A61" s="803" t="s">
        <v>1311</v>
      </c>
      <c r="B61" s="804">
        <v>295</v>
      </c>
      <c r="C61" s="817"/>
      <c r="D61" s="798"/>
      <c r="E61" s="817"/>
      <c r="F61" s="805"/>
    </row>
    <row r="62" spans="1:6" ht="12" customHeight="1">
      <c r="A62" s="795" t="s">
        <v>1314</v>
      </c>
      <c r="B62" s="807">
        <v>300</v>
      </c>
      <c r="C62" s="2477"/>
      <c r="D62" s="819"/>
      <c r="E62" s="2477"/>
      <c r="F62" s="805"/>
    </row>
    <row r="63" spans="1:6" ht="12" customHeight="1">
      <c r="A63" s="806" t="s">
        <v>1315</v>
      </c>
      <c r="B63" s="796">
        <v>305</v>
      </c>
      <c r="C63" s="818"/>
      <c r="D63" s="797"/>
      <c r="E63" s="818"/>
      <c r="F63" s="805"/>
    </row>
    <row r="64" spans="1:6" s="787" customFormat="1" ht="5.0999999999999996" customHeight="1">
      <c r="A64" s="778"/>
      <c r="B64" s="820"/>
      <c r="C64" s="823"/>
      <c r="D64" s="823"/>
      <c r="E64" s="823"/>
      <c r="F64" s="832"/>
    </row>
    <row r="65" spans="1:6" s="787" customFormat="1" ht="12" customHeight="1">
      <c r="A65" s="820"/>
      <c r="B65" s="820"/>
      <c r="C65" s="823"/>
      <c r="D65" s="823"/>
      <c r="E65" s="823"/>
      <c r="F65" s="832"/>
    </row>
    <row r="66" spans="1:6" s="787" customFormat="1" ht="5.0999999999999996" customHeight="1">
      <c r="A66" s="820"/>
      <c r="B66" s="820"/>
      <c r="C66" s="823"/>
      <c r="D66" s="823"/>
      <c r="E66" s="823"/>
      <c r="F66" s="832"/>
    </row>
    <row r="67" spans="1:6" ht="12" customHeight="1">
      <c r="A67" s="778"/>
      <c r="B67" s="779" t="s">
        <v>1019</v>
      </c>
      <c r="C67" s="780">
        <f>C1</f>
        <v>270</v>
      </c>
      <c r="D67" s="778"/>
      <c r="E67" s="781" t="s">
        <v>1020</v>
      </c>
      <c r="F67" s="805"/>
    </row>
    <row r="68" spans="1:6" ht="12" customHeight="1">
      <c r="A68" s="778"/>
      <c r="B68" s="779"/>
      <c r="C68" s="778"/>
      <c r="D68" s="778"/>
      <c r="E68" s="781" t="s">
        <v>1212</v>
      </c>
      <c r="F68" s="805"/>
    </row>
    <row r="69" spans="1:6" ht="12" customHeight="1">
      <c r="A69" s="778"/>
      <c r="B69" s="779"/>
      <c r="C69" s="778"/>
      <c r="D69" s="778"/>
      <c r="E69" s="781" t="str">
        <f>E3</f>
        <v>2016-2017</v>
      </c>
      <c r="F69" s="805"/>
    </row>
    <row r="70" spans="1:6" ht="12" customHeight="1">
      <c r="A70" s="778"/>
      <c r="B70" s="779"/>
      <c r="C70" s="778"/>
      <c r="D70" s="778"/>
      <c r="E70" s="778"/>
      <c r="F70" s="805"/>
    </row>
    <row r="71" spans="1:6" ht="12" customHeight="1">
      <c r="A71" s="778"/>
      <c r="B71" s="779"/>
      <c r="C71" s="783" t="s">
        <v>1213</v>
      </c>
      <c r="D71" s="783" t="s">
        <v>1213</v>
      </c>
      <c r="E71" s="783" t="s">
        <v>1213</v>
      </c>
      <c r="F71" s="805"/>
    </row>
    <row r="72" spans="1:6" ht="12" customHeight="1">
      <c r="A72" s="784" t="s">
        <v>94</v>
      </c>
      <c r="B72" s="785" t="s">
        <v>1045</v>
      </c>
      <c r="C72" s="786" t="str">
        <f>C6</f>
        <v>2014-2015</v>
      </c>
      <c r="D72" s="786" t="str">
        <f>D6</f>
        <v>2015-2016</v>
      </c>
      <c r="E72" s="786" t="str">
        <f>E6</f>
        <v>2016-2017</v>
      </c>
      <c r="F72" s="805"/>
    </row>
    <row r="73" spans="1:6" ht="12" customHeight="1">
      <c r="A73" s="784" t="s">
        <v>81</v>
      </c>
      <c r="B73" s="789">
        <v>14</v>
      </c>
      <c r="C73" s="790" t="s">
        <v>1139</v>
      </c>
      <c r="D73" s="790" t="s">
        <v>1139</v>
      </c>
      <c r="E73" s="790" t="s">
        <v>1215</v>
      </c>
      <c r="F73" s="805"/>
    </row>
    <row r="74" spans="1:6" ht="12" customHeight="1">
      <c r="A74" s="792"/>
      <c r="B74" s="793" t="s">
        <v>1051</v>
      </c>
      <c r="C74" s="794">
        <v>1</v>
      </c>
      <c r="D74" s="794">
        <v>2</v>
      </c>
      <c r="E74" s="794">
        <v>3</v>
      </c>
      <c r="F74" s="805"/>
    </row>
    <row r="75" spans="1:6" ht="12" customHeight="1">
      <c r="A75" s="803" t="s">
        <v>273</v>
      </c>
      <c r="B75" s="804">
        <v>310</v>
      </c>
      <c r="C75" s="817"/>
      <c r="D75" s="798"/>
      <c r="E75" s="817"/>
      <c r="F75" s="805"/>
    </row>
    <row r="76" spans="1:6" ht="12" customHeight="1">
      <c r="A76" s="2933" t="s">
        <v>711</v>
      </c>
      <c r="B76" s="2934">
        <v>313</v>
      </c>
      <c r="C76" s="2857"/>
      <c r="D76" s="2858"/>
      <c r="E76" s="2857"/>
      <c r="F76" s="805"/>
    </row>
    <row r="77" spans="1:6" ht="12" customHeight="1">
      <c r="A77" s="795" t="s">
        <v>1327</v>
      </c>
      <c r="B77" s="807">
        <v>315</v>
      </c>
      <c r="C77" s="2477"/>
      <c r="D77" s="819"/>
      <c r="E77" s="2477"/>
      <c r="F77" s="805"/>
    </row>
    <row r="78" spans="1:6" ht="12" customHeight="1">
      <c r="A78" s="806" t="s">
        <v>1337</v>
      </c>
      <c r="B78" s="796">
        <v>320</v>
      </c>
      <c r="C78" s="818"/>
      <c r="D78" s="797"/>
      <c r="E78" s="818"/>
      <c r="F78" s="805"/>
    </row>
    <row r="79" spans="1:6" ht="12" customHeight="1">
      <c r="A79" s="806" t="s">
        <v>1345</v>
      </c>
      <c r="B79" s="796">
        <v>325</v>
      </c>
      <c r="C79" s="818"/>
      <c r="D79" s="797"/>
      <c r="E79" s="818"/>
      <c r="F79" s="805"/>
    </row>
    <row r="80" spans="1:6" ht="12" customHeight="1">
      <c r="A80" s="795" t="s">
        <v>1346</v>
      </c>
      <c r="B80" s="807">
        <v>330</v>
      </c>
      <c r="C80" s="2477"/>
      <c r="D80" s="819"/>
      <c r="E80" s="2477"/>
      <c r="F80" s="805"/>
    </row>
    <row r="81" spans="1:6" ht="12" customHeight="1">
      <c r="A81" s="795" t="s">
        <v>90</v>
      </c>
      <c r="B81" s="807"/>
      <c r="C81" s="815"/>
      <c r="D81" s="808"/>
      <c r="E81" s="815"/>
      <c r="F81" s="805"/>
    </row>
    <row r="82" spans="1:6" ht="12" customHeight="1">
      <c r="A82" s="801" t="s">
        <v>1309</v>
      </c>
      <c r="B82" s="799"/>
      <c r="C82" s="816"/>
      <c r="D82" s="800"/>
      <c r="E82" s="816"/>
      <c r="F82" s="805"/>
    </row>
    <row r="83" spans="1:6" ht="12" customHeight="1">
      <c r="A83" s="803" t="s">
        <v>1347</v>
      </c>
      <c r="B83" s="804">
        <v>335</v>
      </c>
      <c r="C83" s="817"/>
      <c r="D83" s="798"/>
      <c r="E83" s="817"/>
      <c r="F83" s="805"/>
    </row>
    <row r="84" spans="1:6" ht="12" customHeight="1">
      <c r="A84" s="806" t="s">
        <v>1270</v>
      </c>
      <c r="B84" s="796">
        <v>340</v>
      </c>
      <c r="C84" s="818"/>
      <c r="D84" s="797"/>
      <c r="E84" s="818"/>
      <c r="F84" s="805"/>
    </row>
    <row r="85" spans="1:6" ht="12" customHeight="1">
      <c r="A85" s="795" t="s">
        <v>1310</v>
      </c>
      <c r="B85" s="807"/>
      <c r="C85" s="815"/>
      <c r="D85" s="808"/>
      <c r="E85" s="815"/>
      <c r="F85" s="805"/>
    </row>
    <row r="86" spans="1:6" ht="12" customHeight="1">
      <c r="A86" s="803" t="s">
        <v>1311</v>
      </c>
      <c r="B86" s="804">
        <v>345</v>
      </c>
      <c r="C86" s="817"/>
      <c r="D86" s="798"/>
      <c r="E86" s="817"/>
      <c r="F86" s="805"/>
    </row>
    <row r="87" spans="1:6" ht="12" customHeight="1">
      <c r="A87" s="806" t="s">
        <v>1314</v>
      </c>
      <c r="B87" s="796">
        <v>350</v>
      </c>
      <c r="C87" s="818"/>
      <c r="D87" s="797"/>
      <c r="E87" s="818"/>
      <c r="F87" s="805"/>
    </row>
    <row r="88" spans="1:6" ht="12" customHeight="1">
      <c r="A88" s="806" t="s">
        <v>1315</v>
      </c>
      <c r="B88" s="796">
        <v>355</v>
      </c>
      <c r="C88" s="818"/>
      <c r="D88" s="797"/>
      <c r="E88" s="818"/>
      <c r="F88" s="805"/>
    </row>
    <row r="89" spans="1:6" ht="12" customHeight="1">
      <c r="A89" s="803" t="s">
        <v>911</v>
      </c>
      <c r="B89" s="804">
        <v>360</v>
      </c>
      <c r="C89" s="817"/>
      <c r="D89" s="798"/>
      <c r="E89" s="817"/>
      <c r="F89" s="805"/>
    </row>
    <row r="90" spans="1:6" ht="12" customHeight="1">
      <c r="A90" s="2935" t="s">
        <v>711</v>
      </c>
      <c r="B90" s="2928">
        <v>363</v>
      </c>
      <c r="C90" s="817"/>
      <c r="D90" s="798"/>
      <c r="E90" s="817"/>
      <c r="F90" s="805"/>
    </row>
    <row r="91" spans="1:6" ht="12" customHeight="1">
      <c r="A91" s="806" t="s">
        <v>1327</v>
      </c>
      <c r="B91" s="796">
        <v>365</v>
      </c>
      <c r="C91" s="818"/>
      <c r="D91" s="797"/>
      <c r="E91" s="818"/>
      <c r="F91" s="805"/>
    </row>
    <row r="92" spans="1:6" ht="12" customHeight="1">
      <c r="A92" s="795" t="s">
        <v>1337</v>
      </c>
      <c r="B92" s="807"/>
      <c r="C92" s="815"/>
      <c r="D92" s="808"/>
      <c r="E92" s="815"/>
      <c r="F92" s="805"/>
    </row>
    <row r="93" spans="1:6" ht="12" customHeight="1">
      <c r="A93" s="801" t="s">
        <v>85</v>
      </c>
      <c r="B93" s="799"/>
      <c r="C93" s="816"/>
      <c r="D93" s="800"/>
      <c r="E93" s="816"/>
      <c r="F93" s="805"/>
    </row>
    <row r="94" spans="1:6" ht="12" customHeight="1">
      <c r="A94" s="803" t="s">
        <v>86</v>
      </c>
      <c r="B94" s="804">
        <v>370</v>
      </c>
      <c r="C94" s="817"/>
      <c r="D94" s="798"/>
      <c r="E94" s="817"/>
      <c r="F94" s="805"/>
    </row>
    <row r="95" spans="1:6" ht="12" customHeight="1">
      <c r="A95" s="803" t="s">
        <v>796</v>
      </c>
      <c r="B95" s="804">
        <v>375</v>
      </c>
      <c r="C95" s="817"/>
      <c r="D95" s="798"/>
      <c r="E95" s="817"/>
      <c r="F95" s="805"/>
    </row>
    <row r="96" spans="1:6" ht="12" customHeight="1">
      <c r="A96" s="795" t="s">
        <v>1344</v>
      </c>
      <c r="B96" s="807">
        <v>380</v>
      </c>
      <c r="C96" s="2477"/>
      <c r="D96" s="819"/>
      <c r="E96" s="2477"/>
      <c r="F96" s="805"/>
    </row>
    <row r="97" spans="1:6" ht="12" customHeight="1">
      <c r="A97" s="806" t="s">
        <v>1345</v>
      </c>
      <c r="B97" s="796">
        <v>385</v>
      </c>
      <c r="C97" s="818"/>
      <c r="D97" s="797"/>
      <c r="E97" s="818"/>
      <c r="F97" s="805"/>
    </row>
    <row r="98" spans="1:6" ht="12" customHeight="1">
      <c r="A98" s="795" t="s">
        <v>1346</v>
      </c>
      <c r="B98" s="807">
        <v>390</v>
      </c>
      <c r="C98" s="2477"/>
      <c r="D98" s="819"/>
      <c r="E98" s="2477"/>
      <c r="F98" s="805"/>
    </row>
    <row r="99" spans="1:6" ht="12" customHeight="1">
      <c r="A99" s="795" t="s">
        <v>102</v>
      </c>
      <c r="B99" s="807"/>
      <c r="C99" s="815"/>
      <c r="D99" s="808"/>
      <c r="E99" s="815"/>
      <c r="F99" s="805"/>
    </row>
    <row r="100" spans="1:6" ht="12" customHeight="1">
      <c r="A100" s="801" t="s">
        <v>1309</v>
      </c>
      <c r="B100" s="799"/>
      <c r="C100" s="816"/>
      <c r="D100" s="800"/>
      <c r="E100" s="816"/>
      <c r="F100" s="805"/>
    </row>
    <row r="101" spans="1:6" ht="12" customHeight="1">
      <c r="A101" s="803" t="s">
        <v>1347</v>
      </c>
      <c r="B101" s="804">
        <v>395</v>
      </c>
      <c r="C101" s="817"/>
      <c r="D101" s="798"/>
      <c r="E101" s="817"/>
      <c r="F101" s="805"/>
    </row>
    <row r="102" spans="1:6" ht="12" customHeight="1">
      <c r="A102" s="806" t="s">
        <v>1270</v>
      </c>
      <c r="B102" s="796">
        <v>400</v>
      </c>
      <c r="C102" s="818"/>
      <c r="D102" s="797"/>
      <c r="E102" s="818"/>
      <c r="F102" s="805"/>
    </row>
    <row r="103" spans="1:6" ht="12" customHeight="1">
      <c r="A103" s="795" t="s">
        <v>1310</v>
      </c>
      <c r="B103" s="807"/>
      <c r="C103" s="815"/>
      <c r="D103" s="808"/>
      <c r="E103" s="815"/>
      <c r="F103" s="805"/>
    </row>
    <row r="104" spans="1:6" ht="12" customHeight="1">
      <c r="A104" s="803" t="s">
        <v>1311</v>
      </c>
      <c r="B104" s="804">
        <v>405</v>
      </c>
      <c r="C104" s="817"/>
      <c r="D104" s="798"/>
      <c r="E104" s="817"/>
      <c r="F104" s="805"/>
    </row>
    <row r="105" spans="1:6" ht="12" customHeight="1">
      <c r="A105" s="803" t="s">
        <v>1314</v>
      </c>
      <c r="B105" s="804">
        <v>410</v>
      </c>
      <c r="C105" s="817"/>
      <c r="D105" s="798"/>
      <c r="E105" s="817"/>
      <c r="F105" s="805"/>
    </row>
    <row r="106" spans="1:6" ht="12" customHeight="1">
      <c r="A106" s="806" t="s">
        <v>1315</v>
      </c>
      <c r="B106" s="796">
        <v>415</v>
      </c>
      <c r="C106" s="818"/>
      <c r="D106" s="797"/>
      <c r="E106" s="818"/>
      <c r="F106" s="805"/>
    </row>
    <row r="107" spans="1:6" ht="12" customHeight="1">
      <c r="A107" s="803" t="s">
        <v>273</v>
      </c>
      <c r="B107" s="804">
        <v>420</v>
      </c>
      <c r="C107" s="817"/>
      <c r="D107" s="798"/>
      <c r="E107" s="817"/>
      <c r="F107" s="805"/>
    </row>
    <row r="108" spans="1:6" ht="12" customHeight="1">
      <c r="A108" s="806" t="s">
        <v>1327</v>
      </c>
      <c r="B108" s="796">
        <v>425</v>
      </c>
      <c r="C108" s="818"/>
      <c r="D108" s="797"/>
      <c r="E108" s="818"/>
      <c r="F108" s="805"/>
    </row>
    <row r="109" spans="1:6" ht="12" customHeight="1">
      <c r="A109" s="806" t="s">
        <v>1337</v>
      </c>
      <c r="B109" s="796">
        <v>430</v>
      </c>
      <c r="C109" s="818"/>
      <c r="D109" s="797"/>
      <c r="E109" s="818"/>
      <c r="F109" s="805"/>
    </row>
    <row r="110" spans="1:6" ht="12" customHeight="1">
      <c r="A110" s="806" t="s">
        <v>1345</v>
      </c>
      <c r="B110" s="796">
        <v>435</v>
      </c>
      <c r="C110" s="818"/>
      <c r="D110" s="797"/>
      <c r="E110" s="818"/>
      <c r="F110" s="805"/>
    </row>
    <row r="111" spans="1:6" ht="12" customHeight="1">
      <c r="A111" s="806" t="s">
        <v>1346</v>
      </c>
      <c r="B111" s="796">
        <v>440</v>
      </c>
      <c r="C111" s="818"/>
      <c r="D111" s="797"/>
      <c r="E111" s="818"/>
      <c r="F111" s="805"/>
    </row>
    <row r="112" spans="1:6" ht="12" customHeight="1">
      <c r="A112" s="375" t="s">
        <v>1745</v>
      </c>
      <c r="B112" s="379"/>
      <c r="C112" s="3852"/>
      <c r="D112" s="3851"/>
      <c r="E112" s="3854"/>
      <c r="F112" s="805"/>
    </row>
    <row r="113" spans="1:6" ht="12" customHeight="1">
      <c r="A113" s="378" t="s">
        <v>1544</v>
      </c>
      <c r="B113" s="379"/>
      <c r="C113" s="3853"/>
      <c r="D113" s="2635"/>
      <c r="E113" s="3854"/>
      <c r="F113" s="805"/>
    </row>
    <row r="114" spans="1:6" ht="12" customHeight="1">
      <c r="A114" s="381" t="s">
        <v>1746</v>
      </c>
      <c r="B114" s="2903">
        <v>540</v>
      </c>
      <c r="C114" s="3959"/>
      <c r="D114" s="3951"/>
      <c r="E114" s="3958"/>
      <c r="F114" s="805"/>
    </row>
    <row r="115" spans="1:6" ht="12" customHeight="1">
      <c r="A115" s="384" t="s">
        <v>1732</v>
      </c>
      <c r="B115" s="2902">
        <v>545</v>
      </c>
      <c r="C115" s="3954"/>
      <c r="D115" s="3954"/>
      <c r="E115" s="3960"/>
      <c r="F115" s="805"/>
    </row>
    <row r="116" spans="1:6" ht="12" customHeight="1">
      <c r="A116" s="378" t="s">
        <v>944</v>
      </c>
      <c r="B116" s="2900"/>
      <c r="C116" s="3961"/>
      <c r="D116" s="3955"/>
      <c r="E116" s="3962"/>
      <c r="F116" s="805"/>
    </row>
    <row r="117" spans="1:6" ht="12" customHeight="1">
      <c r="A117" s="381" t="s">
        <v>1748</v>
      </c>
      <c r="B117" s="2900">
        <v>550</v>
      </c>
      <c r="C117" s="3959"/>
      <c r="D117" s="3951"/>
      <c r="E117" s="3963"/>
      <c r="F117" s="805"/>
    </row>
    <row r="118" spans="1:6" ht="12" customHeight="1">
      <c r="A118" s="384" t="s">
        <v>1747</v>
      </c>
      <c r="B118" s="2902">
        <v>555</v>
      </c>
      <c r="C118" s="3954"/>
      <c r="D118" s="3954"/>
      <c r="E118" s="3960"/>
      <c r="F118" s="805"/>
    </row>
    <row r="119" spans="1:6" ht="12" customHeight="1">
      <c r="A119" s="384" t="s">
        <v>1749</v>
      </c>
      <c r="B119" s="2902">
        <v>560</v>
      </c>
      <c r="C119" s="3954"/>
      <c r="D119" s="3954"/>
      <c r="E119" s="3960"/>
      <c r="F119" s="805"/>
    </row>
    <row r="120" spans="1:6" ht="12" customHeight="1">
      <c r="A120" s="384" t="s">
        <v>1439</v>
      </c>
      <c r="B120" s="2902">
        <v>565</v>
      </c>
      <c r="C120" s="3954"/>
      <c r="D120" s="3954"/>
      <c r="E120" s="3960"/>
      <c r="F120" s="805"/>
    </row>
    <row r="121" spans="1:6" ht="12" customHeight="1">
      <c r="A121" s="384" t="s">
        <v>711</v>
      </c>
      <c r="B121" s="2902">
        <v>570</v>
      </c>
      <c r="C121" s="3954"/>
      <c r="D121" s="3954"/>
      <c r="E121" s="3960"/>
      <c r="F121" s="805"/>
    </row>
    <row r="122" spans="1:6" ht="12" customHeight="1">
      <c r="A122" s="384" t="s">
        <v>683</v>
      </c>
      <c r="B122" s="2902">
        <v>575</v>
      </c>
      <c r="C122" s="3954"/>
      <c r="D122" s="3954"/>
      <c r="E122" s="3960"/>
      <c r="F122" s="805"/>
    </row>
    <row r="123" spans="1:6" ht="12" customHeight="1">
      <c r="A123" s="384" t="s">
        <v>1738</v>
      </c>
      <c r="B123" s="2902">
        <v>580</v>
      </c>
      <c r="C123" s="3954"/>
      <c r="D123" s="3954"/>
      <c r="E123" s="3960"/>
      <c r="F123" s="805"/>
    </row>
    <row r="124" spans="1:6" ht="12" customHeight="1">
      <c r="A124" s="384" t="s">
        <v>1739</v>
      </c>
      <c r="B124" s="2902">
        <v>585</v>
      </c>
      <c r="C124" s="3954"/>
      <c r="D124" s="3954"/>
      <c r="E124" s="3960"/>
      <c r="F124" s="805"/>
    </row>
    <row r="125" spans="1:6" ht="12" customHeight="1">
      <c r="A125" s="384" t="s">
        <v>943</v>
      </c>
      <c r="B125" s="2902">
        <v>590</v>
      </c>
      <c r="C125" s="3964"/>
      <c r="D125" s="3954"/>
      <c r="E125" s="3960"/>
      <c r="F125" s="805"/>
    </row>
    <row r="126" spans="1:6" ht="12" customHeight="1">
      <c r="A126" s="778"/>
      <c r="B126" s="779" t="s">
        <v>1019</v>
      </c>
      <c r="C126" s="780">
        <f>C1</f>
        <v>270</v>
      </c>
      <c r="D126" s="778"/>
      <c r="E126" s="781" t="s">
        <v>1020</v>
      </c>
      <c r="F126" s="805"/>
    </row>
    <row r="127" spans="1:6" ht="12" customHeight="1">
      <c r="A127" s="778"/>
      <c r="B127" s="779"/>
      <c r="C127" s="778"/>
      <c r="D127" s="778"/>
      <c r="E127" s="781" t="s">
        <v>1212</v>
      </c>
      <c r="F127" s="805"/>
    </row>
    <row r="128" spans="1:6" ht="12" customHeight="1">
      <c r="A128" s="778"/>
      <c r="B128" s="779"/>
      <c r="C128" s="778"/>
      <c r="D128" s="778"/>
      <c r="E128" s="781" t="str">
        <f>E3</f>
        <v>2016-2017</v>
      </c>
      <c r="F128" s="805"/>
    </row>
    <row r="129" spans="1:6" ht="12" customHeight="1">
      <c r="A129" s="778"/>
      <c r="B129" s="779"/>
      <c r="C129" s="778"/>
      <c r="D129" s="778"/>
      <c r="E129" s="778"/>
      <c r="F129" s="805"/>
    </row>
    <row r="130" spans="1:6" ht="12" customHeight="1">
      <c r="A130" s="778"/>
      <c r="B130" s="779"/>
      <c r="C130" s="783" t="s">
        <v>1213</v>
      </c>
      <c r="D130" s="783" t="s">
        <v>1213</v>
      </c>
      <c r="E130" s="783" t="s">
        <v>1213</v>
      </c>
      <c r="F130" s="805"/>
    </row>
    <row r="131" spans="1:6" ht="12" customHeight="1">
      <c r="A131" s="784" t="s">
        <v>94</v>
      </c>
      <c r="B131" s="785" t="s">
        <v>1045</v>
      </c>
      <c r="C131" s="786" t="str">
        <f>C6</f>
        <v>2014-2015</v>
      </c>
      <c r="D131" s="786" t="str">
        <f t="shared" ref="D131:E131" si="0">D6</f>
        <v>2015-2016</v>
      </c>
      <c r="E131" s="786" t="str">
        <f t="shared" si="0"/>
        <v>2016-2017</v>
      </c>
      <c r="F131" s="805"/>
    </row>
    <row r="132" spans="1:6" ht="12" customHeight="1">
      <c r="A132" s="784" t="s">
        <v>81</v>
      </c>
      <c r="B132" s="789">
        <v>14</v>
      </c>
      <c r="C132" s="790" t="s">
        <v>1139</v>
      </c>
      <c r="D132" s="790" t="s">
        <v>1139</v>
      </c>
      <c r="E132" s="790" t="s">
        <v>1215</v>
      </c>
      <c r="F132" s="805"/>
    </row>
    <row r="133" spans="1:6" ht="12" customHeight="1">
      <c r="A133" s="792"/>
      <c r="B133" s="793" t="s">
        <v>1051</v>
      </c>
      <c r="C133" s="794">
        <v>1</v>
      </c>
      <c r="D133" s="794">
        <v>2</v>
      </c>
      <c r="E133" s="794">
        <v>3</v>
      </c>
      <c r="F133" s="805"/>
    </row>
    <row r="134" spans="1:6" ht="12" customHeight="1">
      <c r="A134" s="795" t="s">
        <v>1308</v>
      </c>
      <c r="B134" s="807"/>
      <c r="C134" s="815"/>
      <c r="D134" s="808"/>
      <c r="E134" s="815"/>
      <c r="F134" s="805"/>
    </row>
    <row r="135" spans="1:6" ht="12" customHeight="1">
      <c r="A135" s="801" t="s">
        <v>1309</v>
      </c>
      <c r="B135" s="799"/>
      <c r="C135" s="816"/>
      <c r="D135" s="800"/>
      <c r="E135" s="816"/>
      <c r="F135" s="805"/>
    </row>
    <row r="136" spans="1:6" ht="12" customHeight="1">
      <c r="A136" s="803" t="s">
        <v>1270</v>
      </c>
      <c r="B136" s="804">
        <v>445</v>
      </c>
      <c r="C136" s="817"/>
      <c r="D136" s="798"/>
      <c r="E136" s="817"/>
      <c r="F136" s="805"/>
    </row>
    <row r="137" spans="1:6" ht="12" customHeight="1">
      <c r="A137" s="795" t="s">
        <v>1310</v>
      </c>
      <c r="B137" s="807"/>
      <c r="C137" s="815"/>
      <c r="D137" s="808"/>
      <c r="E137" s="815"/>
      <c r="F137" s="805"/>
    </row>
    <row r="138" spans="1:6" ht="12" customHeight="1">
      <c r="A138" s="803" t="s">
        <v>1311</v>
      </c>
      <c r="B138" s="804">
        <v>450</v>
      </c>
      <c r="C138" s="817"/>
      <c r="D138" s="798"/>
      <c r="E138" s="817"/>
      <c r="F138" s="805"/>
    </row>
    <row r="139" spans="1:6" ht="12" customHeight="1">
      <c r="A139" s="806" t="s">
        <v>1314</v>
      </c>
      <c r="B139" s="796">
        <v>455</v>
      </c>
      <c r="C139" s="818"/>
      <c r="D139" s="797"/>
      <c r="E139" s="818"/>
      <c r="F139" s="805"/>
    </row>
    <row r="140" spans="1:6" ht="12" customHeight="1">
      <c r="A140" s="795" t="s">
        <v>1315</v>
      </c>
      <c r="B140" s="807">
        <v>460</v>
      </c>
      <c r="C140" s="2477"/>
      <c r="D140" s="819"/>
      <c r="E140" s="2477"/>
      <c r="F140" s="805"/>
    </row>
    <row r="141" spans="1:6" ht="12" customHeight="1">
      <c r="A141" s="795" t="s">
        <v>1316</v>
      </c>
      <c r="B141" s="807"/>
      <c r="C141" s="815"/>
      <c r="D141" s="808"/>
      <c r="E141" s="815"/>
      <c r="F141" s="805"/>
    </row>
    <row r="142" spans="1:6" ht="12" customHeight="1">
      <c r="A142" s="803" t="s">
        <v>1317</v>
      </c>
      <c r="B142" s="804">
        <v>465</v>
      </c>
      <c r="C142" s="817"/>
      <c r="D142" s="798"/>
      <c r="E142" s="817"/>
      <c r="F142" s="805"/>
    </row>
    <row r="143" spans="1:6" ht="12" customHeight="1">
      <c r="A143" s="824" t="s">
        <v>1318</v>
      </c>
      <c r="B143" s="825"/>
      <c r="C143" s="815"/>
      <c r="D143" s="808"/>
      <c r="E143" s="815"/>
      <c r="F143" s="805"/>
    </row>
    <row r="144" spans="1:6" ht="12" customHeight="1">
      <c r="A144" s="826" t="s">
        <v>1319</v>
      </c>
      <c r="B144" s="827">
        <v>470</v>
      </c>
      <c r="C144" s="817"/>
      <c r="D144" s="798"/>
      <c r="E144" s="817"/>
      <c r="F144" s="805"/>
    </row>
    <row r="145" spans="1:6" ht="12" customHeight="1">
      <c r="A145" s="828" t="s">
        <v>1320</v>
      </c>
      <c r="B145" s="829">
        <v>475</v>
      </c>
      <c r="C145" s="818"/>
      <c r="D145" s="797"/>
      <c r="E145" s="818"/>
      <c r="F145" s="805"/>
    </row>
    <row r="146" spans="1:6" ht="12" customHeight="1">
      <c r="A146" s="828" t="s">
        <v>1321</v>
      </c>
      <c r="B146" s="829">
        <v>480</v>
      </c>
      <c r="C146" s="818"/>
      <c r="D146" s="797"/>
      <c r="E146" s="818"/>
      <c r="F146" s="805"/>
    </row>
    <row r="147" spans="1:6" ht="12" customHeight="1">
      <c r="A147" s="828" t="s">
        <v>1322</v>
      </c>
      <c r="B147" s="829">
        <v>485</v>
      </c>
      <c r="C147" s="818"/>
      <c r="D147" s="797"/>
      <c r="E147" s="818"/>
      <c r="F147" s="805"/>
    </row>
    <row r="148" spans="1:6" ht="12" customHeight="1">
      <c r="A148" s="828" t="s">
        <v>1326</v>
      </c>
      <c r="B148" s="829">
        <v>490</v>
      </c>
      <c r="C148" s="818"/>
      <c r="D148" s="797"/>
      <c r="E148" s="818"/>
      <c r="F148" s="805"/>
    </row>
    <row r="149" spans="1:6" ht="12" customHeight="1">
      <c r="A149" s="828" t="s">
        <v>1327</v>
      </c>
      <c r="B149" s="829">
        <v>495</v>
      </c>
      <c r="C149" s="818"/>
      <c r="D149" s="797"/>
      <c r="E149" s="818"/>
      <c r="F149" s="805"/>
    </row>
    <row r="150" spans="1:6" ht="12" customHeight="1">
      <c r="A150" s="824" t="s">
        <v>1337</v>
      </c>
      <c r="B150" s="825"/>
      <c r="C150" s="815"/>
      <c r="D150" s="808"/>
      <c r="E150" s="815"/>
      <c r="F150" s="805"/>
    </row>
    <row r="151" spans="1:6" ht="12" customHeight="1">
      <c r="A151" s="826" t="s">
        <v>1338</v>
      </c>
      <c r="B151" s="827">
        <v>500</v>
      </c>
      <c r="C151" s="817"/>
      <c r="D151" s="798"/>
      <c r="E151" s="817"/>
      <c r="F151" s="805"/>
    </row>
    <row r="152" spans="1:6" ht="12" customHeight="1">
      <c r="A152" s="824" t="s">
        <v>1339</v>
      </c>
      <c r="B152" s="825"/>
      <c r="C152" s="815"/>
      <c r="D152" s="808"/>
      <c r="E152" s="815"/>
      <c r="F152" s="805"/>
    </row>
    <row r="153" spans="1:6" ht="12" customHeight="1">
      <c r="A153" s="826" t="s">
        <v>1340</v>
      </c>
      <c r="B153" s="827">
        <v>505</v>
      </c>
      <c r="C153" s="817"/>
      <c r="D153" s="798"/>
      <c r="E153" s="817"/>
      <c r="F153" s="805"/>
    </row>
    <row r="154" spans="1:6" ht="12" customHeight="1">
      <c r="A154" s="828" t="s">
        <v>1341</v>
      </c>
      <c r="B154" s="829">
        <v>510</v>
      </c>
      <c r="C154" s="818"/>
      <c r="D154" s="797"/>
      <c r="E154" s="818"/>
      <c r="F154" s="805"/>
    </row>
    <row r="155" spans="1:6" ht="12" customHeight="1">
      <c r="A155" s="828" t="s">
        <v>103</v>
      </c>
      <c r="B155" s="829">
        <v>515</v>
      </c>
      <c r="C155" s="818"/>
      <c r="D155" s="797"/>
      <c r="E155" s="818"/>
      <c r="F155" s="822"/>
    </row>
    <row r="156" spans="1:6" ht="12" customHeight="1">
      <c r="A156" s="828" t="s">
        <v>1343</v>
      </c>
      <c r="B156" s="829">
        <v>520</v>
      </c>
      <c r="C156" s="818"/>
      <c r="D156" s="797"/>
      <c r="E156" s="818"/>
      <c r="F156" s="822"/>
    </row>
    <row r="157" spans="1:6" ht="12" customHeight="1">
      <c r="A157" s="828" t="s">
        <v>1344</v>
      </c>
      <c r="B157" s="829">
        <v>525</v>
      </c>
      <c r="C157" s="818"/>
      <c r="D157" s="797"/>
      <c r="E157" s="818"/>
      <c r="F157" s="805"/>
    </row>
    <row r="158" spans="1:6" ht="12" customHeight="1">
      <c r="A158" s="828" t="s">
        <v>1345</v>
      </c>
      <c r="B158" s="829">
        <v>530</v>
      </c>
      <c r="C158" s="818"/>
      <c r="D158" s="797"/>
      <c r="E158" s="818"/>
      <c r="F158" s="805"/>
    </row>
    <row r="159" spans="1:6" ht="12" customHeight="1">
      <c r="A159" s="824" t="s">
        <v>1346</v>
      </c>
      <c r="B159" s="825">
        <v>535</v>
      </c>
      <c r="C159" s="2477"/>
      <c r="D159" s="819"/>
      <c r="E159" s="2477"/>
      <c r="F159" s="805"/>
    </row>
    <row r="160" spans="1:6" ht="12" customHeight="1">
      <c r="A160" s="824" t="s">
        <v>1385</v>
      </c>
      <c r="B160" s="825"/>
      <c r="C160" s="3069"/>
      <c r="D160" s="3068"/>
      <c r="E160" s="3068"/>
      <c r="F160" s="805"/>
    </row>
    <row r="161" spans="1:6" ht="12" customHeight="1">
      <c r="A161" s="826" t="s">
        <v>945</v>
      </c>
      <c r="B161" s="827">
        <v>536</v>
      </c>
      <c r="C161" s="3070"/>
      <c r="D161" s="817"/>
      <c r="E161" s="817"/>
      <c r="F161" s="805"/>
    </row>
    <row r="162" spans="1:6" ht="12" customHeight="1">
      <c r="A162" s="830" t="s">
        <v>944</v>
      </c>
      <c r="B162" s="831">
        <v>537</v>
      </c>
      <c r="C162" s="2857"/>
      <c r="D162" s="2858"/>
      <c r="E162" s="2857"/>
      <c r="F162" s="805"/>
    </row>
    <row r="163" spans="1:6" ht="12" customHeight="1">
      <c r="A163" s="824" t="s">
        <v>1346</v>
      </c>
      <c r="B163" s="825">
        <v>538</v>
      </c>
      <c r="C163" s="2477"/>
      <c r="D163" s="819"/>
      <c r="E163" s="2477"/>
      <c r="F163" s="805"/>
    </row>
    <row r="164" spans="1:6" ht="12" customHeight="1">
      <c r="A164" s="824" t="s">
        <v>1751</v>
      </c>
      <c r="B164" s="825"/>
      <c r="C164" s="815"/>
      <c r="D164" s="808"/>
      <c r="E164" s="815"/>
      <c r="F164" s="805"/>
    </row>
    <row r="165" spans="1:6" ht="12" customHeight="1">
      <c r="A165" s="830" t="s">
        <v>1309</v>
      </c>
      <c r="B165" s="831"/>
      <c r="C165" s="816"/>
      <c r="D165" s="800"/>
      <c r="E165" s="816"/>
      <c r="F165" s="805"/>
    </row>
    <row r="166" spans="1:6" ht="12" customHeight="1">
      <c r="A166" s="826" t="s">
        <v>1347</v>
      </c>
      <c r="B166" s="3979">
        <v>600</v>
      </c>
      <c r="C166" s="3866"/>
      <c r="D166" s="798"/>
      <c r="E166" s="817"/>
      <c r="F166" s="805"/>
    </row>
    <row r="167" spans="1:6" ht="12" customHeight="1">
      <c r="A167" s="828" t="s">
        <v>1270</v>
      </c>
      <c r="B167" s="3980">
        <v>605</v>
      </c>
      <c r="C167" s="3866"/>
      <c r="D167" s="797"/>
      <c r="E167" s="818"/>
      <c r="F167" s="805"/>
    </row>
    <row r="168" spans="1:6" ht="12" customHeight="1">
      <c r="A168" s="824" t="s">
        <v>1310</v>
      </c>
      <c r="B168" s="3981"/>
      <c r="C168" s="3869"/>
      <c r="D168" s="808"/>
      <c r="E168" s="815"/>
      <c r="F168" s="805"/>
    </row>
    <row r="169" spans="1:6" ht="12" customHeight="1">
      <c r="A169" s="826" t="s">
        <v>1348</v>
      </c>
      <c r="B169" s="3979">
        <v>610</v>
      </c>
      <c r="C169" s="3866"/>
      <c r="D169" s="798"/>
      <c r="E169" s="817"/>
      <c r="F169" s="805"/>
    </row>
    <row r="170" spans="1:6" ht="12" customHeight="1">
      <c r="A170" s="828" t="s">
        <v>1314</v>
      </c>
      <c r="B170" s="3980">
        <v>615</v>
      </c>
      <c r="C170" s="3866"/>
      <c r="D170" s="797"/>
      <c r="E170" s="818"/>
      <c r="F170" s="805"/>
    </row>
    <row r="171" spans="1:6" ht="12" customHeight="1">
      <c r="A171" s="828" t="s">
        <v>1315</v>
      </c>
      <c r="B171" s="3980">
        <v>620</v>
      </c>
      <c r="C171" s="3866"/>
      <c r="D171" s="797"/>
      <c r="E171" s="818"/>
      <c r="F171" s="805"/>
    </row>
    <row r="172" spans="1:6" ht="12" customHeight="1">
      <c r="A172" s="826" t="s">
        <v>273</v>
      </c>
      <c r="B172" s="3979">
        <v>625</v>
      </c>
      <c r="C172" s="3866"/>
      <c r="D172" s="798"/>
      <c r="E172" s="817"/>
      <c r="F172" s="805"/>
    </row>
    <row r="173" spans="1:6" ht="12" customHeight="1">
      <c r="A173" s="828" t="s">
        <v>1318</v>
      </c>
      <c r="B173" s="3980">
        <v>630</v>
      </c>
      <c r="C173" s="3866"/>
      <c r="D173" s="797"/>
      <c r="E173" s="818"/>
      <c r="F173" s="805"/>
    </row>
    <row r="174" spans="1:6" ht="12" customHeight="1">
      <c r="A174" s="828" t="s">
        <v>1327</v>
      </c>
      <c r="B174" s="3980">
        <v>635</v>
      </c>
      <c r="C174" s="3866"/>
      <c r="D174" s="797"/>
      <c r="E174" s="818"/>
      <c r="F174" s="805"/>
    </row>
    <row r="175" spans="1:6" ht="12" customHeight="1">
      <c r="A175" s="828" t="s">
        <v>1337</v>
      </c>
      <c r="B175" s="3980">
        <v>640</v>
      </c>
      <c r="C175" s="3866"/>
      <c r="D175" s="797"/>
      <c r="E175" s="818"/>
      <c r="F175" s="805"/>
    </row>
    <row r="176" spans="1:6" ht="12" customHeight="1">
      <c r="A176" s="828" t="s">
        <v>1345</v>
      </c>
      <c r="B176" s="3980">
        <v>645</v>
      </c>
      <c r="C176" s="3866"/>
      <c r="D176" s="797"/>
      <c r="E176" s="818"/>
      <c r="F176" s="805"/>
    </row>
    <row r="177" spans="1:7" ht="12" customHeight="1">
      <c r="A177" s="824" t="s">
        <v>1346</v>
      </c>
      <c r="B177" s="3981">
        <v>650</v>
      </c>
      <c r="C177" s="3866"/>
      <c r="D177" s="819"/>
      <c r="E177" s="2477"/>
      <c r="F177" s="805"/>
    </row>
    <row r="178" spans="1:7" ht="12" customHeight="1">
      <c r="A178" s="3496" t="s">
        <v>1501</v>
      </c>
      <c r="B178" s="825"/>
      <c r="C178" s="3869"/>
      <c r="D178" s="3867"/>
      <c r="E178" s="3068"/>
      <c r="F178" s="805"/>
    </row>
    <row r="179" spans="1:7" ht="12" customHeight="1">
      <c r="A179" s="3497" t="s">
        <v>1503</v>
      </c>
      <c r="B179" s="3551">
        <v>595</v>
      </c>
      <c r="C179" s="3866"/>
      <c r="D179" s="3868"/>
      <c r="E179" s="817"/>
      <c r="F179" s="805"/>
      <c r="G179" s="3588"/>
    </row>
    <row r="180" spans="1:7" ht="12" customHeight="1">
      <c r="A180" s="826" t="s">
        <v>1248</v>
      </c>
      <c r="B180" s="3498" t="s">
        <v>92</v>
      </c>
      <c r="C180" s="2474">
        <f>SUM(C134:C179,C75:C125,C32:C63)</f>
        <v>0</v>
      </c>
      <c r="D180" s="2474">
        <f t="shared" ref="D180:E180" si="1">SUM(D134:D179,D75:D125,D32:D63)</f>
        <v>0</v>
      </c>
      <c r="E180" s="2474">
        <f t="shared" si="1"/>
        <v>0</v>
      </c>
      <c r="F180" s="805"/>
      <c r="G180" s="3588"/>
    </row>
    <row r="181" spans="1:7" s="787" customFormat="1" ht="12" customHeight="1">
      <c r="A181" s="778"/>
      <c r="B181" s="778"/>
      <c r="C181" s="778"/>
      <c r="D181" s="778"/>
      <c r="E181" s="778"/>
      <c r="F181" s="778"/>
    </row>
    <row r="182" spans="1:7" s="787" customFormat="1" ht="12" customHeight="1">
      <c r="A182" s="778"/>
      <c r="B182" s="3057"/>
      <c r="C182" s="778"/>
      <c r="D182" s="778"/>
      <c r="E182" s="778"/>
      <c r="F182" s="778"/>
    </row>
    <row r="183" spans="1:7" s="787" customFormat="1" ht="12" customHeight="1">
      <c r="A183" s="778"/>
      <c r="B183" s="778"/>
      <c r="C183" s="778"/>
      <c r="D183" s="778"/>
      <c r="E183" s="778"/>
      <c r="F183" s="778"/>
    </row>
    <row r="184" spans="1:7" s="787" customFormat="1" ht="12" customHeight="1">
      <c r="A184" s="778"/>
      <c r="B184" s="778"/>
      <c r="C184" s="778"/>
      <c r="D184" s="778"/>
      <c r="E184" s="778"/>
      <c r="F184" s="778"/>
    </row>
    <row r="185" spans="1:7" ht="12" customHeight="1">
      <c r="A185" s="778"/>
      <c r="B185" s="778"/>
      <c r="C185" s="805"/>
      <c r="D185" s="805"/>
      <c r="E185" s="805"/>
      <c r="F185" s="805"/>
    </row>
    <row r="186" spans="1:7" ht="12" customHeight="1">
      <c r="A186" s="778"/>
      <c r="B186" s="779"/>
      <c r="C186" s="805"/>
      <c r="D186" s="805"/>
      <c r="E186" s="805"/>
      <c r="F186" s="805"/>
    </row>
    <row r="187" spans="1:7" ht="12" customHeight="1">
      <c r="A187" s="778"/>
      <c r="B187" s="779"/>
      <c r="C187" s="805"/>
      <c r="D187" s="805"/>
      <c r="E187" s="805"/>
      <c r="F187" s="805"/>
    </row>
    <row r="188" spans="1:7" ht="12" customHeight="1">
      <c r="A188" s="778"/>
      <c r="B188" s="779"/>
      <c r="C188" s="805"/>
      <c r="D188" s="805"/>
      <c r="E188" s="805"/>
      <c r="F188" s="805"/>
    </row>
    <row r="189" spans="1:7" ht="12" customHeight="1">
      <c r="A189" s="820"/>
      <c r="B189" s="820"/>
      <c r="C189" s="821"/>
      <c r="D189" s="821"/>
      <c r="E189" s="821"/>
      <c r="F189" s="822"/>
    </row>
    <row r="190" spans="1:7" ht="12" customHeight="1">
      <c r="A190" s="778"/>
      <c r="B190" s="779"/>
      <c r="C190" s="805"/>
      <c r="D190" s="805"/>
      <c r="E190" s="805"/>
      <c r="F190" s="805"/>
    </row>
    <row r="191" spans="1:7" ht="12" customHeight="1">
      <c r="A191" s="832"/>
      <c r="B191" s="779"/>
      <c r="C191" s="822"/>
      <c r="D191" s="822"/>
      <c r="E191" s="822"/>
      <c r="F191" s="805"/>
    </row>
    <row r="192" spans="1:7" ht="12" customHeight="1">
      <c r="A192" s="778"/>
      <c r="B192" s="779"/>
      <c r="C192" s="805"/>
      <c r="D192" s="805"/>
      <c r="E192" s="805"/>
      <c r="F192" s="805"/>
    </row>
    <row r="193" spans="1:6" ht="12" customHeight="1">
      <c r="A193" s="778"/>
      <c r="B193" s="779"/>
      <c r="C193" s="805"/>
      <c r="D193" s="805"/>
      <c r="E193" s="805"/>
      <c r="F193" s="805"/>
    </row>
    <row r="194" spans="1:6" ht="12" customHeight="1">
      <c r="A194" s="778"/>
      <c r="B194" s="779"/>
      <c r="C194" s="805"/>
      <c r="D194" s="805"/>
      <c r="E194" s="805"/>
      <c r="F194" s="805"/>
    </row>
    <row r="195" spans="1:6" ht="12" customHeight="1">
      <c r="A195" s="778"/>
      <c r="B195" s="779"/>
      <c r="C195" s="805"/>
      <c r="D195" s="805"/>
      <c r="E195" s="805"/>
      <c r="F195" s="805"/>
    </row>
    <row r="196" spans="1:6" ht="12" customHeight="1">
      <c r="A196" s="778"/>
      <c r="B196" s="779"/>
      <c r="C196" s="805"/>
      <c r="D196" s="805"/>
      <c r="E196" s="805"/>
      <c r="F196" s="805"/>
    </row>
    <row r="197" spans="1:6" ht="12" customHeight="1">
      <c r="A197" s="778"/>
      <c r="B197" s="779"/>
      <c r="C197" s="805"/>
      <c r="D197" s="805"/>
      <c r="E197" s="805"/>
      <c r="F197" s="805"/>
    </row>
    <row r="198" spans="1:6" ht="12" customHeight="1">
      <c r="A198" s="778"/>
      <c r="B198" s="779"/>
      <c r="C198" s="805"/>
      <c r="D198" s="805"/>
      <c r="E198" s="805"/>
      <c r="F198" s="805"/>
    </row>
    <row r="199" spans="1:6" ht="12" customHeight="1">
      <c r="A199" s="778"/>
      <c r="B199" s="779"/>
      <c r="C199" s="805"/>
      <c r="D199" s="805"/>
      <c r="E199" s="805"/>
      <c r="F199" s="805"/>
    </row>
    <row r="200" spans="1:6" ht="12" customHeight="1">
      <c r="A200" s="778"/>
      <c r="B200" s="779"/>
      <c r="C200" s="805"/>
      <c r="D200" s="805"/>
      <c r="E200" s="805"/>
      <c r="F200" s="805"/>
    </row>
    <row r="201" spans="1:6" ht="12" customHeight="1">
      <c r="A201" s="778"/>
      <c r="B201" s="779"/>
      <c r="C201" s="805"/>
      <c r="D201" s="805"/>
      <c r="E201" s="805"/>
      <c r="F201" s="805"/>
    </row>
    <row r="202" spans="1:6" ht="12" customHeight="1">
      <c r="A202" s="778"/>
      <c r="B202" s="779"/>
      <c r="C202" s="805"/>
      <c r="D202" s="805"/>
      <c r="E202" s="805"/>
      <c r="F202" s="805"/>
    </row>
    <row r="203" spans="1:6" ht="12" customHeight="1">
      <c r="A203" s="778"/>
      <c r="B203" s="779"/>
      <c r="C203" s="805"/>
      <c r="D203" s="805"/>
      <c r="E203" s="805"/>
      <c r="F203" s="805"/>
    </row>
    <row r="204" spans="1:6" ht="12" customHeight="1">
      <c r="A204" s="778"/>
      <c r="B204" s="779"/>
      <c r="C204" s="805"/>
      <c r="D204" s="805"/>
      <c r="E204" s="805"/>
      <c r="F204" s="805"/>
    </row>
    <row r="205" spans="1:6" ht="12" customHeight="1">
      <c r="A205" s="778"/>
      <c r="B205" s="779"/>
      <c r="C205" s="805"/>
      <c r="D205" s="805"/>
      <c r="E205" s="805"/>
      <c r="F205" s="805"/>
    </row>
    <row r="206" spans="1:6" ht="12" customHeight="1">
      <c r="A206" s="778"/>
      <c r="B206" s="779"/>
      <c r="C206" s="805"/>
      <c r="D206" s="805"/>
      <c r="E206" s="805"/>
      <c r="F206" s="805"/>
    </row>
    <row r="207" spans="1:6" ht="12" customHeight="1">
      <c r="A207" s="778"/>
      <c r="B207" s="779"/>
      <c r="C207" s="805"/>
      <c r="D207" s="805"/>
      <c r="E207" s="805"/>
      <c r="F207" s="805"/>
    </row>
    <row r="208" spans="1:6" ht="12" customHeight="1">
      <c r="A208" s="778"/>
      <c r="B208" s="779"/>
      <c r="C208" s="805"/>
      <c r="D208" s="805"/>
      <c r="E208" s="805"/>
      <c r="F208" s="805"/>
    </row>
    <row r="209" spans="1:6" ht="12" customHeight="1">
      <c r="A209" s="778"/>
      <c r="B209" s="779"/>
      <c r="C209" s="805"/>
      <c r="D209" s="805"/>
      <c r="E209" s="805"/>
      <c r="F209" s="822"/>
    </row>
  </sheetData>
  <sheetProtection algorithmName="SHA-512" hashValue="phWs6Hl2+yt50ys30nRZRSdxlJEGsnyanEcnBFBgvySDVEzr1xCBD4PbqGQvwtLBZDT24cf/Xa5IWvf9Qo4mBA==" saltValue="PHyC5UNUmMamln3GWOR2sA==" spinCount="100000" sheet="1" objects="1" scenarios="1"/>
  <phoneticPr fontId="10" type="noConversion"/>
  <dataValidations count="3">
    <dataValidation type="whole" operator="greaterThanOrEqual" showInputMessage="1" showErrorMessage="1" errorTitle="Invalid Data Entry" error="Please enter a number or press the delete key or enter zero." sqref="C94:E98 C10:D10 C101:E102 C83:E84 C86:E91 E77:E81 C75:D80 H79 D75:E76 C136:E140 C166:E179 C153:E163 C151:E151 C144:E149 C142:E142 E34:E36 C37:E41 C45:D45 E45:E46 C46:E47 C49:E54 C61:E63 C58:E59 C34:D35 C16:E17 D18 C104:E111 E14 C13:C14 D14">
      <formula1>0</formula1>
    </dataValidation>
    <dataValidation type="whole" operator="greaterThanOrEqual" showInputMessage="1" showErrorMessage="1" errorTitle="Invalid Data Entry" error="Please enter a positive number or press the delete key or enter a zero." sqref="C114:E115 C117:E125">
      <formula1>0</formula1>
    </dataValidation>
    <dataValidation operator="greaterThanOrEqual" errorTitle="Invalid Data Entry " error="Please enter a positive number or press the delete key or enter zero." sqref="E13"/>
  </dataValidations>
  <hyperlinks>
    <hyperlink ref="G1" location="Contents!F1" display="Return to Contents page"/>
  </hyperlinks>
  <printOptions horizontalCentered="1"/>
  <pageMargins left="0.25" right="0.25" top="0.19" bottom="0.19" header="0.5" footer="0.5"/>
  <pageSetup scale="95" orientation="portrait" blackAndWhite="1" r:id="rId1"/>
  <headerFooter alignWithMargins="0">
    <oddFooter>&amp;L&amp;D     &amp;T &amp;CCode No. 14&amp;RPage &amp;P</oddFooter>
  </headerFooter>
  <rowBreaks count="2" manualBreakCount="2">
    <brk id="66" max="4" man="1"/>
    <brk id="125" max="4"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4" tint="0.39997558519241921"/>
  </sheetPr>
  <dimension ref="A1:Q251"/>
  <sheetViews>
    <sheetView zoomScaleNormal="100" workbookViewId="0">
      <selection activeCell="C9" sqref="C9"/>
    </sheetView>
  </sheetViews>
  <sheetFormatPr defaultColWidth="10.7109375" defaultRowHeight="12" customHeight="1"/>
  <cols>
    <col min="1" max="1" width="44.5703125" style="1432" customWidth="1"/>
    <col min="2" max="2" width="4.85546875" style="1479" customWidth="1"/>
    <col min="3" max="3" width="14" style="1432" customWidth="1"/>
    <col min="4" max="4" width="14.140625" style="1432" customWidth="1"/>
    <col min="5" max="5" width="14" style="1432" customWidth="1"/>
    <col min="6" max="6" width="2.28515625" style="1432" customWidth="1"/>
    <col min="7" max="7" width="20.85546875" style="1432" customWidth="1"/>
    <col min="8" max="16384" width="10.7109375" style="1432"/>
  </cols>
  <sheetData>
    <row r="1" spans="1:17" ht="12" customHeight="1">
      <c r="A1" s="1424" t="s">
        <v>1019</v>
      </c>
      <c r="B1" s="1425">
        <f>OPEN!$B$4</f>
        <v>270</v>
      </c>
      <c r="C1" s="1426"/>
      <c r="D1" s="1426"/>
      <c r="E1" s="1424" t="s">
        <v>1020</v>
      </c>
      <c r="F1" s="1426"/>
      <c r="G1" s="3012" t="s">
        <v>866</v>
      </c>
    </row>
    <row r="2" spans="1:17" ht="12" customHeight="1">
      <c r="A2" s="1426"/>
      <c r="B2" s="1425"/>
      <c r="C2" s="1426"/>
      <c r="D2" s="1426"/>
      <c r="E2" s="1424" t="s">
        <v>1212</v>
      </c>
      <c r="F2" s="1426"/>
    </row>
    <row r="3" spans="1:17" ht="12" customHeight="1">
      <c r="A3" s="1426"/>
      <c r="B3" s="1425"/>
      <c r="C3" s="1426"/>
      <c r="D3" s="1426"/>
      <c r="E3" s="1424" t="str">
        <f>OPEN!N2</f>
        <v>2016-2017</v>
      </c>
      <c r="F3" s="1426"/>
    </row>
    <row r="4" spans="1:17" ht="5.0999999999999996" customHeight="1">
      <c r="A4" s="1426"/>
      <c r="B4" s="1425"/>
      <c r="C4" s="1426"/>
      <c r="D4" s="1426"/>
      <c r="E4" s="1426"/>
      <c r="F4" s="1426"/>
    </row>
    <row r="5" spans="1:17" ht="12" customHeight="1">
      <c r="A5" s="1426"/>
      <c r="B5" s="1425"/>
      <c r="C5" s="1428" t="s">
        <v>1213</v>
      </c>
      <c r="D5" s="1428" t="s">
        <v>1213</v>
      </c>
      <c r="E5" s="1428" t="s">
        <v>1213</v>
      </c>
      <c r="F5" s="1426"/>
    </row>
    <row r="6" spans="1:17" ht="12" customHeight="1">
      <c r="A6" s="1429"/>
      <c r="B6" s="1430" t="s">
        <v>1045</v>
      </c>
      <c r="C6" s="1431" t="str">
        <f>OPEN!N4</f>
        <v>2014-2015</v>
      </c>
      <c r="D6" s="1431" t="str">
        <f>OPEN!O4</f>
        <v>2015-2016</v>
      </c>
      <c r="E6" s="1431" t="str">
        <f>OPEN!P4</f>
        <v>2016-2017</v>
      </c>
      <c r="F6" s="1426"/>
      <c r="N6" s="1433"/>
    </row>
    <row r="7" spans="1:17" ht="12" customHeight="1">
      <c r="A7" s="1429" t="s">
        <v>118</v>
      </c>
      <c r="B7" s="1434">
        <v>15</v>
      </c>
      <c r="C7" s="1435" t="s">
        <v>1139</v>
      </c>
      <c r="D7" s="1435" t="s">
        <v>1139</v>
      </c>
      <c r="E7" s="1435" t="s">
        <v>1215</v>
      </c>
      <c r="F7" s="1426"/>
      <c r="O7" s="1436"/>
      <c r="P7" s="1436"/>
      <c r="Q7" s="1436"/>
    </row>
    <row r="8" spans="1:17" ht="12" customHeight="1">
      <c r="A8" s="1437"/>
      <c r="B8" s="1438" t="s">
        <v>1051</v>
      </c>
      <c r="C8" s="3224">
        <v>1</v>
      </c>
      <c r="D8" s="3224">
        <v>2</v>
      </c>
      <c r="E8" s="3224">
        <v>3</v>
      </c>
      <c r="F8" s="1426"/>
      <c r="O8" s="1436"/>
      <c r="P8" s="1436"/>
      <c r="Q8" s="1436"/>
    </row>
    <row r="9" spans="1:17" ht="12" customHeight="1">
      <c r="A9" s="1440" t="s">
        <v>1402</v>
      </c>
      <c r="B9" s="1441">
        <v>1</v>
      </c>
      <c r="C9" s="3264"/>
      <c r="D9" s="2548">
        <f>C25</f>
        <v>0</v>
      </c>
      <c r="E9" s="2548">
        <f>D25</f>
        <v>0</v>
      </c>
      <c r="F9" s="1426"/>
      <c r="O9" s="1436"/>
      <c r="P9" s="1436"/>
      <c r="Q9" s="1436"/>
    </row>
    <row r="10" spans="1:17" ht="12" customHeight="1">
      <c r="A10" s="1443" t="s">
        <v>1403</v>
      </c>
      <c r="B10" s="1444">
        <v>3</v>
      </c>
      <c r="C10" s="1464"/>
      <c r="D10" s="1464"/>
      <c r="E10" s="1463"/>
      <c r="F10" s="1426"/>
      <c r="O10" s="1436"/>
      <c r="P10" s="1436"/>
      <c r="Q10" s="1436"/>
    </row>
    <row r="11" spans="1:17" ht="12" customHeight="1">
      <c r="A11" s="1445" t="s">
        <v>19</v>
      </c>
      <c r="B11" s="1446"/>
      <c r="C11" s="3226"/>
      <c r="D11" s="3226"/>
      <c r="E11" s="1463"/>
      <c r="F11" s="1426"/>
      <c r="O11" s="1436"/>
      <c r="P11" s="1436"/>
      <c r="Q11" s="1436"/>
    </row>
    <row r="12" spans="1:17" ht="12" customHeight="1">
      <c r="A12" s="1443" t="s">
        <v>20</v>
      </c>
      <c r="B12" s="1444"/>
      <c r="C12" s="3226"/>
      <c r="D12" s="3226"/>
      <c r="E12" s="1463"/>
      <c r="F12" s="1426"/>
      <c r="O12" s="1436"/>
      <c r="P12" s="1436"/>
      <c r="Q12" s="1436"/>
    </row>
    <row r="13" spans="1:17" ht="12" customHeight="1">
      <c r="A13" s="1443" t="s">
        <v>735</v>
      </c>
      <c r="B13" s="1444"/>
      <c r="C13" s="3226"/>
      <c r="D13" s="3226"/>
      <c r="E13" s="1463"/>
      <c r="F13" s="1426"/>
    </row>
    <row r="14" spans="1:17" ht="12" customHeight="1">
      <c r="A14" s="1440" t="s">
        <v>746</v>
      </c>
      <c r="B14" s="1441">
        <v>5</v>
      </c>
      <c r="C14" s="1464"/>
      <c r="D14" s="3263"/>
      <c r="E14" s="1464"/>
      <c r="F14" s="1426"/>
      <c r="N14" s="1433"/>
    </row>
    <row r="15" spans="1:17" ht="12" customHeight="1">
      <c r="A15" s="1440" t="s">
        <v>1099</v>
      </c>
      <c r="B15" s="1441">
        <v>25</v>
      </c>
      <c r="C15" s="1464"/>
      <c r="D15" s="3264"/>
      <c r="E15" s="3871"/>
      <c r="F15" s="1426"/>
      <c r="O15" s="1448"/>
      <c r="P15" s="1448"/>
      <c r="Q15" s="1448"/>
    </row>
    <row r="16" spans="1:17" ht="12" customHeight="1">
      <c r="A16" s="1445" t="s">
        <v>95</v>
      </c>
      <c r="B16" s="1446">
        <v>35</v>
      </c>
      <c r="C16" s="1464"/>
      <c r="D16" s="4170"/>
      <c r="E16" s="4273"/>
      <c r="F16" s="1426"/>
      <c r="O16" s="1448"/>
      <c r="P16" s="1448"/>
      <c r="Q16" s="1448"/>
    </row>
    <row r="17" spans="1:8" ht="12" customHeight="1">
      <c r="A17" s="3265" t="s">
        <v>25</v>
      </c>
      <c r="B17" s="1430"/>
      <c r="C17" s="1447"/>
      <c r="D17" s="3227"/>
      <c r="E17" s="1463"/>
      <c r="F17" s="1426"/>
    </row>
    <row r="18" spans="1:8" ht="12" customHeight="1">
      <c r="A18" s="3266" t="s">
        <v>27</v>
      </c>
      <c r="B18" s="1438">
        <v>75</v>
      </c>
      <c r="C18" s="1464"/>
      <c r="D18" s="4171"/>
      <c r="E18" s="1464"/>
      <c r="F18" s="1426"/>
    </row>
    <row r="19" spans="1:8" ht="12" customHeight="1">
      <c r="A19" s="1453" t="s">
        <v>48</v>
      </c>
      <c r="B19" s="1454"/>
      <c r="C19" s="3226"/>
      <c r="D19" s="1463"/>
      <c r="E19" s="2760"/>
      <c r="F19" s="1426"/>
    </row>
    <row r="20" spans="1:8" ht="12" customHeight="1">
      <c r="A20" s="1455" t="s">
        <v>49</v>
      </c>
      <c r="B20" s="1456">
        <v>135</v>
      </c>
      <c r="C20" s="3237">
        <f>'C06'!C340</f>
        <v>0</v>
      </c>
      <c r="D20" s="2547">
        <f>'C06'!D340</f>
        <v>0</v>
      </c>
      <c r="E20" s="2762">
        <f>'C06'!E340</f>
        <v>0</v>
      </c>
      <c r="F20" s="1426"/>
    </row>
    <row r="21" spans="1:8" ht="12" customHeight="1">
      <c r="A21" s="1449" t="s">
        <v>368</v>
      </c>
      <c r="B21" s="1450">
        <v>140</v>
      </c>
      <c r="C21" s="2547">
        <f>'C08'!C310</f>
        <v>0</v>
      </c>
      <c r="D21" s="3242">
        <f>'C08'!D310</f>
        <v>0</v>
      </c>
      <c r="E21" s="2548">
        <f>'C08'!E310</f>
        <v>0</v>
      </c>
      <c r="F21" s="1426"/>
    </row>
    <row r="22" spans="1:8" ht="12" customHeight="1">
      <c r="A22" s="1449" t="s">
        <v>50</v>
      </c>
      <c r="B22" s="1450">
        <v>145</v>
      </c>
      <c r="C22" s="2547">
        <f>'C053'!C264</f>
        <v>0</v>
      </c>
      <c r="D22" s="1457">
        <f>'C053'!D264</f>
        <v>0</v>
      </c>
      <c r="E22" s="1460" t="s">
        <v>1189</v>
      </c>
      <c r="F22" s="1426"/>
      <c r="G22" s="4150"/>
    </row>
    <row r="23" spans="1:8" ht="12" customHeight="1">
      <c r="A23" s="1458" t="s">
        <v>52</v>
      </c>
      <c r="B23" s="1459">
        <v>170</v>
      </c>
      <c r="C23" s="2547">
        <f>SUM(C9:C22)</f>
        <v>0</v>
      </c>
      <c r="D23" s="1442">
        <f>SUM(D9:D22)</f>
        <v>0</v>
      </c>
      <c r="E23" s="2547">
        <f>SUM(E9:E22)</f>
        <v>0</v>
      </c>
      <c r="F23" s="1426"/>
      <c r="G23" s="4151"/>
    </row>
    <row r="24" spans="1:8" ht="12" customHeight="1">
      <c r="A24" s="1449" t="s">
        <v>53</v>
      </c>
      <c r="B24" s="1450">
        <v>175</v>
      </c>
      <c r="C24" s="2548">
        <f>C175</f>
        <v>0</v>
      </c>
      <c r="D24" s="1457">
        <f>D175</f>
        <v>0</v>
      </c>
      <c r="E24" s="2548">
        <f>IF(E175&lt;=E23,E175,"ERROR")</f>
        <v>0</v>
      </c>
      <c r="F24" s="1426"/>
      <c r="G24" s="3105" t="str">
        <f>IF(E24="ERROR","Expenditures must be less than or equal to the Resources Available","")</f>
        <v/>
      </c>
      <c r="H24" s="3243"/>
    </row>
    <row r="25" spans="1:8" ht="12" customHeight="1">
      <c r="A25" s="1449" t="s">
        <v>290</v>
      </c>
      <c r="B25" s="1450">
        <v>190</v>
      </c>
      <c r="C25" s="2548">
        <f>SUM(C23-C24)</f>
        <v>0</v>
      </c>
      <c r="D25" s="1457">
        <f>SUM(D23-D24)</f>
        <v>0</v>
      </c>
      <c r="E25" s="2621">
        <f>IF(ISERROR(E23-E24),"NEGATIVE", E23-E24)</f>
        <v>0</v>
      </c>
      <c r="F25" s="1426"/>
      <c r="G25" s="3504"/>
      <c r="H25" s="3243"/>
    </row>
    <row r="26" spans="1:8" ht="14.25" customHeight="1">
      <c r="A26" s="1426"/>
      <c r="B26" s="1428"/>
      <c r="C26" s="1426"/>
      <c r="D26" s="1426"/>
      <c r="E26" s="1426"/>
      <c r="F26" s="1426"/>
    </row>
    <row r="27" spans="1:8" ht="14.25" customHeight="1">
      <c r="A27"/>
      <c r="B27"/>
      <c r="C27"/>
      <c r="D27"/>
      <c r="E27"/>
      <c r="F27" s="1426"/>
    </row>
    <row r="28" spans="1:8" ht="12" customHeight="1">
      <c r="A28" s="1461"/>
      <c r="B28" s="1461"/>
      <c r="C28" s="1461"/>
      <c r="D28" s="1461"/>
      <c r="E28" s="1461"/>
      <c r="F28" s="1461"/>
    </row>
    <row r="29" spans="1:8" ht="12" customHeight="1">
      <c r="A29" s="1424"/>
      <c r="B29" s="1425"/>
      <c r="C29" s="1426"/>
      <c r="D29" s="1426"/>
      <c r="E29" s="1424"/>
      <c r="F29" s="1426"/>
    </row>
    <row r="30" spans="1:8" ht="12" customHeight="1">
      <c r="A30" s="1426"/>
      <c r="B30" s="1428"/>
      <c r="C30" s="1426"/>
      <c r="D30" s="1426"/>
      <c r="E30" s="1424"/>
      <c r="F30" s="1426"/>
    </row>
    <row r="31" spans="1:8" ht="12" customHeight="1">
      <c r="A31" s="1426"/>
      <c r="B31" s="1428"/>
      <c r="C31" s="1426"/>
      <c r="D31" s="1426"/>
      <c r="E31" s="1424"/>
      <c r="F31" s="1426"/>
    </row>
    <row r="32" spans="1:8" ht="12" customHeight="1">
      <c r="A32" s="1426"/>
      <c r="B32" s="1428"/>
      <c r="C32" s="1426"/>
      <c r="D32" s="1426"/>
      <c r="E32" s="1426"/>
      <c r="F32" s="1426"/>
    </row>
    <row r="33" spans="1:6" ht="12" customHeight="1">
      <c r="A33" s="1426"/>
      <c r="B33" s="1425"/>
      <c r="C33" s="1428" t="s">
        <v>1213</v>
      </c>
      <c r="D33" s="1428" t="s">
        <v>1213</v>
      </c>
      <c r="E33" s="1428" t="s">
        <v>1213</v>
      </c>
      <c r="F33" s="1426"/>
    </row>
    <row r="34" spans="1:6" ht="12" customHeight="1">
      <c r="A34" s="1429" t="str">
        <f>A7</f>
        <v>VIRTUAL EDUCATION</v>
      </c>
      <c r="B34" s="1430" t="s">
        <v>1045</v>
      </c>
      <c r="C34" s="1431" t="str">
        <f>C6</f>
        <v>2014-2015</v>
      </c>
      <c r="D34" s="1431" t="str">
        <f>D6</f>
        <v>2015-2016</v>
      </c>
      <c r="E34" s="1431" t="str">
        <f>E6</f>
        <v>2016-2017</v>
      </c>
      <c r="F34" s="1426"/>
    </row>
    <row r="35" spans="1:6" ht="12" customHeight="1">
      <c r="A35" s="1429" t="s">
        <v>81</v>
      </c>
      <c r="B35" s="1434">
        <f>B7</f>
        <v>15</v>
      </c>
      <c r="C35" s="1435" t="s">
        <v>1139</v>
      </c>
      <c r="D35" s="1435" t="s">
        <v>1139</v>
      </c>
      <c r="E35" s="1435" t="s">
        <v>1215</v>
      </c>
      <c r="F35" s="1426"/>
    </row>
    <row r="36" spans="1:6" ht="12" customHeight="1">
      <c r="A36" s="1437"/>
      <c r="B36" s="1438" t="s">
        <v>1051</v>
      </c>
      <c r="C36" s="3224">
        <v>1</v>
      </c>
      <c r="D36" s="3224">
        <v>2</v>
      </c>
      <c r="E36" s="1439">
        <v>3</v>
      </c>
      <c r="F36" s="1426"/>
    </row>
    <row r="37" spans="1:6" ht="12" customHeight="1">
      <c r="A37" s="1445" t="s">
        <v>1267</v>
      </c>
      <c r="B37" s="1446"/>
      <c r="C37" s="3225"/>
      <c r="D37" s="3220"/>
      <c r="E37" s="3049"/>
      <c r="F37" s="1426"/>
    </row>
    <row r="38" spans="1:6" ht="12" customHeight="1">
      <c r="A38" s="1443" t="s">
        <v>1268</v>
      </c>
      <c r="B38" s="1444"/>
      <c r="C38" s="3226"/>
      <c r="D38" s="3221"/>
      <c r="E38" s="2760"/>
      <c r="F38" s="1426"/>
    </row>
    <row r="39" spans="1:6" ht="12" customHeight="1">
      <c r="A39" s="1455" t="s">
        <v>1269</v>
      </c>
      <c r="B39" s="1456">
        <v>210</v>
      </c>
      <c r="C39" s="1464"/>
      <c r="D39" s="3267"/>
      <c r="E39" s="2761"/>
      <c r="F39" s="1426"/>
    </row>
    <row r="40" spans="1:6" ht="12" customHeight="1">
      <c r="A40" s="1449" t="s">
        <v>674</v>
      </c>
      <c r="B40" s="1450">
        <v>215</v>
      </c>
      <c r="C40" s="1464"/>
      <c r="D40" s="3264"/>
      <c r="E40" s="3229"/>
      <c r="F40" s="1426"/>
    </row>
    <row r="41" spans="1:6" ht="12" customHeight="1">
      <c r="A41" s="1451" t="s">
        <v>1271</v>
      </c>
      <c r="B41" s="1452"/>
      <c r="C41" s="3227"/>
      <c r="D41" s="3221"/>
      <c r="E41" s="3049"/>
      <c r="F41" s="1426"/>
    </row>
    <row r="42" spans="1:6" ht="12" customHeight="1">
      <c r="A42" s="1455" t="s">
        <v>1272</v>
      </c>
      <c r="B42" s="1456">
        <v>220</v>
      </c>
      <c r="C42" s="1464"/>
      <c r="D42" s="3267"/>
      <c r="E42" s="2761"/>
      <c r="F42" s="1426"/>
    </row>
    <row r="43" spans="1:6" ht="12" customHeight="1">
      <c r="A43" s="1449" t="s">
        <v>1273</v>
      </c>
      <c r="B43" s="1450">
        <v>225</v>
      </c>
      <c r="C43" s="1464"/>
      <c r="D43" s="3264"/>
      <c r="E43" s="3229"/>
      <c r="F43" s="1426"/>
    </row>
    <row r="44" spans="1:6" ht="12" customHeight="1">
      <c r="A44" s="1449" t="s">
        <v>1276</v>
      </c>
      <c r="B44" s="1450">
        <v>230</v>
      </c>
      <c r="C44" s="1464"/>
      <c r="D44" s="3264"/>
      <c r="E44" s="3229"/>
      <c r="F44" s="1426"/>
    </row>
    <row r="45" spans="1:6" ht="12" customHeight="1">
      <c r="A45" s="1451" t="s">
        <v>98</v>
      </c>
      <c r="B45" s="1452">
        <v>235</v>
      </c>
      <c r="C45" s="1464"/>
      <c r="D45" s="3264"/>
      <c r="E45" s="3230"/>
      <c r="F45" s="1426"/>
    </row>
    <row r="46" spans="1:6" ht="12" customHeight="1">
      <c r="A46" s="2949" t="s">
        <v>711</v>
      </c>
      <c r="B46" s="2950">
        <v>237</v>
      </c>
      <c r="C46" s="1464"/>
      <c r="D46" s="3264"/>
      <c r="E46" s="3230"/>
      <c r="F46" s="1426"/>
    </row>
    <row r="47" spans="1:6" ht="12" customHeight="1">
      <c r="A47" s="1451" t="s">
        <v>1282</v>
      </c>
      <c r="B47" s="1452"/>
      <c r="C47" s="3227"/>
      <c r="D47" s="3221"/>
      <c r="E47" s="3049"/>
      <c r="F47" s="1426"/>
    </row>
    <row r="48" spans="1:6" ht="12" customHeight="1">
      <c r="A48" s="1453" t="s">
        <v>1283</v>
      </c>
      <c r="B48" s="1454"/>
      <c r="C48" s="3227"/>
      <c r="D48" s="3221"/>
      <c r="E48" s="2760"/>
      <c r="F48" s="1426"/>
    </row>
    <row r="49" spans="1:6" ht="12" customHeight="1">
      <c r="A49" s="1455" t="s">
        <v>1284</v>
      </c>
      <c r="B49" s="1456">
        <v>240</v>
      </c>
      <c r="C49" s="1464"/>
      <c r="D49" s="3267"/>
      <c r="E49" s="2761"/>
      <c r="F49" s="1426"/>
    </row>
    <row r="50" spans="1:6" ht="12" customHeight="1">
      <c r="A50" s="1449" t="s">
        <v>2655</v>
      </c>
      <c r="B50" s="1450">
        <v>245</v>
      </c>
      <c r="C50" s="1464"/>
      <c r="D50" s="3264"/>
      <c r="E50" s="3229"/>
      <c r="F50" s="1426"/>
    </row>
    <row r="51" spans="1:6" ht="12" customHeight="1">
      <c r="A51" s="1449" t="s">
        <v>1287</v>
      </c>
      <c r="B51" s="1450">
        <v>250</v>
      </c>
      <c r="C51" s="1464"/>
      <c r="D51" s="3264"/>
      <c r="E51" s="3229"/>
      <c r="F51" s="1426"/>
    </row>
    <row r="52" spans="1:6" ht="12" customHeight="1">
      <c r="A52" s="1451" t="s">
        <v>1288</v>
      </c>
      <c r="B52" s="1452"/>
      <c r="C52" s="3227"/>
      <c r="D52" s="3221"/>
      <c r="E52" s="3049"/>
      <c r="F52" s="1426"/>
    </row>
    <row r="53" spans="1:6" ht="12" customHeight="1">
      <c r="A53" s="1455" t="s">
        <v>1289</v>
      </c>
      <c r="B53" s="1456">
        <v>255</v>
      </c>
      <c r="C53" s="1464"/>
      <c r="D53" s="3267"/>
      <c r="E53" s="2761"/>
      <c r="F53" s="1426"/>
    </row>
    <row r="54" spans="1:6" ht="12" customHeight="1">
      <c r="A54" s="1449" t="s">
        <v>1290</v>
      </c>
      <c r="B54" s="1450">
        <v>260</v>
      </c>
      <c r="C54" s="1464"/>
      <c r="D54" s="3264"/>
      <c r="E54" s="3229"/>
      <c r="F54" s="1426"/>
    </row>
    <row r="55" spans="1:6" ht="12" customHeight="1">
      <c r="A55" s="2951" t="s">
        <v>280</v>
      </c>
      <c r="B55" s="2952">
        <v>263</v>
      </c>
      <c r="C55" s="1464"/>
      <c r="D55" s="3264"/>
      <c r="E55" s="2761"/>
      <c r="F55" s="1426"/>
    </row>
    <row r="56" spans="1:6" ht="12" customHeight="1">
      <c r="A56" s="1455" t="s">
        <v>1291</v>
      </c>
      <c r="B56" s="1456">
        <v>265</v>
      </c>
      <c r="C56" s="1464"/>
      <c r="D56" s="3264"/>
      <c r="E56" s="2761"/>
      <c r="F56" s="1426"/>
    </row>
    <row r="57" spans="1:6" ht="12" customHeight="1">
      <c r="A57" s="1449" t="s">
        <v>1292</v>
      </c>
      <c r="B57" s="1450">
        <v>270</v>
      </c>
      <c r="C57" s="1464"/>
      <c r="D57" s="3264"/>
      <c r="E57" s="3229"/>
      <c r="F57" s="1426"/>
    </row>
    <row r="58" spans="1:6" ht="12" customHeight="1">
      <c r="A58" s="1449" t="s">
        <v>1293</v>
      </c>
      <c r="B58" s="1450">
        <v>275</v>
      </c>
      <c r="C58" s="1464"/>
      <c r="D58" s="3264"/>
      <c r="E58" s="3229"/>
      <c r="F58" s="1426"/>
    </row>
    <row r="59" spans="1:6" ht="12" customHeight="1">
      <c r="A59" s="1424" t="s">
        <v>1019</v>
      </c>
      <c r="B59" s="1425">
        <f>B1</f>
        <v>270</v>
      </c>
      <c r="C59" s="1426"/>
      <c r="D59" s="1426"/>
      <c r="E59" s="1424" t="s">
        <v>1020</v>
      </c>
      <c r="F59" s="1426"/>
    </row>
    <row r="60" spans="1:6" ht="12" customHeight="1">
      <c r="A60" s="1426"/>
      <c r="B60" s="1428"/>
      <c r="C60" s="1426"/>
      <c r="D60" s="1426"/>
      <c r="E60" s="1424" t="s">
        <v>1212</v>
      </c>
      <c r="F60" s="1426"/>
    </row>
    <row r="61" spans="1:6" ht="12" customHeight="1">
      <c r="A61" s="1426"/>
      <c r="B61" s="1428"/>
      <c r="C61" s="1426"/>
      <c r="D61" s="1426"/>
      <c r="E61" s="1424" t="str">
        <f>E3</f>
        <v>2016-2017</v>
      </c>
      <c r="F61" s="1426"/>
    </row>
    <row r="62" spans="1:6" ht="12" customHeight="1">
      <c r="A62" s="1426"/>
      <c r="B62" s="1428"/>
      <c r="C62" s="1426"/>
      <c r="D62" s="1426"/>
      <c r="E62" s="1426"/>
      <c r="F62" s="1426"/>
    </row>
    <row r="63" spans="1:6" ht="12" customHeight="1">
      <c r="A63" s="1426"/>
      <c r="B63" s="1425"/>
      <c r="C63" s="1428" t="s">
        <v>1213</v>
      </c>
      <c r="D63" s="1428" t="s">
        <v>1213</v>
      </c>
      <c r="E63" s="1428" t="s">
        <v>1213</v>
      </c>
      <c r="F63" s="1426"/>
    </row>
    <row r="64" spans="1:6" ht="12" customHeight="1">
      <c r="A64" s="1429" t="str">
        <f>A34</f>
        <v>VIRTUAL EDUCATION</v>
      </c>
      <c r="B64" s="1430" t="s">
        <v>1045</v>
      </c>
      <c r="C64" s="1431" t="str">
        <f>C6</f>
        <v>2014-2015</v>
      </c>
      <c r="D64" s="1431" t="str">
        <f t="shared" ref="D64:E64" si="0">D6</f>
        <v>2015-2016</v>
      </c>
      <c r="E64" s="1431" t="str">
        <f t="shared" si="0"/>
        <v>2016-2017</v>
      </c>
      <c r="F64" s="1426"/>
    </row>
    <row r="65" spans="1:6" ht="12" customHeight="1">
      <c r="A65" s="1429" t="s">
        <v>81</v>
      </c>
      <c r="B65" s="1434">
        <f>B7</f>
        <v>15</v>
      </c>
      <c r="C65" s="1435" t="s">
        <v>1139</v>
      </c>
      <c r="D65" s="1435" t="s">
        <v>1139</v>
      </c>
      <c r="E65" s="1435" t="s">
        <v>1215</v>
      </c>
      <c r="F65" s="1426"/>
    </row>
    <row r="66" spans="1:6" ht="12" customHeight="1">
      <c r="A66" s="1437"/>
      <c r="B66" s="1438" t="s">
        <v>1051</v>
      </c>
      <c r="C66" s="1439">
        <v>1</v>
      </c>
      <c r="D66" s="1439">
        <v>2</v>
      </c>
      <c r="E66" s="1439">
        <v>3</v>
      </c>
      <c r="F66" s="1426"/>
    </row>
    <row r="67" spans="1:6" ht="12" customHeight="1">
      <c r="A67" s="1451" t="s">
        <v>1294</v>
      </c>
      <c r="B67" s="1452"/>
      <c r="C67" s="3227"/>
      <c r="D67" s="3221"/>
      <c r="E67" s="3049"/>
      <c r="F67" s="1426"/>
    </row>
    <row r="68" spans="1:6" ht="12" customHeight="1">
      <c r="A68" s="1453" t="s">
        <v>1295</v>
      </c>
      <c r="B68" s="1454"/>
      <c r="C68" s="3227"/>
      <c r="D68" s="3221"/>
      <c r="E68" s="2760"/>
      <c r="F68" s="1426"/>
    </row>
    <row r="69" spans="1:6" ht="12" customHeight="1">
      <c r="A69" s="1453" t="s">
        <v>1268</v>
      </c>
      <c r="B69" s="1454"/>
      <c r="C69" s="3227"/>
      <c r="D69" s="3221"/>
      <c r="E69" s="2760"/>
      <c r="F69" s="1426"/>
    </row>
    <row r="70" spans="1:6" ht="12" customHeight="1">
      <c r="A70" s="1455" t="s">
        <v>1269</v>
      </c>
      <c r="B70" s="1456">
        <v>280</v>
      </c>
      <c r="C70" s="1464"/>
      <c r="D70" s="3267"/>
      <c r="E70" s="2761"/>
      <c r="F70" s="1426"/>
    </row>
    <row r="71" spans="1:6" ht="12" customHeight="1">
      <c r="A71" s="1449" t="s">
        <v>677</v>
      </c>
      <c r="B71" s="1450">
        <v>285</v>
      </c>
      <c r="C71" s="1464"/>
      <c r="D71" s="3264"/>
      <c r="E71" s="3229"/>
      <c r="F71" s="1426"/>
    </row>
    <row r="72" spans="1:6" ht="12" customHeight="1">
      <c r="A72" s="1451" t="s">
        <v>1271</v>
      </c>
      <c r="B72" s="1452"/>
      <c r="C72" s="3227"/>
      <c r="D72" s="3221"/>
      <c r="E72" s="3049"/>
      <c r="F72" s="1426"/>
    </row>
    <row r="73" spans="1:6" ht="12" customHeight="1">
      <c r="A73" s="1455" t="s">
        <v>1272</v>
      </c>
      <c r="B73" s="1456">
        <v>290</v>
      </c>
      <c r="C73" s="1464"/>
      <c r="D73" s="3267"/>
      <c r="E73" s="2761"/>
      <c r="F73" s="1426"/>
    </row>
    <row r="74" spans="1:6" ht="12" customHeight="1">
      <c r="A74" s="1449" t="s">
        <v>1273</v>
      </c>
      <c r="B74" s="1450">
        <v>295</v>
      </c>
      <c r="C74" s="1464"/>
      <c r="D74" s="3264"/>
      <c r="E74" s="3229"/>
      <c r="F74" s="1426"/>
    </row>
    <row r="75" spans="1:6" ht="12" customHeight="1">
      <c r="A75" s="1455" t="s">
        <v>1276</v>
      </c>
      <c r="B75" s="1456">
        <v>300</v>
      </c>
      <c r="C75" s="1464"/>
      <c r="D75" s="3264"/>
      <c r="E75" s="2761"/>
      <c r="F75" s="1426"/>
    </row>
    <row r="76" spans="1:6" ht="12" customHeight="1">
      <c r="A76" s="1449" t="s">
        <v>98</v>
      </c>
      <c r="B76" s="1450">
        <v>305</v>
      </c>
      <c r="C76" s="1464"/>
      <c r="D76" s="3264"/>
      <c r="E76" s="3229"/>
      <c r="F76" s="1426"/>
    </row>
    <row r="77" spans="1:6" ht="12" customHeight="1">
      <c r="A77" s="2953" t="s">
        <v>711</v>
      </c>
      <c r="B77" s="2954">
        <v>307</v>
      </c>
      <c r="C77" s="1464"/>
      <c r="D77" s="3264"/>
      <c r="E77" s="3229"/>
      <c r="F77" s="1426"/>
    </row>
    <row r="78" spans="1:6" ht="12" customHeight="1">
      <c r="A78" s="1449" t="s">
        <v>1282</v>
      </c>
      <c r="B78" s="1450">
        <v>310</v>
      </c>
      <c r="C78" s="1464"/>
      <c r="D78" s="3264"/>
      <c r="E78" s="3229"/>
      <c r="F78" s="1426"/>
    </row>
    <row r="79" spans="1:6" ht="12" customHeight="1">
      <c r="A79" s="1449" t="s">
        <v>1288</v>
      </c>
      <c r="B79" s="1450">
        <v>315</v>
      </c>
      <c r="C79" s="1464"/>
      <c r="D79" s="3264"/>
      <c r="E79" s="3229"/>
      <c r="F79" s="1426"/>
    </row>
    <row r="80" spans="1:6" ht="12" customHeight="1">
      <c r="A80" s="1449" t="s">
        <v>1292</v>
      </c>
      <c r="B80" s="1450">
        <v>320</v>
      </c>
      <c r="C80" s="1464"/>
      <c r="D80" s="3264"/>
      <c r="E80" s="3229"/>
      <c r="F80" s="1426"/>
    </row>
    <row r="81" spans="1:6" ht="12" customHeight="1">
      <c r="A81" s="1449" t="s">
        <v>1293</v>
      </c>
      <c r="B81" s="1450">
        <v>325</v>
      </c>
      <c r="C81" s="1464"/>
      <c r="D81" s="3264"/>
      <c r="E81" s="3229"/>
      <c r="F81" s="1426"/>
    </row>
    <row r="82" spans="1:6" ht="12" customHeight="1">
      <c r="A82" s="1451" t="s">
        <v>1296</v>
      </c>
      <c r="B82" s="1452"/>
      <c r="C82" s="3227"/>
      <c r="D82" s="3221"/>
      <c r="E82" s="3049"/>
      <c r="F82" s="1426"/>
    </row>
    <row r="83" spans="1:6" ht="12" customHeight="1">
      <c r="A83" s="1453" t="s">
        <v>1268</v>
      </c>
      <c r="B83" s="1454"/>
      <c r="C83" s="3227"/>
      <c r="D83" s="3221"/>
      <c r="E83" s="2760"/>
      <c r="F83" s="1426"/>
    </row>
    <row r="84" spans="1:6" ht="12" customHeight="1">
      <c r="A84" s="1455" t="s">
        <v>1269</v>
      </c>
      <c r="B84" s="1456">
        <v>330</v>
      </c>
      <c r="C84" s="1464"/>
      <c r="D84" s="3267"/>
      <c r="E84" s="2761"/>
      <c r="F84" s="1426"/>
    </row>
    <row r="85" spans="1:6" ht="12" customHeight="1">
      <c r="A85" s="1449" t="s">
        <v>677</v>
      </c>
      <c r="B85" s="1450">
        <v>335</v>
      </c>
      <c r="C85" s="1464"/>
      <c r="D85" s="3264"/>
      <c r="E85" s="3229"/>
      <c r="F85" s="1426"/>
    </row>
    <row r="86" spans="1:6" ht="12" customHeight="1">
      <c r="A86" s="1451" t="s">
        <v>1271</v>
      </c>
      <c r="B86" s="1452"/>
      <c r="C86" s="3227"/>
      <c r="D86" s="3221"/>
      <c r="E86" s="3049"/>
      <c r="F86" s="1426"/>
    </row>
    <row r="87" spans="1:6" ht="12" customHeight="1">
      <c r="A87" s="1455" t="s">
        <v>1272</v>
      </c>
      <c r="B87" s="1456">
        <v>340</v>
      </c>
      <c r="C87" s="1464"/>
      <c r="D87" s="3267"/>
      <c r="E87" s="2761"/>
      <c r="F87" s="1426"/>
    </row>
    <row r="88" spans="1:6" ht="12" customHeight="1">
      <c r="A88" s="1449" t="s">
        <v>1273</v>
      </c>
      <c r="B88" s="1450">
        <v>345</v>
      </c>
      <c r="C88" s="1464"/>
      <c r="D88" s="3264"/>
      <c r="E88" s="3229"/>
      <c r="F88" s="1426"/>
    </row>
    <row r="89" spans="1:6" ht="12" customHeight="1">
      <c r="A89" s="1449" t="s">
        <v>1276</v>
      </c>
      <c r="B89" s="1450">
        <v>350</v>
      </c>
      <c r="C89" s="1464"/>
      <c r="D89" s="3264"/>
      <c r="E89" s="3229"/>
      <c r="F89" s="1426"/>
    </row>
    <row r="90" spans="1:6" ht="12" customHeight="1">
      <c r="A90" s="1449" t="s">
        <v>98</v>
      </c>
      <c r="B90" s="1450">
        <v>355</v>
      </c>
      <c r="C90" s="1464"/>
      <c r="D90" s="3264"/>
      <c r="E90" s="3229"/>
      <c r="F90" s="1426"/>
    </row>
    <row r="91" spans="1:6" ht="12" customHeight="1">
      <c r="A91" s="2953" t="s">
        <v>711</v>
      </c>
      <c r="B91" s="2954">
        <v>357</v>
      </c>
      <c r="C91" s="1464"/>
      <c r="D91" s="3264"/>
      <c r="E91" s="3229"/>
      <c r="F91" s="1426"/>
    </row>
    <row r="92" spans="1:6" ht="12" customHeight="1">
      <c r="A92" s="1449" t="s">
        <v>1282</v>
      </c>
      <c r="B92" s="1450">
        <v>360</v>
      </c>
      <c r="C92" s="1464"/>
      <c r="D92" s="3264"/>
      <c r="E92" s="3229"/>
      <c r="F92" s="1426"/>
    </row>
    <row r="93" spans="1:6" ht="11.85" customHeight="1">
      <c r="A93" s="1465" t="s">
        <v>1288</v>
      </c>
      <c r="B93" s="1466"/>
      <c r="C93" s="3228"/>
      <c r="D93" s="3223"/>
      <c r="E93" s="3231"/>
      <c r="F93" s="1426"/>
    </row>
    <row r="94" spans="1:6" ht="11.85" customHeight="1">
      <c r="A94" s="1467" t="s">
        <v>359</v>
      </c>
      <c r="B94" s="1468">
        <v>365</v>
      </c>
      <c r="C94" s="3269"/>
      <c r="D94" s="3268"/>
      <c r="E94" s="3232"/>
      <c r="F94" s="1426"/>
    </row>
    <row r="95" spans="1:6" ht="11.85" customHeight="1">
      <c r="A95" s="1469" t="s">
        <v>790</v>
      </c>
      <c r="B95" s="1470">
        <v>370</v>
      </c>
      <c r="C95" s="3269"/>
      <c r="D95" s="3270"/>
      <c r="E95" s="3233"/>
      <c r="F95" s="1426"/>
    </row>
    <row r="96" spans="1:6" ht="11.85" customHeight="1">
      <c r="A96" s="1469" t="s">
        <v>1291</v>
      </c>
      <c r="B96" s="1470">
        <v>375</v>
      </c>
      <c r="C96" s="3269"/>
      <c r="D96" s="3270"/>
      <c r="E96" s="3233"/>
      <c r="F96" s="1426"/>
    </row>
    <row r="97" spans="1:6" ht="11.85" customHeight="1">
      <c r="A97" s="1469" t="s">
        <v>1345</v>
      </c>
      <c r="B97" s="1470">
        <v>380</v>
      </c>
      <c r="C97" s="3269"/>
      <c r="D97" s="3270"/>
      <c r="E97" s="3233"/>
      <c r="F97" s="1426"/>
    </row>
    <row r="98" spans="1:6" ht="11.85" customHeight="1">
      <c r="A98" s="1469" t="s">
        <v>1346</v>
      </c>
      <c r="B98" s="1470">
        <v>385</v>
      </c>
      <c r="C98" s="3269"/>
      <c r="D98" s="3270"/>
      <c r="E98" s="3233"/>
      <c r="F98" s="1426"/>
    </row>
    <row r="99" spans="1:6" ht="11.85" customHeight="1">
      <c r="A99" s="1473" t="s">
        <v>102</v>
      </c>
      <c r="B99" s="1474"/>
      <c r="C99" s="3234"/>
      <c r="D99" s="3222"/>
      <c r="E99" s="3235"/>
      <c r="F99" s="1426"/>
    </row>
    <row r="100" spans="1:6" ht="11.85" customHeight="1">
      <c r="A100" s="1473" t="s">
        <v>1309</v>
      </c>
      <c r="B100" s="1474"/>
      <c r="C100" s="3228"/>
      <c r="D100" s="3223"/>
      <c r="E100" s="3235"/>
      <c r="F100" s="1426"/>
    </row>
    <row r="101" spans="1:6" ht="11.85" customHeight="1">
      <c r="A101" s="1475" t="s">
        <v>1347</v>
      </c>
      <c r="B101" s="1476">
        <v>445</v>
      </c>
      <c r="C101" s="3269"/>
      <c r="D101" s="3268"/>
      <c r="E101" s="3232"/>
      <c r="F101" s="1426"/>
    </row>
    <row r="102" spans="1:6" ht="11.85" customHeight="1">
      <c r="A102" s="1469" t="s">
        <v>1270</v>
      </c>
      <c r="B102" s="1470">
        <v>450</v>
      </c>
      <c r="C102" s="3269"/>
      <c r="D102" s="3270"/>
      <c r="E102" s="3233"/>
      <c r="F102" s="1426"/>
    </row>
    <row r="103" spans="1:6" ht="11.85" customHeight="1">
      <c r="A103" s="1471" t="s">
        <v>1310</v>
      </c>
      <c r="B103" s="1472"/>
      <c r="C103" s="3228"/>
      <c r="D103" s="3223"/>
      <c r="E103" s="3231"/>
      <c r="F103" s="1426"/>
    </row>
    <row r="104" spans="1:6" ht="11.85" customHeight="1">
      <c r="A104" s="1475" t="s">
        <v>1311</v>
      </c>
      <c r="B104" s="1476">
        <v>455</v>
      </c>
      <c r="C104" s="3269"/>
      <c r="D104" s="3268"/>
      <c r="E104" s="3232"/>
      <c r="F104" s="1426"/>
    </row>
    <row r="105" spans="1:6" ht="11.85" customHeight="1">
      <c r="A105" s="1469" t="s">
        <v>1314</v>
      </c>
      <c r="B105" s="1470">
        <v>460</v>
      </c>
      <c r="C105" s="3269"/>
      <c r="D105" s="3270"/>
      <c r="E105" s="3233"/>
      <c r="F105" s="1426"/>
    </row>
    <row r="106" spans="1:6" ht="11.85" customHeight="1">
      <c r="A106" s="1475" t="s">
        <v>1315</v>
      </c>
      <c r="B106" s="1476">
        <v>465</v>
      </c>
      <c r="C106" s="3269"/>
      <c r="D106" s="3270"/>
      <c r="E106" s="3232"/>
      <c r="F106" s="1426"/>
    </row>
    <row r="107" spans="1:6" ht="11.85" customHeight="1">
      <c r="A107" s="1469" t="s">
        <v>1</v>
      </c>
      <c r="B107" s="1470">
        <v>470</v>
      </c>
      <c r="C107" s="3269"/>
      <c r="D107" s="3270"/>
      <c r="E107" s="3233"/>
      <c r="F107" s="1426"/>
    </row>
    <row r="108" spans="1:6" ht="11.85" customHeight="1">
      <c r="A108" s="1475" t="s">
        <v>1327</v>
      </c>
      <c r="B108" s="1476">
        <v>475</v>
      </c>
      <c r="C108" s="3269"/>
      <c r="D108" s="3270"/>
      <c r="E108" s="3232"/>
      <c r="F108" s="1426"/>
    </row>
    <row r="109" spans="1:6" ht="11.85" customHeight="1">
      <c r="A109" s="1469" t="s">
        <v>1337</v>
      </c>
      <c r="B109" s="1470">
        <v>480</v>
      </c>
      <c r="C109" s="3269"/>
      <c r="D109" s="3270"/>
      <c r="E109" s="3233"/>
      <c r="F109" s="1426"/>
    </row>
    <row r="110" spans="1:6" ht="11.85" customHeight="1">
      <c r="A110" s="1469" t="s">
        <v>1345</v>
      </c>
      <c r="B110" s="1470">
        <v>485</v>
      </c>
      <c r="C110" s="3269"/>
      <c r="D110" s="3270"/>
      <c r="E110" s="3233"/>
      <c r="F110" s="1426"/>
    </row>
    <row r="111" spans="1:6" ht="11.85" customHeight="1">
      <c r="A111" s="1469" t="s">
        <v>1346</v>
      </c>
      <c r="B111" s="1470">
        <v>490</v>
      </c>
      <c r="C111" s="3269"/>
      <c r="D111" s="3270"/>
      <c r="E111" s="3233"/>
      <c r="F111" s="1426"/>
    </row>
    <row r="112" spans="1:6" ht="11.85" customHeight="1">
      <c r="A112" s="375" t="s">
        <v>1745</v>
      </c>
      <c r="B112" s="379"/>
      <c r="C112" s="3852"/>
      <c r="D112" s="3851"/>
      <c r="E112" s="3854"/>
      <c r="F112" s="1426"/>
    </row>
    <row r="113" spans="1:6" ht="11.85" customHeight="1">
      <c r="A113" s="378" t="s">
        <v>1544</v>
      </c>
      <c r="B113" s="379"/>
      <c r="C113" s="3853"/>
      <c r="D113" s="2635"/>
      <c r="E113" s="3854"/>
      <c r="F113" s="1426"/>
    </row>
    <row r="114" spans="1:6" ht="11.85" customHeight="1">
      <c r="A114" s="381" t="s">
        <v>1746</v>
      </c>
      <c r="B114" s="2903">
        <v>590</v>
      </c>
      <c r="C114" s="3959"/>
      <c r="D114" s="3951"/>
      <c r="E114" s="3958"/>
      <c r="F114" s="1426"/>
    </row>
    <row r="115" spans="1:6" ht="11.85" customHeight="1">
      <c r="A115" s="384" t="s">
        <v>1732</v>
      </c>
      <c r="B115" s="2902">
        <v>595</v>
      </c>
      <c r="C115" s="3954"/>
      <c r="D115" s="3954"/>
      <c r="E115" s="3960"/>
      <c r="F115" s="1426"/>
    </row>
    <row r="116" spans="1:6" ht="11.85" customHeight="1">
      <c r="A116" s="1424" t="s">
        <v>1019</v>
      </c>
      <c r="B116" s="1425">
        <f>B1</f>
        <v>270</v>
      </c>
      <c r="C116" s="1426"/>
      <c r="D116" s="1426"/>
      <c r="E116" s="1424" t="s">
        <v>1020</v>
      </c>
      <c r="F116" s="1426"/>
    </row>
    <row r="117" spans="1:6" ht="11.85" customHeight="1">
      <c r="A117" s="1426"/>
      <c r="B117" s="1428"/>
      <c r="C117" s="1426"/>
      <c r="D117" s="1426"/>
      <c r="E117" s="1424" t="s">
        <v>1212</v>
      </c>
      <c r="F117" s="1426"/>
    </row>
    <row r="118" spans="1:6" ht="11.85" customHeight="1">
      <c r="A118" s="1426"/>
      <c r="B118" s="1428"/>
      <c r="C118" s="1426"/>
      <c r="D118" s="1426"/>
      <c r="E118" s="1424" t="str">
        <f>E3</f>
        <v>2016-2017</v>
      </c>
      <c r="F118" s="1426"/>
    </row>
    <row r="119" spans="1:6" ht="11.85" customHeight="1">
      <c r="A119" s="1426"/>
      <c r="B119" s="1428"/>
      <c r="C119" s="1426"/>
      <c r="D119" s="1426"/>
      <c r="E119" s="1426"/>
      <c r="F119" s="1426"/>
    </row>
    <row r="120" spans="1:6" ht="11.85" customHeight="1">
      <c r="A120" s="1426"/>
      <c r="B120" s="1425"/>
      <c r="C120" s="1428" t="s">
        <v>1213</v>
      </c>
      <c r="D120" s="1428" t="s">
        <v>1213</v>
      </c>
      <c r="E120" s="1428" t="s">
        <v>1213</v>
      </c>
      <c r="F120" s="1426"/>
    </row>
    <row r="121" spans="1:6" ht="11.85" customHeight="1">
      <c r="A121" s="1429" t="str">
        <f>A34</f>
        <v>VIRTUAL EDUCATION</v>
      </c>
      <c r="B121" s="1430" t="s">
        <v>1045</v>
      </c>
      <c r="C121" s="1431" t="str">
        <f>C6</f>
        <v>2014-2015</v>
      </c>
      <c r="D121" s="1431" t="str">
        <f>D6</f>
        <v>2015-2016</v>
      </c>
      <c r="E121" s="1431">
        <f>E31</f>
        <v>0</v>
      </c>
      <c r="F121" s="1426"/>
    </row>
    <row r="122" spans="1:6" ht="11.85" customHeight="1">
      <c r="A122" s="1429" t="s">
        <v>81</v>
      </c>
      <c r="B122" s="1434">
        <f>B7</f>
        <v>15</v>
      </c>
      <c r="C122" s="1435" t="s">
        <v>1139</v>
      </c>
      <c r="D122" s="1435" t="s">
        <v>1139</v>
      </c>
      <c r="E122" s="1435" t="s">
        <v>1215</v>
      </c>
      <c r="F122" s="1426"/>
    </row>
    <row r="123" spans="1:6" ht="11.85" customHeight="1">
      <c r="A123" s="1437"/>
      <c r="B123" s="1438" t="s">
        <v>1051</v>
      </c>
      <c r="C123" s="1439">
        <v>1</v>
      </c>
      <c r="D123" s="1439">
        <v>2</v>
      </c>
      <c r="E123" s="1439">
        <v>3</v>
      </c>
      <c r="F123" s="1426"/>
    </row>
    <row r="124" spans="1:6" ht="11.85" customHeight="1">
      <c r="A124" s="378" t="s">
        <v>944</v>
      </c>
      <c r="B124" s="2900"/>
      <c r="C124" s="3853"/>
      <c r="D124" s="2635"/>
      <c r="E124" s="3855"/>
      <c r="F124" s="1426"/>
    </row>
    <row r="125" spans="1:6" ht="11.85" customHeight="1">
      <c r="A125" s="381" t="s">
        <v>1748</v>
      </c>
      <c r="B125" s="2900">
        <v>600</v>
      </c>
      <c r="C125" s="3959"/>
      <c r="D125" s="3951"/>
      <c r="E125" s="3963"/>
      <c r="F125" s="1426"/>
    </row>
    <row r="126" spans="1:6" ht="11.85" customHeight="1">
      <c r="A126" s="384" t="s">
        <v>1747</v>
      </c>
      <c r="B126" s="2902">
        <v>605</v>
      </c>
      <c r="C126" s="3954"/>
      <c r="D126" s="3954"/>
      <c r="E126" s="3960"/>
      <c r="F126" s="1426"/>
    </row>
    <row r="127" spans="1:6" ht="11.85" customHeight="1">
      <c r="A127" s="384" t="s">
        <v>1749</v>
      </c>
      <c r="B127" s="2902">
        <v>610</v>
      </c>
      <c r="C127" s="3954"/>
      <c r="D127" s="3954"/>
      <c r="E127" s="3960"/>
      <c r="F127" s="1426"/>
    </row>
    <row r="128" spans="1:6" ht="11.85" customHeight="1">
      <c r="A128" s="384" t="s">
        <v>1439</v>
      </c>
      <c r="B128" s="2902">
        <v>615</v>
      </c>
      <c r="C128" s="3954"/>
      <c r="D128" s="3954"/>
      <c r="E128" s="3960"/>
      <c r="F128" s="1426"/>
    </row>
    <row r="129" spans="1:6" ht="11.85" customHeight="1">
      <c r="A129" s="384" t="s">
        <v>711</v>
      </c>
      <c r="B129" s="2902">
        <v>620</v>
      </c>
      <c r="C129" s="3954"/>
      <c r="D129" s="3954"/>
      <c r="E129" s="3960"/>
      <c r="F129" s="1426"/>
    </row>
    <row r="130" spans="1:6" ht="11.85" customHeight="1">
      <c r="A130" s="384" t="s">
        <v>683</v>
      </c>
      <c r="B130" s="2902">
        <v>625</v>
      </c>
      <c r="C130" s="3954"/>
      <c r="D130" s="3954"/>
      <c r="E130" s="3960"/>
      <c r="F130" s="1426"/>
    </row>
    <row r="131" spans="1:6" ht="11.85" customHeight="1">
      <c r="A131" s="384" t="s">
        <v>1738</v>
      </c>
      <c r="B131" s="2902">
        <v>630</v>
      </c>
      <c r="C131" s="3954"/>
      <c r="D131" s="3954"/>
      <c r="E131" s="3960"/>
      <c r="F131" s="1426"/>
    </row>
    <row r="132" spans="1:6" ht="11.85" customHeight="1">
      <c r="A132" s="384" t="s">
        <v>1739</v>
      </c>
      <c r="B132" s="2902">
        <v>635</v>
      </c>
      <c r="C132" s="3954"/>
      <c r="D132" s="3954"/>
      <c r="E132" s="3960"/>
      <c r="F132" s="1426"/>
    </row>
    <row r="133" spans="1:6" ht="11.85" customHeight="1">
      <c r="A133" s="384" t="s">
        <v>943</v>
      </c>
      <c r="B133" s="2902">
        <v>640</v>
      </c>
      <c r="C133" s="3964"/>
      <c r="D133" s="3954"/>
      <c r="E133" s="3960"/>
      <c r="F133" s="1426"/>
    </row>
    <row r="134" spans="1:6" ht="11.85" customHeight="1">
      <c r="A134" s="1471" t="s">
        <v>1308</v>
      </c>
      <c r="B134" s="1472"/>
      <c r="C134" s="3228"/>
      <c r="D134" s="3223"/>
      <c r="E134" s="3231"/>
      <c r="F134" s="1461"/>
    </row>
    <row r="135" spans="1:6" ht="11.85" customHeight="1">
      <c r="A135" s="1473" t="s">
        <v>1309</v>
      </c>
      <c r="B135" s="1474"/>
      <c r="C135" s="3228"/>
      <c r="D135" s="3223"/>
      <c r="E135" s="3235"/>
      <c r="F135" s="1461"/>
    </row>
    <row r="136" spans="1:6" ht="11.85" customHeight="1">
      <c r="A136" s="1475" t="s">
        <v>1270</v>
      </c>
      <c r="B136" s="1476">
        <v>495</v>
      </c>
      <c r="C136" s="3269"/>
      <c r="D136" s="3269"/>
      <c r="E136" s="3232"/>
      <c r="F136" s="1426"/>
    </row>
    <row r="137" spans="1:6" ht="11.85" customHeight="1">
      <c r="A137" s="1471" t="s">
        <v>1310</v>
      </c>
      <c r="B137" s="1472"/>
      <c r="C137" s="3228"/>
      <c r="D137" s="3223"/>
      <c r="E137" s="3231"/>
      <c r="F137" s="1426"/>
    </row>
    <row r="138" spans="1:6" ht="11.85" customHeight="1">
      <c r="A138" s="1475" t="s">
        <v>1311</v>
      </c>
      <c r="B138" s="1476">
        <v>500</v>
      </c>
      <c r="C138" s="3269"/>
      <c r="D138" s="3268"/>
      <c r="E138" s="3232"/>
      <c r="F138" s="1426"/>
    </row>
    <row r="139" spans="1:6" ht="11.85" customHeight="1">
      <c r="A139" s="1469" t="s">
        <v>1314</v>
      </c>
      <c r="B139" s="1470">
        <v>505</v>
      </c>
      <c r="C139" s="3269"/>
      <c r="D139" s="3270"/>
      <c r="E139" s="3233"/>
      <c r="F139" s="1426"/>
    </row>
    <row r="140" spans="1:6" ht="11.85" customHeight="1">
      <c r="A140" s="1469" t="s">
        <v>1315</v>
      </c>
      <c r="B140" s="1470">
        <v>510</v>
      </c>
      <c r="C140" s="3269"/>
      <c r="D140" s="3270"/>
      <c r="E140" s="3233"/>
      <c r="F140" s="1426"/>
    </row>
    <row r="141" spans="1:6" ht="11.85" customHeight="1">
      <c r="A141" s="1475" t="s">
        <v>1</v>
      </c>
      <c r="B141" s="1476">
        <v>515</v>
      </c>
      <c r="C141" s="3269"/>
      <c r="D141" s="3270"/>
      <c r="E141" s="3232"/>
      <c r="F141" s="1426"/>
    </row>
    <row r="142" spans="1:6" ht="11.85" customHeight="1">
      <c r="A142" s="1471" t="s">
        <v>1318</v>
      </c>
      <c r="B142" s="1472"/>
      <c r="C142" s="3228"/>
      <c r="D142" s="3223"/>
      <c r="E142" s="3231"/>
      <c r="F142" s="1426"/>
    </row>
    <row r="143" spans="1:6" ht="11.85" customHeight="1">
      <c r="A143" s="1475" t="s">
        <v>1319</v>
      </c>
      <c r="B143" s="1476">
        <v>520</v>
      </c>
      <c r="C143" s="3269"/>
      <c r="D143" s="3268"/>
      <c r="E143" s="3232"/>
      <c r="F143" s="1426"/>
    </row>
    <row r="144" spans="1:6" ht="11.85" customHeight="1">
      <c r="A144" s="1469" t="s">
        <v>1320</v>
      </c>
      <c r="B144" s="1470">
        <v>525</v>
      </c>
      <c r="C144" s="3269"/>
      <c r="D144" s="3270"/>
      <c r="E144" s="3233"/>
      <c r="F144" s="1426"/>
    </row>
    <row r="145" spans="1:6" ht="11.85" customHeight="1">
      <c r="A145" s="1471" t="s">
        <v>1321</v>
      </c>
      <c r="B145" s="1472">
        <v>530</v>
      </c>
      <c r="C145" s="3269"/>
      <c r="D145" s="3270"/>
      <c r="E145" s="3236"/>
      <c r="F145" s="1426"/>
    </row>
    <row r="146" spans="1:6" ht="11.85" customHeight="1">
      <c r="A146" s="1477" t="s">
        <v>1322</v>
      </c>
      <c r="B146" s="1478">
        <v>535</v>
      </c>
      <c r="C146" s="3269"/>
      <c r="D146" s="3270"/>
      <c r="E146" s="3233"/>
      <c r="F146" s="1426"/>
    </row>
    <row r="147" spans="1:6" ht="11.85" customHeight="1">
      <c r="A147" s="1467" t="s">
        <v>1326</v>
      </c>
      <c r="B147" s="1468">
        <v>540</v>
      </c>
      <c r="C147" s="3269"/>
      <c r="D147" s="3270"/>
      <c r="E147" s="3232"/>
      <c r="F147" s="1426"/>
    </row>
    <row r="148" spans="1:6" ht="12" customHeight="1">
      <c r="A148" s="1477" t="s">
        <v>1327</v>
      </c>
      <c r="B148" s="1478">
        <v>545</v>
      </c>
      <c r="C148" s="3269"/>
      <c r="D148" s="3270"/>
      <c r="E148" s="3233"/>
      <c r="F148" s="1426"/>
    </row>
    <row r="149" spans="1:6" ht="12" customHeight="1">
      <c r="A149" s="1465" t="s">
        <v>1337</v>
      </c>
      <c r="B149" s="1466"/>
      <c r="C149" s="3228"/>
      <c r="D149" s="3223"/>
      <c r="E149" s="3231"/>
      <c r="F149" s="1426"/>
    </row>
    <row r="150" spans="1:6" ht="12" customHeight="1">
      <c r="A150" s="1467" t="s">
        <v>1338</v>
      </c>
      <c r="B150" s="1468">
        <v>550</v>
      </c>
      <c r="C150" s="3269"/>
      <c r="D150" s="3269"/>
      <c r="E150" s="3232"/>
      <c r="F150" s="1426"/>
    </row>
    <row r="151" spans="1:6" ht="12" customHeight="1">
      <c r="A151" s="1465" t="s">
        <v>1339</v>
      </c>
      <c r="B151" s="1466"/>
      <c r="C151" s="3228"/>
      <c r="D151" s="3223"/>
      <c r="E151" s="3231"/>
      <c r="F151" s="1426"/>
    </row>
    <row r="152" spans="1:6" ht="12" customHeight="1">
      <c r="A152" s="1475" t="s">
        <v>1340</v>
      </c>
      <c r="B152" s="1476">
        <v>555</v>
      </c>
      <c r="C152" s="3269"/>
      <c r="D152" s="3268"/>
      <c r="E152" s="3232"/>
      <c r="F152" s="1426"/>
    </row>
    <row r="153" spans="1:6" ht="12" customHeight="1">
      <c r="A153" s="1469" t="s">
        <v>1341</v>
      </c>
      <c r="B153" s="1470">
        <v>560</v>
      </c>
      <c r="C153" s="3269"/>
      <c r="D153" s="3270"/>
      <c r="E153" s="3233"/>
      <c r="F153" s="1426"/>
    </row>
    <row r="154" spans="1:6" ht="12" customHeight="1">
      <c r="A154" s="1469" t="s">
        <v>1342</v>
      </c>
      <c r="B154" s="1470">
        <v>565</v>
      </c>
      <c r="C154" s="3269"/>
      <c r="D154" s="3270"/>
      <c r="E154" s="3233"/>
      <c r="F154" s="1426"/>
    </row>
    <row r="155" spans="1:6" ht="12" customHeight="1">
      <c r="A155" s="1469" t="s">
        <v>1343</v>
      </c>
      <c r="B155" s="1470">
        <v>570</v>
      </c>
      <c r="C155" s="3269"/>
      <c r="D155" s="3270"/>
      <c r="E155" s="3233"/>
      <c r="F155" s="1426"/>
    </row>
    <row r="156" spans="1:6" ht="12" customHeight="1">
      <c r="A156" s="1449" t="s">
        <v>1291</v>
      </c>
      <c r="B156" s="1450">
        <v>575</v>
      </c>
      <c r="C156" s="1464"/>
      <c r="D156" s="3264"/>
      <c r="E156" s="3229"/>
      <c r="F156" s="1426"/>
    </row>
    <row r="157" spans="1:6" ht="12" customHeight="1">
      <c r="A157" s="1449" t="s">
        <v>1292</v>
      </c>
      <c r="B157" s="1450">
        <v>580</v>
      </c>
      <c r="C157" s="1464"/>
      <c r="D157" s="3264"/>
      <c r="E157" s="3229"/>
      <c r="F157" s="1426"/>
    </row>
    <row r="158" spans="1:6" ht="12" customHeight="1">
      <c r="A158" s="1455" t="s">
        <v>1293</v>
      </c>
      <c r="B158" s="1456">
        <v>585</v>
      </c>
      <c r="C158" s="3267"/>
      <c r="D158" s="3264"/>
      <c r="E158" s="2761"/>
      <c r="F158" s="1426"/>
    </row>
    <row r="159" spans="1:6" ht="12" customHeight="1">
      <c r="A159" s="1451" t="s">
        <v>1752</v>
      </c>
      <c r="B159" s="1452"/>
      <c r="C159" s="3220"/>
      <c r="D159" s="3870"/>
      <c r="E159" s="3049"/>
      <c r="F159" s="1426"/>
    </row>
    <row r="160" spans="1:6" ht="12" customHeight="1">
      <c r="A160" s="1453" t="s">
        <v>1268</v>
      </c>
      <c r="B160" s="1454"/>
      <c r="C160" s="3221"/>
      <c r="D160" s="3870"/>
      <c r="E160" s="2760"/>
      <c r="F160" s="1426"/>
    </row>
    <row r="161" spans="1:7" ht="12" customHeight="1">
      <c r="A161" s="1455" t="s">
        <v>1269</v>
      </c>
      <c r="B161" s="2952">
        <v>650</v>
      </c>
      <c r="C161" s="3872"/>
      <c r="D161" s="3871"/>
      <c r="E161" s="2761"/>
      <c r="F161" s="1426"/>
    </row>
    <row r="162" spans="1:7" ht="12" customHeight="1">
      <c r="A162" s="1449" t="s">
        <v>358</v>
      </c>
      <c r="B162" s="2954">
        <v>655</v>
      </c>
      <c r="C162" s="3872"/>
      <c r="D162" s="3229"/>
      <c r="E162" s="3229"/>
      <c r="F162" s="1426"/>
    </row>
    <row r="163" spans="1:7" ht="12" customHeight="1">
      <c r="A163" s="1451" t="s">
        <v>1271</v>
      </c>
      <c r="B163" s="2950"/>
      <c r="C163" s="3221"/>
      <c r="D163" s="3870"/>
      <c r="E163" s="3049"/>
      <c r="F163" s="1426"/>
    </row>
    <row r="164" spans="1:7" ht="12" customHeight="1">
      <c r="A164" s="1455" t="s">
        <v>353</v>
      </c>
      <c r="B164" s="2952">
        <v>660</v>
      </c>
      <c r="C164" s="3872"/>
      <c r="D164" s="3871"/>
      <c r="E164" s="2761"/>
      <c r="F164" s="1426"/>
    </row>
    <row r="165" spans="1:7" ht="12" customHeight="1">
      <c r="A165" s="1449" t="s">
        <v>1273</v>
      </c>
      <c r="B165" s="2954">
        <v>665</v>
      </c>
      <c r="C165" s="3872"/>
      <c r="D165" s="3229"/>
      <c r="E165" s="3229"/>
      <c r="F165" s="1426"/>
    </row>
    <row r="166" spans="1:7" ht="12" customHeight="1">
      <c r="A166" s="1449" t="s">
        <v>1276</v>
      </c>
      <c r="B166" s="2954">
        <v>670</v>
      </c>
      <c r="C166" s="3872"/>
      <c r="D166" s="3229"/>
      <c r="E166" s="3229"/>
      <c r="F166" s="1426"/>
    </row>
    <row r="167" spans="1:7" ht="12" customHeight="1">
      <c r="A167" s="1455" t="s">
        <v>1280</v>
      </c>
      <c r="B167" s="2952">
        <v>675</v>
      </c>
      <c r="C167" s="3872"/>
      <c r="D167" s="3229"/>
      <c r="E167" s="2761"/>
      <c r="F167" s="1426"/>
    </row>
    <row r="168" spans="1:7" ht="12" customHeight="1">
      <c r="A168" s="1449" t="s">
        <v>1303</v>
      </c>
      <c r="B168" s="2954">
        <v>680</v>
      </c>
      <c r="C168" s="3872"/>
      <c r="D168" s="3229"/>
      <c r="E168" s="3229"/>
      <c r="F168" s="1426"/>
    </row>
    <row r="169" spans="1:7" ht="12" customHeight="1">
      <c r="A169" s="1455" t="s">
        <v>1282</v>
      </c>
      <c r="B169" s="2952">
        <v>685</v>
      </c>
      <c r="C169" s="3872"/>
      <c r="D169" s="3229"/>
      <c r="E169" s="2761"/>
      <c r="F169" s="1426"/>
    </row>
    <row r="170" spans="1:7" ht="12" customHeight="1">
      <c r="A170" s="1449" t="s">
        <v>1288</v>
      </c>
      <c r="B170" s="2954">
        <v>690</v>
      </c>
      <c r="C170" s="3872"/>
      <c r="D170" s="3229"/>
      <c r="E170" s="3229"/>
      <c r="F170" s="1426"/>
    </row>
    <row r="171" spans="1:7" ht="12" customHeight="1">
      <c r="A171" s="1455" t="s">
        <v>1292</v>
      </c>
      <c r="B171" s="2952">
        <v>695</v>
      </c>
      <c r="C171" s="3872"/>
      <c r="D171" s="3229"/>
      <c r="E171" s="2761"/>
      <c r="F171" s="1426"/>
    </row>
    <row r="172" spans="1:7" ht="12" customHeight="1">
      <c r="A172" s="1451" t="s">
        <v>1293</v>
      </c>
      <c r="B172" s="2950">
        <v>700</v>
      </c>
      <c r="C172" s="3872"/>
      <c r="D172" s="3871"/>
      <c r="E172" s="3230"/>
      <c r="F172" s="1426"/>
    </row>
    <row r="173" spans="1:7" ht="12" customHeight="1">
      <c r="A173" s="3499" t="s">
        <v>1501</v>
      </c>
      <c r="B173" s="1452"/>
      <c r="C173" s="3221"/>
      <c r="D173" s="3501"/>
      <c r="E173" s="3220"/>
      <c r="F173" s="1426"/>
    </row>
    <row r="174" spans="1:7" ht="12" customHeight="1">
      <c r="A174" s="3500" t="s">
        <v>1503</v>
      </c>
      <c r="B174" s="3551">
        <v>645</v>
      </c>
      <c r="C174" s="3872"/>
      <c r="D174" s="3799"/>
      <c r="E174" s="1464"/>
      <c r="F174" s="1426"/>
      <c r="G174" s="3503"/>
    </row>
    <row r="175" spans="1:7" ht="14.25" customHeight="1">
      <c r="A175" s="1455" t="s">
        <v>1248</v>
      </c>
      <c r="B175" s="3502" t="s">
        <v>92</v>
      </c>
      <c r="C175" s="2547">
        <f>SUM(C124:C174,C70:C115,C39:C58)</f>
        <v>0</v>
      </c>
      <c r="D175" s="2547">
        <f t="shared" ref="D175:E175" si="1">SUM(D124:D174,D70:D115,D39:D58)</f>
        <v>0</v>
      </c>
      <c r="E175" s="2547">
        <f t="shared" si="1"/>
        <v>0</v>
      </c>
      <c r="F175" s="1426"/>
      <c r="G175" s="3503"/>
    </row>
    <row r="176" spans="1:7" ht="8.25" customHeight="1">
      <c r="A176" s="1426"/>
      <c r="B176" s="1426"/>
      <c r="C176" s="1426"/>
      <c r="D176" s="1426"/>
      <c r="E176" s="1426"/>
      <c r="F176" s="1426"/>
    </row>
    <row r="177" spans="1:6" ht="12" customHeight="1">
      <c r="A177" s="1426"/>
      <c r="B177" s="1426"/>
      <c r="C177" s="1426"/>
      <c r="D177" s="1426"/>
      <c r="E177" s="1426"/>
      <c r="F177" s="1426"/>
    </row>
    <row r="178" spans="1:6" ht="12" customHeight="1">
      <c r="A178" s="1426"/>
      <c r="B178" s="1426"/>
      <c r="C178" s="1426"/>
      <c r="D178" s="1426"/>
      <c r="E178" s="1426"/>
      <c r="F178" s="1426"/>
    </row>
    <row r="179" spans="1:6" ht="12" customHeight="1">
      <c r="A179" s="1426"/>
      <c r="B179" s="1426"/>
      <c r="C179" s="1426"/>
      <c r="D179" s="1426"/>
      <c r="E179" s="1426"/>
      <c r="F179" s="1426"/>
    </row>
    <row r="180" spans="1:6" ht="12" customHeight="1">
      <c r="A180" s="1426"/>
      <c r="B180" s="1426"/>
      <c r="C180" s="1426"/>
      <c r="D180" s="1426"/>
      <c r="E180" s="1426"/>
      <c r="F180" s="1426"/>
    </row>
    <row r="181" spans="1:6" ht="12" customHeight="1">
      <c r="A181" s="1426"/>
      <c r="B181" s="1426"/>
      <c r="C181" s="1426"/>
      <c r="D181" s="1426"/>
      <c r="E181" s="1426"/>
      <c r="F181" s="1426"/>
    </row>
    <row r="182" spans="1:6" ht="12" customHeight="1">
      <c r="A182" s="1426"/>
      <c r="B182" s="1426"/>
      <c r="C182" s="1426"/>
      <c r="D182" s="1426"/>
      <c r="E182" s="1426"/>
      <c r="F182" s="1426"/>
    </row>
    <row r="183" spans="1:6" ht="12" customHeight="1">
      <c r="A183" s="1426"/>
      <c r="B183" s="1426"/>
      <c r="C183" s="1426"/>
      <c r="D183" s="1426"/>
      <c r="E183" s="1426"/>
      <c r="F183" s="1426"/>
    </row>
    <row r="184" spans="1:6" ht="12" customHeight="1">
      <c r="A184" s="1426"/>
      <c r="B184" s="1426"/>
      <c r="C184" s="1426"/>
      <c r="D184" s="1426"/>
      <c r="E184" s="1426"/>
      <c r="F184" s="1426"/>
    </row>
    <row r="185" spans="1:6" ht="12" customHeight="1">
      <c r="A185" s="1426"/>
      <c r="B185" s="1426"/>
      <c r="C185" s="1426"/>
      <c r="D185" s="1426"/>
      <c r="E185" s="1426"/>
      <c r="F185" s="1426"/>
    </row>
    <row r="186" spans="1:6" ht="12" customHeight="1">
      <c r="A186" s="1426"/>
      <c r="B186" s="1426"/>
      <c r="C186" s="1426"/>
      <c r="D186" s="1426"/>
      <c r="E186" s="1426"/>
      <c r="F186" s="1426"/>
    </row>
    <row r="187" spans="1:6" ht="12" customHeight="1">
      <c r="A187" s="1426"/>
      <c r="B187" s="1426"/>
      <c r="C187" s="1426"/>
      <c r="D187" s="1426"/>
      <c r="E187" s="1426"/>
      <c r="F187" s="1426"/>
    </row>
    <row r="188" spans="1:6" ht="12" customHeight="1">
      <c r="A188" s="1426"/>
      <c r="B188" s="1426"/>
      <c r="C188" s="1426"/>
      <c r="D188" s="1426"/>
      <c r="E188" s="1426"/>
      <c r="F188" s="1426"/>
    </row>
    <row r="189" spans="1:6" ht="12" customHeight="1">
      <c r="A189" s="1426"/>
      <c r="B189" s="1426"/>
      <c r="C189" s="1426"/>
      <c r="D189" s="1426"/>
      <c r="E189" s="1426"/>
      <c r="F189" s="1426"/>
    </row>
    <row r="190" spans="1:6" ht="12" customHeight="1">
      <c r="A190" s="1426"/>
      <c r="B190" s="1426"/>
      <c r="C190" s="1426"/>
      <c r="D190" s="1426"/>
      <c r="E190" s="1426"/>
      <c r="F190" s="1426"/>
    </row>
    <row r="191" spans="1:6" ht="12" customHeight="1">
      <c r="A191" s="1426"/>
      <c r="B191" s="1426"/>
      <c r="C191" s="1426"/>
      <c r="D191" s="1426"/>
      <c r="E191" s="1426"/>
      <c r="F191" s="1426"/>
    </row>
    <row r="192" spans="1:6" ht="12" customHeight="1">
      <c r="A192" s="1426"/>
      <c r="B192" s="1426"/>
      <c r="C192" s="1426"/>
      <c r="D192" s="1426"/>
      <c r="E192" s="1426"/>
      <c r="F192" s="1426"/>
    </row>
    <row r="193" spans="1:6" ht="12" customHeight="1">
      <c r="A193" s="1426"/>
      <c r="B193" s="1426"/>
      <c r="C193" s="1426"/>
      <c r="D193" s="1426"/>
      <c r="E193" s="1426"/>
      <c r="F193" s="1426"/>
    </row>
    <row r="194" spans="1:6" ht="12" customHeight="1">
      <c r="A194" s="1426"/>
      <c r="B194" s="1426"/>
      <c r="C194" s="1426"/>
      <c r="D194" s="1426"/>
      <c r="E194" s="1426"/>
      <c r="F194" s="1426"/>
    </row>
    <row r="195" spans="1:6" ht="12" customHeight="1">
      <c r="A195" s="1426"/>
      <c r="B195" s="1426"/>
      <c r="C195" s="1426"/>
      <c r="D195" s="1426"/>
      <c r="E195" s="1426"/>
      <c r="F195" s="1426"/>
    </row>
    <row r="196" spans="1:6" ht="12" customHeight="1">
      <c r="A196" s="1426"/>
      <c r="B196" s="1426"/>
      <c r="C196" s="1426"/>
      <c r="D196" s="1426"/>
      <c r="E196" s="1426"/>
      <c r="F196" s="1426"/>
    </row>
    <row r="197" spans="1:6" ht="12" customHeight="1">
      <c r="A197" s="1426"/>
      <c r="B197" s="1426"/>
      <c r="C197" s="1426"/>
      <c r="D197" s="1426"/>
      <c r="E197" s="1426"/>
      <c r="F197" s="1426"/>
    </row>
    <row r="198" spans="1:6" ht="12" customHeight="1">
      <c r="A198" s="1426"/>
      <c r="B198" s="1426"/>
      <c r="C198" s="1426"/>
      <c r="D198" s="1426"/>
      <c r="E198" s="1426"/>
      <c r="F198" s="1426"/>
    </row>
    <row r="199" spans="1:6" ht="12" customHeight="1">
      <c r="A199" s="1426"/>
      <c r="B199" s="1426"/>
      <c r="C199" s="1426"/>
      <c r="D199" s="1426"/>
      <c r="E199" s="1426"/>
      <c r="F199" s="1426"/>
    </row>
    <row r="200" spans="1:6" ht="12" customHeight="1">
      <c r="A200" s="1426"/>
      <c r="B200" s="1426"/>
      <c r="C200" s="1426"/>
      <c r="D200" s="1426"/>
      <c r="E200" s="1426"/>
      <c r="F200" s="1426"/>
    </row>
    <row r="201" spans="1:6" ht="12" customHeight="1">
      <c r="A201" s="1426"/>
      <c r="B201" s="1426"/>
      <c r="C201" s="1426"/>
      <c r="D201" s="1426"/>
      <c r="E201" s="1426"/>
      <c r="F201" s="1426"/>
    </row>
    <row r="202" spans="1:6" ht="12" customHeight="1">
      <c r="A202" s="1426"/>
      <c r="B202" s="1426"/>
      <c r="C202" s="1426"/>
      <c r="D202" s="1426"/>
      <c r="E202" s="1426"/>
      <c r="F202" s="1426"/>
    </row>
    <row r="203" spans="1:6" ht="12" customHeight="1">
      <c r="A203" s="1426"/>
      <c r="B203" s="1426"/>
      <c r="C203" s="1426"/>
      <c r="D203" s="1426"/>
      <c r="E203" s="1426"/>
      <c r="F203" s="1426"/>
    </row>
    <row r="204" spans="1:6" ht="12" customHeight="1">
      <c r="A204" s="1426"/>
      <c r="B204" s="1426"/>
      <c r="C204" s="1426"/>
      <c r="D204" s="1426"/>
      <c r="E204" s="1426"/>
      <c r="F204" s="1426"/>
    </row>
    <row r="205" spans="1:6" ht="12" customHeight="1">
      <c r="A205" s="1426"/>
      <c r="B205" s="1426"/>
      <c r="C205" s="1426"/>
      <c r="D205" s="1426"/>
      <c r="E205" s="1426"/>
      <c r="F205" s="1426"/>
    </row>
    <row r="206" spans="1:6" ht="12" customHeight="1">
      <c r="A206" s="1426"/>
      <c r="B206" s="1426"/>
      <c r="C206" s="1426"/>
      <c r="D206" s="1426"/>
      <c r="E206" s="1426"/>
      <c r="F206" s="1426"/>
    </row>
    <row r="207" spans="1:6" ht="12" customHeight="1">
      <c r="A207" s="1426"/>
      <c r="B207" s="1426"/>
      <c r="C207" s="1426"/>
      <c r="D207" s="1426"/>
      <c r="E207" s="1426"/>
      <c r="F207" s="1426"/>
    </row>
    <row r="208" spans="1:6" ht="12" customHeight="1">
      <c r="A208" s="1426"/>
      <c r="B208" s="1426"/>
      <c r="C208" s="1426"/>
      <c r="D208" s="1426"/>
      <c r="E208" s="1426"/>
      <c r="F208" s="1426"/>
    </row>
    <row r="209" spans="1:6" ht="12" customHeight="1">
      <c r="A209" s="1426"/>
      <c r="B209" s="1426"/>
      <c r="C209" s="1426"/>
      <c r="D209" s="1426"/>
      <c r="E209" s="1426"/>
      <c r="F209" s="1426"/>
    </row>
    <row r="210" spans="1:6" ht="12" customHeight="1">
      <c r="A210" s="1426"/>
      <c r="B210" s="1426"/>
      <c r="C210" s="1426"/>
      <c r="D210" s="1426"/>
      <c r="E210" s="1426"/>
      <c r="F210" s="1426"/>
    </row>
    <row r="211" spans="1:6" ht="12" customHeight="1">
      <c r="A211" s="1426"/>
      <c r="B211" s="1426"/>
      <c r="C211" s="1426"/>
      <c r="D211" s="1426"/>
      <c r="E211" s="1426"/>
      <c r="F211" s="1426"/>
    </row>
    <row r="212" spans="1:6" ht="12" customHeight="1">
      <c r="A212" s="1426"/>
      <c r="B212" s="1426"/>
      <c r="C212" s="1426"/>
      <c r="D212" s="1426"/>
      <c r="E212" s="1426"/>
      <c r="F212" s="1426"/>
    </row>
    <row r="213" spans="1:6" ht="12" customHeight="1">
      <c r="A213" s="1426"/>
      <c r="B213" s="1426"/>
      <c r="C213" s="1426"/>
      <c r="D213" s="1426"/>
      <c r="E213" s="1426"/>
      <c r="F213" s="1426"/>
    </row>
    <row r="214" spans="1:6" ht="12" customHeight="1">
      <c r="A214" s="1426"/>
      <c r="B214" s="1426"/>
      <c r="C214" s="1426"/>
      <c r="D214" s="1426"/>
      <c r="E214" s="1426"/>
      <c r="F214" s="1426"/>
    </row>
    <row r="215" spans="1:6" ht="12" customHeight="1">
      <c r="A215" s="1426"/>
      <c r="B215" s="1426"/>
      <c r="C215" s="1426"/>
      <c r="D215" s="1426"/>
      <c r="E215" s="1426"/>
      <c r="F215" s="1426"/>
    </row>
    <row r="216" spans="1:6" ht="12" customHeight="1">
      <c r="A216" s="1426"/>
      <c r="B216" s="1426"/>
      <c r="C216" s="1426"/>
      <c r="D216" s="1426"/>
      <c r="E216" s="1426"/>
      <c r="F216" s="1426"/>
    </row>
    <row r="217" spans="1:6" ht="12" customHeight="1">
      <c r="A217" s="1426"/>
      <c r="B217" s="1426"/>
      <c r="C217" s="1426"/>
      <c r="D217" s="1426"/>
      <c r="E217" s="1426"/>
      <c r="F217" s="1426"/>
    </row>
    <row r="218" spans="1:6" ht="12" customHeight="1">
      <c r="A218" s="1426"/>
      <c r="B218" s="1426"/>
      <c r="C218" s="1426"/>
      <c r="D218" s="1426"/>
      <c r="E218" s="1426"/>
      <c r="F218" s="1426"/>
    </row>
    <row r="219" spans="1:6" ht="12" customHeight="1">
      <c r="A219" s="1426"/>
      <c r="B219" s="1426"/>
      <c r="C219" s="1426"/>
      <c r="D219" s="1426"/>
      <c r="E219" s="1426"/>
      <c r="F219" s="1426"/>
    </row>
    <row r="220" spans="1:6" ht="12" customHeight="1">
      <c r="A220" s="1426"/>
      <c r="B220" s="1426"/>
      <c r="C220" s="1426"/>
      <c r="D220" s="1426"/>
      <c r="E220" s="1426"/>
      <c r="F220" s="1426"/>
    </row>
    <row r="221" spans="1:6" ht="12" customHeight="1">
      <c r="A221" s="1426"/>
      <c r="B221" s="1426"/>
      <c r="C221" s="1426"/>
      <c r="D221" s="1426"/>
      <c r="E221" s="1426"/>
      <c r="F221" s="1426"/>
    </row>
    <row r="222" spans="1:6" ht="12" customHeight="1">
      <c r="A222" s="1426"/>
      <c r="B222" s="1426"/>
      <c r="C222" s="1426"/>
      <c r="D222" s="1426"/>
      <c r="E222" s="1426"/>
      <c r="F222" s="1426"/>
    </row>
    <row r="223" spans="1:6" ht="12" customHeight="1">
      <c r="A223" s="1426"/>
      <c r="B223" s="1426"/>
      <c r="C223" s="1426"/>
      <c r="D223" s="1426"/>
      <c r="E223" s="1426"/>
      <c r="F223" s="1426"/>
    </row>
    <row r="224" spans="1:6" ht="12" customHeight="1">
      <c r="A224" s="1426"/>
      <c r="B224" s="1426"/>
      <c r="C224" s="1426"/>
      <c r="D224" s="1426"/>
      <c r="E224" s="1426"/>
      <c r="F224" s="1426"/>
    </row>
    <row r="225" spans="1:6" ht="12" customHeight="1">
      <c r="A225" s="1426"/>
      <c r="B225" s="1426"/>
      <c r="C225" s="1426"/>
      <c r="D225" s="1426"/>
      <c r="E225" s="1426"/>
      <c r="F225" s="1426"/>
    </row>
    <row r="226" spans="1:6" ht="12" customHeight="1">
      <c r="A226" s="1426"/>
      <c r="B226" s="1426"/>
      <c r="C226" s="1426"/>
      <c r="D226" s="1426"/>
      <c r="E226" s="1426"/>
      <c r="F226" s="1426"/>
    </row>
    <row r="227" spans="1:6" ht="12" customHeight="1">
      <c r="A227" s="1426"/>
      <c r="B227" s="1426"/>
      <c r="C227" s="1426"/>
      <c r="D227" s="1426"/>
      <c r="E227" s="1426"/>
      <c r="F227" s="1426"/>
    </row>
    <row r="228" spans="1:6" ht="12" customHeight="1">
      <c r="A228" s="1426"/>
      <c r="B228" s="1426"/>
      <c r="C228" s="1426"/>
      <c r="D228" s="1426"/>
      <c r="E228" s="1426"/>
      <c r="F228" s="1426"/>
    </row>
    <row r="229" spans="1:6" ht="12" customHeight="1">
      <c r="A229" s="1426"/>
      <c r="B229" s="1426"/>
      <c r="C229" s="1426"/>
      <c r="D229" s="1426"/>
      <c r="E229" s="1426"/>
      <c r="F229" s="1426"/>
    </row>
    <row r="230" spans="1:6" ht="12" customHeight="1">
      <c r="A230" s="1426"/>
      <c r="B230" s="1426"/>
      <c r="C230" s="1426"/>
      <c r="D230" s="1426"/>
      <c r="E230" s="1426"/>
      <c r="F230" s="1426"/>
    </row>
    <row r="231" spans="1:6" ht="12" customHeight="1">
      <c r="A231" s="1426"/>
      <c r="B231" s="1426"/>
      <c r="C231" s="1426"/>
      <c r="D231" s="1426"/>
      <c r="E231" s="1426"/>
      <c r="F231" s="1426"/>
    </row>
    <row r="232" spans="1:6" ht="12" customHeight="1">
      <c r="A232" s="1426"/>
      <c r="B232" s="1426"/>
      <c r="C232" s="1426"/>
      <c r="D232" s="1426"/>
      <c r="E232" s="1426"/>
      <c r="F232" s="1426"/>
    </row>
    <row r="233" spans="1:6" ht="12" customHeight="1">
      <c r="A233" s="1426"/>
      <c r="B233" s="1426"/>
      <c r="C233" s="1426"/>
      <c r="D233" s="1426"/>
      <c r="E233" s="1426"/>
      <c r="F233" s="1426"/>
    </row>
    <row r="234" spans="1:6" ht="12" customHeight="1">
      <c r="A234" s="1426"/>
      <c r="B234" s="1426"/>
      <c r="C234" s="1426"/>
      <c r="D234" s="1426"/>
      <c r="E234" s="1426"/>
      <c r="F234" s="1426"/>
    </row>
    <row r="235" spans="1:6" ht="12" customHeight="1">
      <c r="A235" s="1426"/>
      <c r="B235" s="1426"/>
      <c r="C235" s="1426"/>
      <c r="D235" s="1426"/>
      <c r="E235" s="1426"/>
      <c r="F235" s="1426"/>
    </row>
    <row r="236" spans="1:6" ht="12" customHeight="1">
      <c r="A236" s="1426"/>
      <c r="B236" s="1426"/>
      <c r="C236" s="1426"/>
      <c r="D236" s="1426"/>
      <c r="E236" s="1426"/>
      <c r="F236" s="1426"/>
    </row>
    <row r="237" spans="1:6" ht="12" customHeight="1">
      <c r="A237" s="1426"/>
      <c r="B237" s="1426"/>
      <c r="C237" s="1426"/>
      <c r="D237" s="1426"/>
      <c r="E237" s="1426"/>
      <c r="F237" s="1426"/>
    </row>
    <row r="238" spans="1:6" ht="12" customHeight="1">
      <c r="A238" s="1426"/>
      <c r="B238" s="1426"/>
      <c r="C238" s="1426"/>
      <c r="D238" s="1426"/>
      <c r="E238" s="1426"/>
      <c r="F238" s="1426"/>
    </row>
    <row r="239" spans="1:6" ht="12" customHeight="1">
      <c r="A239" s="1426"/>
      <c r="B239" s="1426"/>
      <c r="C239" s="1426"/>
      <c r="D239" s="1426"/>
      <c r="E239" s="1426"/>
      <c r="F239" s="1426"/>
    </row>
    <row r="240" spans="1:6" ht="12" customHeight="1">
      <c r="A240" s="1426"/>
      <c r="B240" s="1426"/>
      <c r="C240" s="1426"/>
      <c r="D240" s="1426"/>
      <c r="E240" s="1426"/>
      <c r="F240" s="1426"/>
    </row>
    <row r="241" spans="1:6" ht="12" customHeight="1">
      <c r="A241" s="1426"/>
      <c r="B241" s="1426"/>
      <c r="C241" s="1426"/>
      <c r="D241" s="1426"/>
      <c r="E241" s="1426"/>
      <c r="F241" s="1426"/>
    </row>
    <row r="242" spans="1:6" ht="12" customHeight="1">
      <c r="A242" s="1426"/>
      <c r="B242" s="1426"/>
      <c r="C242" s="1426"/>
      <c r="D242" s="1426"/>
      <c r="E242" s="1426"/>
      <c r="F242" s="1426"/>
    </row>
    <row r="243" spans="1:6" ht="12" customHeight="1">
      <c r="A243" s="1426"/>
      <c r="B243" s="1426"/>
      <c r="C243" s="1426"/>
      <c r="D243" s="1426"/>
      <c r="E243" s="1426"/>
      <c r="F243" s="1426"/>
    </row>
    <row r="244" spans="1:6" ht="12" customHeight="1">
      <c r="A244" s="1426"/>
      <c r="B244" s="1426"/>
      <c r="C244" s="1426"/>
      <c r="D244" s="1426"/>
      <c r="E244" s="1426"/>
      <c r="F244" s="1426"/>
    </row>
    <row r="245" spans="1:6" ht="12" customHeight="1">
      <c r="A245" s="1426"/>
      <c r="B245" s="1426"/>
      <c r="C245" s="1426"/>
      <c r="D245" s="1426"/>
      <c r="E245" s="1426"/>
      <c r="F245" s="1426"/>
    </row>
    <row r="246" spans="1:6" ht="12" customHeight="1">
      <c r="A246" s="1426"/>
      <c r="B246" s="1426"/>
      <c r="C246" s="1426"/>
      <c r="D246" s="1426"/>
      <c r="E246" s="1426"/>
      <c r="F246" s="1426"/>
    </row>
    <row r="247" spans="1:6" ht="12" customHeight="1">
      <c r="A247" s="1426"/>
      <c r="B247" s="1426"/>
      <c r="C247" s="1426"/>
      <c r="D247" s="1426"/>
      <c r="E247" s="1426"/>
      <c r="F247" s="1426"/>
    </row>
    <row r="248" spans="1:6" ht="12" customHeight="1">
      <c r="A248" s="1426"/>
      <c r="B248" s="1426"/>
      <c r="C248" s="1426"/>
      <c r="D248" s="1426"/>
      <c r="E248" s="1426"/>
      <c r="F248" s="1426"/>
    </row>
    <row r="249" spans="1:6" ht="12" customHeight="1">
      <c r="A249" s="1426"/>
      <c r="B249" s="1426"/>
      <c r="C249" s="1426"/>
      <c r="D249" s="1426"/>
      <c r="E249" s="1426"/>
      <c r="F249" s="1426"/>
    </row>
    <row r="250" spans="1:6" ht="12" customHeight="1">
      <c r="A250" s="1426"/>
      <c r="B250" s="1426"/>
      <c r="C250" s="1426"/>
      <c r="D250" s="1426"/>
      <c r="E250" s="1426"/>
      <c r="F250" s="1426"/>
    </row>
    <row r="251" spans="1:6" ht="12" customHeight="1">
      <c r="A251" s="1426"/>
      <c r="B251" s="1426"/>
      <c r="C251" s="1426"/>
      <c r="D251" s="1426"/>
      <c r="E251" s="1426"/>
      <c r="F251" s="1426"/>
    </row>
  </sheetData>
  <sheetProtection algorithmName="SHA-512" hashValue="2oyR3DgW6xiCRHWmEsLR0kdhssw5iSALyT2JElrsmS7877jnPia2DIVh2PF2tm9/DzJl2O0wh/8vIsyaw8YNzA==" saltValue="Nf1C7iNGFQMPdrXUBGIOZQ==" spinCount="100000" sheet="1" objects="1" scenarios="1"/>
  <phoneticPr fontId="10" type="noConversion"/>
  <dataValidations count="4">
    <dataValidation type="whole" operator="greaterThanOrEqual" showInputMessage="1" showErrorMessage="1" errorTitle="Invalid Data Entry " error="Please enter a positive number or press the delete key or enter zero." sqref="C164:E174 C101:E102 C136:E141 C53:E58 C143:E148 C150:E150 C152:E158 C161:E162 C39:E40 C42:E47 C49:E51 C134:E134 C70:E81 C84:E85 C87:E92 C94:E98 C18:E18 C10:D10 C104:E111 C14:D16 E14:E15">
      <formula1>0</formula1>
    </dataValidation>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a zero." sqref="C125:E133 C114:E115">
      <formula1>0</formula1>
    </dataValidation>
    <dataValidation operator="greaterThanOrEqual" errorTitle="Invalid Data Entry " error="Please enter a positive number or press the delete key or enter zero." sqref="E16"/>
  </dataValidations>
  <hyperlinks>
    <hyperlink ref="G1" location="Contents!F1" display="Return to Contents page"/>
  </hyperlinks>
  <printOptions horizontalCentered="1"/>
  <pageMargins left="0.25" right="0.25" top="0.19" bottom="0.19" header="0.5" footer="0.5"/>
  <pageSetup scale="95" orientation="portrait" blackAndWhite="1" r:id="rId1"/>
  <headerFooter alignWithMargins="0">
    <oddFooter>&amp;L&amp;D     &amp;T &amp;CCode No. 15&amp;RPage &amp;P</oddFooter>
  </headerFooter>
  <rowBreaks count="3" manualBreakCount="3">
    <brk id="58" max="4" man="1"/>
    <brk id="115" max="4" man="1"/>
    <brk id="245" max="65535"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tabColor theme="6" tint="-0.249977111117893"/>
  </sheetPr>
  <dimension ref="A1:R1042"/>
  <sheetViews>
    <sheetView zoomScaleNormal="100" workbookViewId="0">
      <selection activeCell="M380" sqref="M380"/>
    </sheetView>
  </sheetViews>
  <sheetFormatPr defaultColWidth="12.42578125" defaultRowHeight="14.25"/>
  <cols>
    <col min="1" max="1" width="4.7109375" style="4309" customWidth="1"/>
    <col min="2" max="2" width="40.140625" style="4309" customWidth="1"/>
    <col min="3" max="3" width="7" style="4309" customWidth="1"/>
    <col min="4" max="4" width="2.7109375" style="4309" customWidth="1"/>
    <col min="5" max="5" width="14.7109375" style="4309" customWidth="1"/>
    <col min="6" max="6" width="2.140625" style="4309" customWidth="1"/>
    <col min="7" max="7" width="14.7109375" style="4309" customWidth="1"/>
    <col min="8" max="8" width="1.85546875" style="4309" customWidth="1"/>
    <col min="9" max="9" width="17.5703125" style="4309" customWidth="1"/>
    <col min="10" max="10" width="1.7109375" style="4309" customWidth="1"/>
    <col min="11" max="11" width="14.7109375" style="4309" customWidth="1"/>
    <col min="12" max="12" width="2.28515625" style="4309" customWidth="1"/>
    <col min="13" max="13" width="14.7109375" style="4309" customWidth="1"/>
    <col min="14" max="14" width="3" style="4309" customWidth="1"/>
    <col min="15" max="15" width="20.7109375" style="4309" customWidth="1"/>
    <col min="16" max="16" width="10.140625" style="4309" customWidth="1"/>
    <col min="17" max="17" width="40.5703125" style="4309" customWidth="1"/>
    <col min="18" max="18" width="13.28515625" style="4309" customWidth="1"/>
    <col min="19" max="16384" width="12.42578125" style="4309"/>
  </cols>
  <sheetData>
    <row r="1" spans="2:17" ht="15" customHeight="1">
      <c r="B1" s="4309" t="s">
        <v>1987</v>
      </c>
      <c r="M1" s="4310" t="s">
        <v>1988</v>
      </c>
      <c r="O1" s="4288" t="s">
        <v>866</v>
      </c>
    </row>
    <row r="2" spans="2:17" ht="13.5" customHeight="1">
      <c r="B2" s="4311">
        <f>OPEN!$N$3</f>
        <v>42522</v>
      </c>
      <c r="C2" s="4312"/>
      <c r="D2" s="4312"/>
      <c r="F2" s="4313"/>
      <c r="G2" s="4314" t="s">
        <v>1989</v>
      </c>
      <c r="H2" s="4314"/>
      <c r="I2" s="4315" t="str">
        <f>OPEN!$B$3</f>
        <v>270 - Plainville</v>
      </c>
      <c r="J2" s="4316"/>
      <c r="K2" s="4316"/>
      <c r="L2" s="4314" t="s">
        <v>1990</v>
      </c>
      <c r="M2" s="4317">
        <f>OPEN!$B$4</f>
        <v>270</v>
      </c>
    </row>
    <row r="3" spans="2:17" ht="15">
      <c r="F3" s="4318" t="s">
        <v>1991</v>
      </c>
      <c r="K3" s="4314" t="s">
        <v>1112</v>
      </c>
      <c r="M3" s="4319" t="s">
        <v>1992</v>
      </c>
    </row>
    <row r="4" spans="2:17" ht="6.75" customHeight="1">
      <c r="E4" s="4320"/>
      <c r="F4" s="4320"/>
      <c r="G4" s="4320"/>
      <c r="H4" s="4320"/>
      <c r="I4" s="4320"/>
      <c r="J4" s="4320"/>
      <c r="K4" s="4321"/>
      <c r="L4" s="4321"/>
      <c r="M4" s="4320"/>
    </row>
    <row r="5" spans="2:17" ht="12.75" customHeight="1">
      <c r="B5" s="4320" t="str">
        <f>OPEN!$N$2</f>
        <v>2016-2017</v>
      </c>
      <c r="C5" s="4320"/>
      <c r="D5" s="4320"/>
      <c r="E5" s="4320"/>
      <c r="F5" s="4320"/>
      <c r="G5" s="4320"/>
      <c r="H5" s="4320"/>
      <c r="I5" s="4320"/>
      <c r="J5" s="4320"/>
      <c r="K5" s="4320"/>
      <c r="L5" s="4320"/>
      <c r="M5" s="4320"/>
    </row>
    <row r="6" spans="2:17" ht="12.75" customHeight="1">
      <c r="B6" s="4320" t="s">
        <v>1993</v>
      </c>
      <c r="C6" s="4320"/>
      <c r="D6" s="4320"/>
      <c r="E6" s="4320"/>
      <c r="F6" s="4320"/>
      <c r="G6" s="4320"/>
      <c r="H6" s="4320"/>
      <c r="I6" s="4320"/>
      <c r="J6" s="4320"/>
      <c r="K6" s="4320"/>
      <c r="L6" s="4320"/>
      <c r="M6" s="4320"/>
    </row>
    <row r="7" spans="2:17" ht="12.75" customHeight="1">
      <c r="B7" s="4320" t="s">
        <v>1994</v>
      </c>
      <c r="C7" s="4320"/>
      <c r="D7" s="4320"/>
      <c r="E7" s="4320"/>
      <c r="F7" s="4320"/>
      <c r="G7" s="4320"/>
      <c r="H7" s="4320"/>
      <c r="I7" s="4320"/>
      <c r="J7" s="4320"/>
      <c r="K7" s="4320"/>
      <c r="L7" s="4320"/>
      <c r="M7" s="4320"/>
    </row>
    <row r="8" spans="2:17" s="4321" customFormat="1" ht="12.75" customHeight="1">
      <c r="B8" s="4322" t="s">
        <v>1995</v>
      </c>
      <c r="C8" s="4322"/>
      <c r="D8" s="4322"/>
      <c r="E8" s="4320"/>
      <c r="F8" s="4320"/>
      <c r="G8" s="4320"/>
      <c r="H8" s="4320"/>
      <c r="I8" s="4320"/>
      <c r="J8" s="4320"/>
      <c r="K8" s="4320"/>
      <c r="L8" s="4320"/>
      <c r="M8" s="4320"/>
      <c r="N8" s="4309"/>
      <c r="O8" s="4309"/>
      <c r="P8" s="4309"/>
      <c r="Q8" s="4309"/>
    </row>
    <row r="9" spans="2:17" ht="6.75" customHeight="1"/>
    <row r="10" spans="2:17" ht="15">
      <c r="E10" s="4318"/>
      <c r="F10" s="4318"/>
      <c r="G10" s="4318" t="s">
        <v>1996</v>
      </c>
      <c r="H10" s="4318"/>
      <c r="I10" s="4318" t="s">
        <v>1997</v>
      </c>
      <c r="J10" s="4318"/>
      <c r="K10" s="4318" t="s">
        <v>1998</v>
      </c>
      <c r="L10" s="4318"/>
      <c r="M10" s="4318"/>
    </row>
    <row r="11" spans="2:17" ht="15">
      <c r="E11" s="4318" t="s">
        <v>993</v>
      </c>
      <c r="F11" s="4318"/>
      <c r="G11" s="4318" t="s">
        <v>993</v>
      </c>
      <c r="H11" s="4318"/>
      <c r="I11" s="4318" t="s">
        <v>1999</v>
      </c>
      <c r="J11" s="4318"/>
      <c r="K11" s="4318" t="s">
        <v>2000</v>
      </c>
      <c r="L11" s="4318"/>
      <c r="M11" s="4318" t="s">
        <v>2001</v>
      </c>
    </row>
    <row r="12" spans="2:17" ht="15">
      <c r="E12" s="4318" t="s">
        <v>1152</v>
      </c>
      <c r="F12" s="4318"/>
      <c r="G12" s="4318" t="s">
        <v>1152</v>
      </c>
      <c r="H12" s="4318"/>
      <c r="I12" s="4318" t="s">
        <v>1152</v>
      </c>
      <c r="J12" s="4318"/>
      <c r="K12" s="4318" t="str">
        <f>IF(M2=113,"Fund #1-USD 441","Fund #1")</f>
        <v>Fund #1</v>
      </c>
      <c r="L12" s="4318"/>
      <c r="M12" s="4318" t="str">
        <f>IF(M2=114,"Fund #406", "Fund")</f>
        <v>Fund</v>
      </c>
    </row>
    <row r="13" spans="2:17" ht="5.25" customHeight="1"/>
    <row r="14" spans="2:17">
      <c r="B14" s="4309" t="str">
        <f>"1.  County Treasurer Balance 6/30/"&amp;OPEN!$Q$5&amp; " *"</f>
        <v>1.  County Treasurer Balance 6/30/2016 *</v>
      </c>
      <c r="E14" s="4323"/>
      <c r="F14" s="4324"/>
      <c r="G14" s="4325">
        <f>G195+G369+G547+G719+G891</f>
        <v>0</v>
      </c>
      <c r="H14" s="4324"/>
      <c r="I14" s="4325">
        <f>I195+I369+I547+I719+I891</f>
        <v>0</v>
      </c>
      <c r="J14" s="4324"/>
      <c r="K14" s="4325">
        <f>K195+K369+K547+K719+K891</f>
        <v>0</v>
      </c>
      <c r="L14" s="4324"/>
      <c r="M14" s="4325">
        <f>M195+M369+M547+M719+M891</f>
        <v>0</v>
      </c>
    </row>
    <row r="15" spans="2:17" ht="3.75" customHeight="1">
      <c r="B15" s="4326"/>
      <c r="C15" s="4326"/>
      <c r="D15" s="4326"/>
      <c r="E15" s="4327"/>
      <c r="F15" s="4327"/>
      <c r="G15" s="4327"/>
      <c r="H15" s="4327"/>
      <c r="I15" s="4327"/>
      <c r="J15" s="4327"/>
      <c r="K15" s="4327"/>
      <c r="L15" s="4327"/>
      <c r="M15" s="4327"/>
    </row>
    <row r="16" spans="2:17">
      <c r="B16" s="4309" t="str">
        <f>"2.  "&amp;OPEN!$P$5&amp;" Actual Taxes Levied*"</f>
        <v>2.  2015 Actual Taxes Levied*</v>
      </c>
      <c r="E16" s="4323"/>
      <c r="F16" s="4324"/>
      <c r="G16" s="4325">
        <f>G197+G371+G549+G721+G893</f>
        <v>339172</v>
      </c>
      <c r="H16" s="4324"/>
      <c r="I16" s="4325">
        <f>I197+I371+I549+I721+I893</f>
        <v>280076</v>
      </c>
      <c r="J16" s="4324"/>
      <c r="K16" s="4325">
        <f>K197+K371+K549+K721+K893</f>
        <v>246829</v>
      </c>
      <c r="L16" s="4324"/>
      <c r="M16" s="4325">
        <f>M197+M371+M549+M721+M893</f>
        <v>103553</v>
      </c>
    </row>
    <row r="17" spans="2:13" ht="5.0999999999999996" customHeight="1">
      <c r="E17" s="4328"/>
      <c r="F17" s="4324"/>
      <c r="G17" s="4324"/>
      <c r="H17" s="4324"/>
      <c r="I17" s="4324"/>
      <c r="J17" s="4324"/>
      <c r="K17" s="4324"/>
      <c r="L17" s="4324"/>
      <c r="M17" s="4324"/>
    </row>
    <row r="18" spans="2:13">
      <c r="B18" s="4309" t="s">
        <v>2002</v>
      </c>
      <c r="C18" s="4329">
        <v>0.48399999999999999</v>
      </c>
      <c r="E18" s="4323"/>
      <c r="F18" s="4324"/>
      <c r="G18" s="4325">
        <f>G16*$C$18/100</f>
        <v>1642</v>
      </c>
      <c r="H18" s="4324"/>
      <c r="I18" s="4325">
        <f>I16*$C$18/100</f>
        <v>1356</v>
      </c>
      <c r="J18" s="4324"/>
      <c r="K18" s="4325">
        <f>K16*$C$18/100</f>
        <v>1195</v>
      </c>
      <c r="L18" s="4324"/>
      <c r="M18" s="4325">
        <f>M16*$C$18/100</f>
        <v>501</v>
      </c>
    </row>
    <row r="19" spans="2:13" ht="5.0999999999999996" customHeight="1">
      <c r="E19" s="4328"/>
      <c r="F19" s="4324"/>
      <c r="G19" s="4324"/>
      <c r="H19" s="4324"/>
      <c r="I19" s="4324"/>
      <c r="J19" s="4324"/>
      <c r="K19" s="4324"/>
      <c r="L19" s="4324"/>
      <c r="M19" s="4324"/>
    </row>
    <row r="20" spans="2:13">
      <c r="B20" s="4309" t="str">
        <f>"4.  Less:  Jan. 20, "&amp; OPEN!$Q$5&amp;" Taxes received**"</f>
        <v>4.  Less:  Jan. 20, 2016 Taxes received**</v>
      </c>
      <c r="C20" s="4314"/>
      <c r="E20" s="4323"/>
      <c r="F20" s="4324"/>
      <c r="G20" s="4325">
        <f>G201+G375+G553+G725+G897</f>
        <v>221615</v>
      </c>
      <c r="H20" s="4324"/>
      <c r="I20" s="4325">
        <f>I201+I375+I553+I725+I897</f>
        <v>183001</v>
      </c>
      <c r="J20" s="4324"/>
      <c r="K20" s="4325">
        <f>K201+K375+K553+K725+K897</f>
        <v>161407</v>
      </c>
      <c r="L20" s="4324"/>
      <c r="M20" s="4325">
        <f>M201+M375+M553+M725+M897</f>
        <v>66161</v>
      </c>
    </row>
    <row r="21" spans="2:13" ht="5.0999999999999996" customHeight="1">
      <c r="E21" s="4328"/>
      <c r="F21" s="4324"/>
      <c r="G21" s="4324"/>
      <c r="H21" s="4324"/>
      <c r="I21" s="4324"/>
      <c r="J21" s="4324"/>
      <c r="K21" s="4324"/>
      <c r="L21" s="4324"/>
      <c r="M21" s="4324"/>
    </row>
    <row r="22" spans="2:13">
      <c r="B22" s="4309" t="str">
        <f>"5.  Less:  Mar. 20, "&amp;OPEN!$Q$5&amp;"  Taxes received**"</f>
        <v>5.  Less:  Mar. 20, 2016  Taxes received**</v>
      </c>
      <c r="E22" s="4323"/>
      <c r="F22" s="4324"/>
      <c r="G22" s="4325">
        <f>G203+G377+G555+G727+G899</f>
        <v>9707</v>
      </c>
      <c r="H22" s="4324"/>
      <c r="I22" s="4325">
        <f>I203+I377+I555+I727+I899</f>
        <v>8015</v>
      </c>
      <c r="J22" s="4324"/>
      <c r="K22" s="4325">
        <f>K203+K377+K555+K727+K899</f>
        <v>7070</v>
      </c>
      <c r="L22" s="4324"/>
      <c r="M22" s="4325">
        <f>M203+M377+M555+M727+M899</f>
        <v>2119</v>
      </c>
    </row>
    <row r="23" spans="2:13" ht="5.0999999999999996" customHeight="1">
      <c r="E23" s="4328"/>
      <c r="F23" s="4324"/>
      <c r="G23" s="4324"/>
      <c r="H23" s="4324"/>
      <c r="I23" s="4324"/>
      <c r="J23" s="4324"/>
      <c r="K23" s="4324"/>
      <c r="L23" s="4324"/>
      <c r="M23" s="4324"/>
    </row>
    <row r="24" spans="2:13">
      <c r="B24" s="4309" t="str">
        <f>"6.  Less:  June 5,  "&amp;OPEN!$Q$5&amp;" Taxes received**"</f>
        <v>6.  Less:  June 5,  2016 Taxes received**</v>
      </c>
      <c r="E24" s="4323"/>
      <c r="F24" s="4324"/>
      <c r="G24" s="4325">
        <f>G205+G379+G557+G729+G901</f>
        <v>90115</v>
      </c>
      <c r="H24" s="4324"/>
      <c r="I24" s="4325">
        <f>I205+I379+I557+I729+I901</f>
        <v>74415</v>
      </c>
      <c r="J24" s="4324"/>
      <c r="K24" s="4325">
        <f>K205+K379+K557+K729+K901</f>
        <v>65634</v>
      </c>
      <c r="L24" s="4324"/>
      <c r="M24" s="4325">
        <f>M205+M379+M557+M729+M901</f>
        <v>25533</v>
      </c>
    </row>
    <row r="25" spans="2:13" ht="5.0999999999999996" customHeight="1">
      <c r="E25" s="4328"/>
      <c r="F25" s="4324"/>
      <c r="G25" s="4324"/>
      <c r="H25" s="4324"/>
      <c r="I25" s="4324"/>
      <c r="J25" s="4324"/>
      <c r="K25" s="4324"/>
      <c r="L25" s="4324"/>
      <c r="M25" s="4324"/>
    </row>
    <row r="26" spans="2:13">
      <c r="B26" s="4309" t="s">
        <v>2003</v>
      </c>
      <c r="E26" s="4323"/>
      <c r="F26" s="4324"/>
      <c r="G26" s="4325">
        <f>G207+G381+G559+G731+G903</f>
        <v>0</v>
      </c>
      <c r="H26" s="4324"/>
      <c r="I26" s="4325">
        <f>I207+I381+I559+I731+I903</f>
        <v>0</v>
      </c>
      <c r="J26" s="4324"/>
      <c r="K26" s="4325">
        <f>K207+K381+K559+K731+K903</f>
        <v>0</v>
      </c>
      <c r="L26" s="4324"/>
      <c r="M26" s="4325">
        <f>M207+M381+M559+M731+M903</f>
        <v>0</v>
      </c>
    </row>
    <row r="27" spans="2:13" ht="5.0999999999999996" customHeight="1">
      <c r="E27" s="4328"/>
      <c r="F27" s="4324"/>
      <c r="G27" s="4324"/>
      <c r="H27" s="4324"/>
      <c r="I27" s="4324"/>
      <c r="J27" s="4324"/>
      <c r="K27" s="4324"/>
      <c r="L27" s="4324"/>
      <c r="M27" s="4324"/>
    </row>
    <row r="28" spans="2:13">
      <c r="B28" s="4309" t="s">
        <v>2004</v>
      </c>
      <c r="E28" s="4323"/>
      <c r="F28" s="4324"/>
      <c r="G28" s="4325">
        <f>G209+G383+G561+G733+G905</f>
        <v>0</v>
      </c>
      <c r="H28" s="4324"/>
      <c r="I28" s="4325">
        <f>I209+I383+I561+I733+I905</f>
        <v>0</v>
      </c>
      <c r="J28" s="4324"/>
      <c r="K28" s="4325">
        <f>K209+K383+K561+K733+K905</f>
        <v>0</v>
      </c>
      <c r="L28" s="4324"/>
      <c r="M28" s="4325">
        <f>M209+M383+M561+M733+M905</f>
        <v>0</v>
      </c>
    </row>
    <row r="29" spans="2:13" ht="15" customHeight="1">
      <c r="B29" s="4309" t="s">
        <v>2005</v>
      </c>
      <c r="E29" s="4323"/>
      <c r="F29" s="4324"/>
      <c r="G29" s="4330">
        <f>G210+G384+G562+G734+G906</f>
        <v>0</v>
      </c>
      <c r="H29" s="4324"/>
      <c r="I29" s="4330">
        <f>I210+I384+I562+I734+I906</f>
        <v>0</v>
      </c>
      <c r="J29" s="4324"/>
      <c r="K29" s="4330">
        <f>K210+K384+K562+K734+K906</f>
        <v>0</v>
      </c>
      <c r="L29" s="4324"/>
      <c r="M29" s="4330">
        <f>M210+M384+M562+M734+M906</f>
        <v>0</v>
      </c>
    </row>
    <row r="30" spans="2:13">
      <c r="B30" s="4309" t="s">
        <v>2006</v>
      </c>
      <c r="E30" s="4323"/>
      <c r="F30" s="4324"/>
      <c r="G30" s="4325">
        <f>SUM(G18:G29)</f>
        <v>323079</v>
      </c>
      <c r="H30" s="4324"/>
      <c r="I30" s="4325">
        <f>SUM(I18:I29)</f>
        <v>266787</v>
      </c>
      <c r="J30" s="4324"/>
      <c r="K30" s="4325">
        <f>SUM(K18:K29)</f>
        <v>235306</v>
      </c>
      <c r="L30" s="4324"/>
      <c r="M30" s="4325">
        <f>SUM(M18:M29)</f>
        <v>94314</v>
      </c>
    </row>
    <row r="31" spans="2:13" ht="5.0999999999999996" customHeight="1">
      <c r="E31" s="4328"/>
      <c r="F31" s="4324"/>
      <c r="G31" s="4324"/>
      <c r="H31" s="4324"/>
      <c r="I31" s="4324"/>
      <c r="J31" s="4324"/>
      <c r="K31" s="4324"/>
      <c r="L31" s="4324"/>
      <c r="M31" s="4324"/>
    </row>
    <row r="32" spans="2:13">
      <c r="B32" s="4309" t="str">
        <f>"11. "&amp;OPEN!$P$5&amp;" taxes receivable (taxes in process"</f>
        <v>11. 2015 taxes receivable (taxes in process</v>
      </c>
      <c r="E32" s="4328"/>
      <c r="F32" s="4324"/>
      <c r="G32" s="4324"/>
      <c r="H32" s="4324"/>
      <c r="I32" s="4324"/>
      <c r="J32" s="4324"/>
      <c r="K32" s="4324"/>
      <c r="L32" s="4324"/>
      <c r="M32" s="4324"/>
    </row>
    <row r="33" spans="2:18">
      <c r="B33" s="4309" t="str">
        <f>"     of collection 6/30/"&amp;OPEN!$Q$5&amp;")(Line 2 less Line 10)"</f>
        <v xml:space="preserve">     of collection 6/30/2016)(Line 2 less Line 10)</v>
      </c>
      <c r="E33" s="4323"/>
      <c r="F33" s="4324"/>
      <c r="G33" s="4325">
        <f>IF(G30&lt;=0,0,G16-G30)</f>
        <v>16093</v>
      </c>
      <c r="H33" s="4324"/>
      <c r="I33" s="4325">
        <f>IF(I30&lt;=0,0,I16-I30)</f>
        <v>13289</v>
      </c>
      <c r="J33" s="4324"/>
      <c r="K33" s="4325">
        <f>IF(K30&lt;=0,0,(K16-K30))</f>
        <v>11523</v>
      </c>
      <c r="L33" s="4324"/>
      <c r="M33" s="4325">
        <f>IF(M30&lt;=0,0,M16-M30)</f>
        <v>9239</v>
      </c>
    </row>
    <row r="34" spans="2:18" ht="2.25" customHeight="1">
      <c r="E34" s="4328"/>
      <c r="F34" s="4324"/>
      <c r="G34" s="4328"/>
      <c r="H34" s="4324"/>
      <c r="I34" s="4328"/>
      <c r="J34" s="4324"/>
      <c r="K34" s="4328"/>
      <c r="L34" s="4324"/>
      <c r="M34" s="4328"/>
    </row>
    <row r="35" spans="2:18">
      <c r="B35" s="4309" t="s">
        <v>2007</v>
      </c>
      <c r="E35" s="4328"/>
      <c r="F35" s="4324"/>
      <c r="G35" s="4324"/>
      <c r="H35" s="4324"/>
      <c r="I35" s="4324"/>
      <c r="J35" s="4324"/>
      <c r="K35" s="4324"/>
      <c r="L35" s="4324"/>
      <c r="M35" s="4324"/>
    </row>
    <row r="36" spans="2:18">
      <c r="B36" s="4309" t="s">
        <v>2008</v>
      </c>
      <c r="E36" s="4328"/>
      <c r="F36" s="4324"/>
      <c r="G36" s="4324"/>
      <c r="H36" s="4324"/>
      <c r="I36" s="4324"/>
      <c r="J36" s="4324"/>
      <c r="K36" s="4324"/>
      <c r="L36" s="4324"/>
      <c r="M36" s="4324"/>
    </row>
    <row r="37" spans="2:18">
      <c r="B37" s="4309" t="str">
        <f>"     (7-1-"&amp;OPEN!$Q$5&amp;" to 12-31-"&amp;OPEN!$S$5&amp;") (Line 3 x 75%)"</f>
        <v xml:space="preserve">     (7-1-2016 to 12-31-2017) (Line 3 x 75%)</v>
      </c>
      <c r="E37" s="4323"/>
      <c r="F37" s="4324"/>
      <c r="G37" s="4325">
        <f>SUM(G18*0.75)</f>
        <v>1232</v>
      </c>
      <c r="H37" s="4324"/>
      <c r="I37" s="4325">
        <f>SUM(I18*0.75)</f>
        <v>1017</v>
      </c>
      <c r="J37" s="4324"/>
      <c r="K37" s="4325">
        <f>SUM(K18*0.75)</f>
        <v>896</v>
      </c>
      <c r="L37" s="4324"/>
      <c r="M37" s="4325">
        <f>SUM(M18*0.75)</f>
        <v>376</v>
      </c>
    </row>
    <row r="38" spans="2:18" ht="3" customHeight="1">
      <c r="B38" s="4326"/>
      <c r="C38" s="4326"/>
      <c r="D38" s="4326"/>
      <c r="E38" s="4331"/>
      <c r="F38" s="4331"/>
      <c r="G38" s="4331"/>
      <c r="H38" s="4331"/>
      <c r="I38" s="4331"/>
      <c r="J38" s="4331"/>
      <c r="K38" s="4331"/>
      <c r="L38" s="4331"/>
      <c r="M38" s="4331"/>
    </row>
    <row r="39" spans="2:18" ht="14.25" customHeight="1">
      <c r="B39" s="4332" t="s">
        <v>2009</v>
      </c>
      <c r="C39" s="4333"/>
      <c r="D39" s="4333"/>
      <c r="E39" s="4334">
        <f>IF(E16&lt;&gt;0,(E20+E22+E24+E26+E28)/E16*100,0)</f>
        <v>0</v>
      </c>
      <c r="F39" s="4335" t="s">
        <v>1124</v>
      </c>
      <c r="G39" s="4334">
        <f>IF(G16&lt;&gt;0,(G20+G22+G24+G26+G28)/G16*100,0)</f>
        <v>94.771000000000001</v>
      </c>
      <c r="H39" s="4335" t="s">
        <v>1124</v>
      </c>
      <c r="I39" s="4334">
        <f>IF(I16&lt;&gt;0,(I20+I22+I24+I26+I28)/I16*100,0)</f>
        <v>94.771000000000001</v>
      </c>
      <c r="J39" s="4335" t="s">
        <v>1124</v>
      </c>
      <c r="K39" s="4334">
        <f>IF(K16&lt;&gt;0,(K20+K22+K24+K26+K28)/K16*100,0)</f>
        <v>94.846999999999994</v>
      </c>
      <c r="L39" s="4335" t="s">
        <v>1124</v>
      </c>
      <c r="M39" s="4334">
        <f>IF(M16&lt;&gt;0,(M20+M22+M24+M26+M28)/M16*100,0)</f>
        <v>90.593999999999994</v>
      </c>
      <c r="N39" s="4333" t="s">
        <v>1124</v>
      </c>
    </row>
    <row r="40" spans="2:18" ht="16.5" customHeight="1">
      <c r="B40" s="4336" t="s">
        <v>2010</v>
      </c>
      <c r="C40" s="4336"/>
      <c r="D40" s="4336"/>
      <c r="E40" s="4336"/>
      <c r="F40" s="4336"/>
      <c r="G40" s="4336"/>
      <c r="H40" s="4336"/>
      <c r="I40" s="4336"/>
      <c r="J40" s="4336"/>
      <c r="K40" s="4336"/>
      <c r="L40" s="4336"/>
      <c r="M40" s="4336"/>
    </row>
    <row r="41" spans="2:18">
      <c r="B41" s="4309" t="str">
        <f>"1.  Estimated percent of distribution of "&amp;OPEN!$Q$5&amp;" tax dollars:"</f>
        <v>1.  Estimated percent of distribution of 2016 tax dollars:</v>
      </c>
      <c r="F41" s="4309" t="s">
        <v>1166</v>
      </c>
      <c r="G41" s="4337" t="str">
        <f>OPEN!$S$8</f>
        <v>Jan. 20, 2017</v>
      </c>
      <c r="I41" s="4329">
        <v>47</v>
      </c>
      <c r="K41" s="4337" t="str">
        <f>OPEN!$T$8</f>
        <v>Sept. 20, 2017</v>
      </c>
      <c r="M41" s="4329">
        <v>5</v>
      </c>
    </row>
    <row r="42" spans="2:18">
      <c r="B42" s="4338"/>
      <c r="C42" s="4338"/>
      <c r="D42" s="4338"/>
      <c r="E42" s="4338"/>
      <c r="F42" s="4338"/>
      <c r="G42" s="4337" t="str">
        <f>OPEN!$S$9</f>
        <v>Mar. 20, 2017</v>
      </c>
      <c r="H42" s="4338"/>
      <c r="I42" s="4329">
        <v>0</v>
      </c>
      <c r="K42" s="4337" t="str">
        <f>OPEN!$T$9</f>
        <v>Oct. 31, 2017</v>
      </c>
      <c r="M42" s="4339">
        <v>3</v>
      </c>
    </row>
    <row r="43" spans="2:18">
      <c r="B43" s="4340"/>
      <c r="C43" s="4341"/>
      <c r="E43" s="4342"/>
      <c r="F43" s="4340"/>
      <c r="G43" s="4337">
        <f>OPEN!$S$10</f>
        <v>42891</v>
      </c>
      <c r="I43" s="4329">
        <v>45</v>
      </c>
      <c r="K43" s="4343" t="str">
        <f>IF(I44&gt;=G39,"**WARNING:  Est. collection rate may","")</f>
        <v/>
      </c>
      <c r="M43" s="4344"/>
      <c r="R43" s="4345"/>
    </row>
    <row r="44" spans="2:18">
      <c r="B44" s="4309" t="s">
        <v>2011</v>
      </c>
      <c r="G44" s="4346"/>
      <c r="H44" s="4309" t="s">
        <v>1166</v>
      </c>
      <c r="I44" s="4347">
        <f>SUM(I41:I43)</f>
        <v>92</v>
      </c>
      <c r="K44" s="4343" t="str">
        <f>IF(I44&gt;=G39,"be too high based upon prior year LOB percent collected.","")</f>
        <v/>
      </c>
      <c r="M44" s="4348"/>
    </row>
    <row r="45" spans="2:18">
      <c r="B45" s="4309" t="str">
        <f>"3.  "&amp;OPEN!$Q$5&amp;" General Fund Assessed Valuation"</f>
        <v>3.  2016 General Fund Assessed Valuation</v>
      </c>
      <c r="H45" s="4309" t="s">
        <v>1166</v>
      </c>
      <c r="I45" s="4325">
        <f>OPEN!$A$16</f>
        <v>29179965</v>
      </c>
      <c r="K45" s="4309" t="s">
        <v>1121</v>
      </c>
      <c r="M45" s="4347">
        <f>I41+I42+I43+M41+M42</f>
        <v>100</v>
      </c>
      <c r="O45" s="4349" t="str">
        <f>IF(OR(M45&gt;100,M45&lt;100),"&lt;-- Should be 100%!"," ")</f>
        <v xml:space="preserve"> </v>
      </c>
    </row>
    <row r="46" spans="2:18" ht="15">
      <c r="B46" s="4309" t="str">
        <f>"4.  "&amp;OPEN!$P$4&amp;" Tax Levied (20 mills x "&amp;OPEN!$Q$5&amp;" General Fund Assessed Valuation***)"</f>
        <v>4.  2016-2017 Tax Levied (20 mills x 2016 General Fund Assessed Valuation***)</v>
      </c>
      <c r="C46" s="4350"/>
      <c r="D46" s="4350"/>
      <c r="H46" s="4309" t="s">
        <v>1166</v>
      </c>
      <c r="I46" s="4325">
        <f>I45*0.02</f>
        <v>583599</v>
      </c>
      <c r="M46" s="4310" t="s">
        <v>2012</v>
      </c>
    </row>
    <row r="47" spans="2:18">
      <c r="B47" s="4338" t="str">
        <f>"5.  "&amp;OPEN!$P$4&amp;" Est. Tax Levy to be received 1-1-"&amp;OPEN!$S$5&amp;" to 6-30-"&amp;OPEN!$S$5&amp;" (Line 2 x Line 4)"</f>
        <v>5.  2016-2017 Est. Tax Levy to be received 1-1-2017 to 6-30-2017 (Line 2 x Line 4)</v>
      </c>
      <c r="C47" s="4338"/>
      <c r="D47" s="4338"/>
      <c r="E47" s="4338"/>
      <c r="F47" s="4338"/>
      <c r="G47" s="4338"/>
      <c r="H47" s="4338" t="s">
        <v>1166</v>
      </c>
      <c r="I47" s="4325">
        <f>I44/100*I46</f>
        <v>536911</v>
      </c>
    </row>
    <row r="48" spans="2:18">
      <c r="B48" s="4351" t="str">
        <f>"*Amounts are available from the County Treasurer.       **These Jan.-June, "&amp;OPEN!$Q$5&amp;" amounts are available from the County Treasurer.  (Should correspond to school records"</f>
        <v>*Amounts are available from the County Treasurer.       **These Jan.-June, 2016 amounts are available from the County Treasurer.  (Should correspond to school records</v>
      </c>
    </row>
    <row r="49" spans="2:18">
      <c r="B49" s="4351" t="s">
        <v>2013</v>
      </c>
    </row>
    <row r="50" spans="2:18" ht="11.25" customHeight="1">
      <c r="B50" s="4351" t="s">
        <v>2014</v>
      </c>
      <c r="M50" s="4310"/>
    </row>
    <row r="51" spans="2:18" ht="15.75">
      <c r="B51" s="4312" t="s">
        <v>1987</v>
      </c>
      <c r="C51" s="4312"/>
      <c r="D51" s="4312"/>
      <c r="F51" s="4313"/>
      <c r="G51" s="4314"/>
      <c r="H51" s="4352"/>
      <c r="I51" s="4348"/>
      <c r="J51" s="4348"/>
      <c r="K51" s="4314"/>
      <c r="L51" s="4353"/>
      <c r="M51" s="4310" t="s">
        <v>2015</v>
      </c>
    </row>
    <row r="52" spans="2:18">
      <c r="B52" s="4311">
        <f>B2</f>
        <v>42522</v>
      </c>
      <c r="G52" s="4314" t="s">
        <v>1989</v>
      </c>
      <c r="H52" s="4316"/>
      <c r="I52" s="4316" t="str">
        <f>I2</f>
        <v>270 - Plainville</v>
      </c>
      <c r="J52" s="4316"/>
      <c r="K52" s="4354" t="s">
        <v>1990</v>
      </c>
      <c r="M52" s="4317">
        <f>M2</f>
        <v>270</v>
      </c>
    </row>
    <row r="53" spans="2:18" ht="14.1" customHeight="1">
      <c r="E53" s="4320"/>
      <c r="F53" s="4320"/>
      <c r="G53" s="4320"/>
      <c r="H53" s="4320"/>
      <c r="I53" s="4320"/>
      <c r="J53" s="4320"/>
      <c r="K53" s="4314" t="s">
        <v>1112</v>
      </c>
      <c r="L53" s="4321"/>
      <c r="M53" s="4355" t="str">
        <f>M3</f>
        <v>COMBINED</v>
      </c>
    </row>
    <row r="54" spans="2:18">
      <c r="B54" s="4320" t="str">
        <f>B5</f>
        <v>2016-2017</v>
      </c>
      <c r="C54" s="4320"/>
      <c r="D54" s="4320"/>
      <c r="E54" s="4320"/>
      <c r="F54" s="4320"/>
      <c r="G54" s="4320"/>
      <c r="H54" s="4320"/>
      <c r="I54" s="4320"/>
      <c r="J54" s="4320"/>
      <c r="K54" s="4320"/>
      <c r="L54" s="4320"/>
      <c r="M54" s="4320"/>
    </row>
    <row r="55" spans="2:18">
      <c r="B55" s="4320" t="s">
        <v>1993</v>
      </c>
      <c r="C55" s="4320"/>
      <c r="D55" s="4320"/>
      <c r="E55" s="4320"/>
      <c r="F55" s="4320"/>
      <c r="G55" s="4320"/>
      <c r="H55" s="4320"/>
      <c r="I55" s="4320"/>
      <c r="J55" s="4320"/>
      <c r="K55" s="4320"/>
      <c r="L55" s="4320"/>
      <c r="M55" s="4320"/>
    </row>
    <row r="56" spans="2:18">
      <c r="B56" s="4320" t="s">
        <v>1994</v>
      </c>
      <c r="C56" s="4320"/>
      <c r="D56" s="4320"/>
      <c r="E56" s="4320"/>
      <c r="F56" s="4320"/>
      <c r="G56" s="4320"/>
      <c r="H56" s="4320"/>
      <c r="I56" s="4320"/>
      <c r="J56" s="4320"/>
      <c r="K56" s="4320"/>
      <c r="L56" s="4320"/>
      <c r="M56" s="4320"/>
    </row>
    <row r="57" spans="2:18" ht="15">
      <c r="B57" s="4322" t="s">
        <v>1995</v>
      </c>
      <c r="C57" s="4322"/>
      <c r="D57" s="4322"/>
      <c r="E57" s="4320"/>
      <c r="F57" s="4320"/>
      <c r="G57" s="4320"/>
      <c r="H57" s="4320"/>
      <c r="I57" s="4320"/>
      <c r="J57" s="4320"/>
      <c r="K57" s="4320"/>
      <c r="L57" s="4320"/>
      <c r="M57" s="4320"/>
    </row>
    <row r="58" spans="2:18" ht="5.0999999999999996" customHeight="1">
      <c r="E58" s="4318"/>
      <c r="F58" s="4318"/>
      <c r="G58" s="4318"/>
      <c r="H58" s="4318"/>
      <c r="I58" s="4318"/>
      <c r="J58" s="4318"/>
      <c r="K58" s="4318"/>
      <c r="L58" s="4318"/>
      <c r="M58" s="4318"/>
    </row>
    <row r="59" spans="2:18" ht="15">
      <c r="E59" s="4318" t="s">
        <v>2016</v>
      </c>
      <c r="F59" s="4318"/>
      <c r="G59" s="4318" t="s">
        <v>2017</v>
      </c>
      <c r="H59" s="4318"/>
      <c r="I59" s="4318" t="s">
        <v>2018</v>
      </c>
      <c r="J59" s="4318"/>
      <c r="K59" s="4318" t="s">
        <v>2019</v>
      </c>
      <c r="M59" s="4287"/>
    </row>
    <row r="60" spans="2:18" ht="15">
      <c r="E60" s="4318" t="s">
        <v>2020</v>
      </c>
      <c r="F60" s="4318"/>
      <c r="G60" s="4318" t="s">
        <v>2021</v>
      </c>
      <c r="H60" s="4318"/>
      <c r="I60" s="4318" t="s">
        <v>2022</v>
      </c>
      <c r="J60" s="4318"/>
      <c r="K60" s="4318" t="str">
        <f>IF(M2=113,"Int. #2-USD 488","Interest #2")</f>
        <v>Interest #2</v>
      </c>
      <c r="M60" s="4287"/>
    </row>
    <row r="61" spans="2:18" ht="5.0999999999999996" customHeight="1">
      <c r="M61" s="4287"/>
    </row>
    <row r="62" spans="2:18" ht="12.75" customHeight="1">
      <c r="B62" s="4309" t="str">
        <f>B14</f>
        <v>1.  County Treasurer Balance 6/30/2016 *</v>
      </c>
      <c r="E62" s="4325">
        <f>E241+E417+E595+E767+E932</f>
        <v>0</v>
      </c>
      <c r="F62" s="4324"/>
      <c r="G62" s="4325">
        <f>G241+G417+G595+G767+G932</f>
        <v>0</v>
      </c>
      <c r="H62" s="4324"/>
      <c r="I62" s="4325">
        <f>I241+I417+I595+I767+I932</f>
        <v>0</v>
      </c>
      <c r="J62" s="4324"/>
      <c r="K62" s="4325">
        <f>K241+K417+K595+K767+K932</f>
        <v>0</v>
      </c>
      <c r="L62" s="4356"/>
      <c r="M62" s="4287"/>
      <c r="R62" s="4320"/>
    </row>
    <row r="63" spans="2:18" ht="5.25" customHeight="1">
      <c r="B63" s="4326"/>
      <c r="C63" s="4326"/>
      <c r="D63" s="4326"/>
      <c r="E63" s="4327"/>
      <c r="F63" s="4327"/>
      <c r="G63" s="4327"/>
      <c r="H63" s="4327"/>
      <c r="I63" s="4327"/>
      <c r="J63" s="4327"/>
      <c r="K63" s="4327"/>
      <c r="L63" s="4356"/>
      <c r="M63" s="4287"/>
    </row>
    <row r="64" spans="2:18">
      <c r="B64" s="4309" t="str">
        <f>B16</f>
        <v>2.  2015 Actual Taxes Levied*</v>
      </c>
      <c r="E64" s="4325">
        <f>E243+E419+E597+E769+E934</f>
        <v>0</v>
      </c>
      <c r="F64" s="4324"/>
      <c r="G64" s="4325">
        <f>G243+G419+G597+G769+G934</f>
        <v>0</v>
      </c>
      <c r="H64" s="4324"/>
      <c r="I64" s="4325">
        <f>I243+I419+I597+I769+I934</f>
        <v>0</v>
      </c>
      <c r="J64" s="4324"/>
      <c r="K64" s="4325">
        <f>K243+K419+K597+K769+K934</f>
        <v>0</v>
      </c>
      <c r="L64" s="4356"/>
      <c r="M64" s="4287"/>
    </row>
    <row r="65" spans="2:13" ht="8.1" customHeight="1">
      <c r="E65" s="4324"/>
      <c r="F65" s="4324"/>
      <c r="G65" s="4324"/>
      <c r="H65" s="4324"/>
      <c r="I65" s="4324"/>
      <c r="J65" s="4324"/>
      <c r="K65" s="4324"/>
      <c r="L65" s="4356"/>
      <c r="M65" s="4287"/>
    </row>
    <row r="66" spans="2:13">
      <c r="B66" s="4309" t="s">
        <v>2023</v>
      </c>
      <c r="C66" s="4347">
        <f>C18</f>
        <v>0.48399999999999999</v>
      </c>
      <c r="E66" s="4325">
        <f>E64*$C$66/100</f>
        <v>0</v>
      </c>
      <c r="F66" s="4324"/>
      <c r="G66" s="4325">
        <f>G64*$C$66/100</f>
        <v>0</v>
      </c>
      <c r="H66" s="4324"/>
      <c r="I66" s="4325">
        <f>I64*$C$66/100</f>
        <v>0</v>
      </c>
      <c r="J66" s="4324"/>
      <c r="K66" s="4325">
        <f>K64*$C$66/100</f>
        <v>0</v>
      </c>
      <c r="L66" s="4356"/>
      <c r="M66" s="4287"/>
    </row>
    <row r="67" spans="2:13" ht="8.1" customHeight="1">
      <c r="E67" s="4324"/>
      <c r="F67" s="4324"/>
      <c r="G67" s="4324"/>
      <c r="H67" s="4324"/>
      <c r="I67" s="4324"/>
      <c r="J67" s="4324"/>
      <c r="K67" s="4324"/>
      <c r="L67" s="4356"/>
      <c r="M67" s="4287"/>
    </row>
    <row r="68" spans="2:13">
      <c r="B68" s="4309" t="str">
        <f>B20</f>
        <v>4.  Less:  Jan. 20, 2016 Taxes received**</v>
      </c>
      <c r="E68" s="4325">
        <f>E247+E423+E601+E773+E938</f>
        <v>0</v>
      </c>
      <c r="F68" s="4324"/>
      <c r="G68" s="4325">
        <f>G247+G423+G601+G773+G938</f>
        <v>0</v>
      </c>
      <c r="H68" s="4324"/>
      <c r="I68" s="4325">
        <f>I247+I423+I601+I773+I938</f>
        <v>0</v>
      </c>
      <c r="J68" s="4324"/>
      <c r="K68" s="4325">
        <f>K247+K423+K601+K773+K938</f>
        <v>0</v>
      </c>
      <c r="L68" s="4356"/>
      <c r="M68" s="4287"/>
    </row>
    <row r="69" spans="2:13" ht="8.1" customHeight="1">
      <c r="E69" s="4324"/>
      <c r="F69" s="4324"/>
      <c r="G69" s="4324"/>
      <c r="H69" s="4324"/>
      <c r="I69" s="4324"/>
      <c r="J69" s="4324"/>
      <c r="K69" s="4324"/>
      <c r="L69" s="4356"/>
      <c r="M69" s="4287"/>
    </row>
    <row r="70" spans="2:13">
      <c r="B70" s="4309" t="str">
        <f>B22</f>
        <v>5.  Less:  Mar. 20, 2016  Taxes received**</v>
      </c>
      <c r="E70" s="4325">
        <f>E249+E425+E603+E775+E940</f>
        <v>0</v>
      </c>
      <c r="F70" s="4324"/>
      <c r="G70" s="4325">
        <f>G249+G425+G603+G775+G940</f>
        <v>0</v>
      </c>
      <c r="H70" s="4324"/>
      <c r="I70" s="4325">
        <f>I249+I425+I603+I775+I940</f>
        <v>0</v>
      </c>
      <c r="J70" s="4324"/>
      <c r="K70" s="4325">
        <f>K249+K425+K603+K775+K940</f>
        <v>0</v>
      </c>
      <c r="L70" s="4356"/>
      <c r="M70" s="4287"/>
    </row>
    <row r="71" spans="2:13" ht="8.1" customHeight="1">
      <c r="E71" s="4328"/>
      <c r="F71" s="4324"/>
      <c r="G71" s="4328"/>
      <c r="H71" s="4324"/>
      <c r="I71" s="4328"/>
      <c r="J71" s="4324"/>
      <c r="K71" s="4328"/>
      <c r="L71" s="4356"/>
      <c r="M71" s="4287"/>
    </row>
    <row r="72" spans="2:13">
      <c r="B72" s="4309" t="str">
        <f>B24</f>
        <v>6.  Less:  June 5,  2016 Taxes received**</v>
      </c>
      <c r="E72" s="4325">
        <f>E251+E427+E605+E777+E942</f>
        <v>0</v>
      </c>
      <c r="F72" s="4324"/>
      <c r="G72" s="4325">
        <f>G251+G427+G605+G777+G942</f>
        <v>0</v>
      </c>
      <c r="H72" s="4324"/>
      <c r="I72" s="4325">
        <f>I251+I427+I605+I777+I942</f>
        <v>0</v>
      </c>
      <c r="J72" s="4324"/>
      <c r="K72" s="4325">
        <f>K251+K427+K605+K777+K942</f>
        <v>0</v>
      </c>
      <c r="L72" s="4356"/>
      <c r="M72" s="4287"/>
    </row>
    <row r="73" spans="2:13" ht="8.1" customHeight="1">
      <c r="E73" s="4328"/>
      <c r="F73" s="4324"/>
      <c r="G73" s="4328"/>
      <c r="H73" s="4324"/>
      <c r="I73" s="4328"/>
      <c r="J73" s="4324"/>
      <c r="K73" s="4328"/>
      <c r="L73" s="4356"/>
      <c r="M73" s="4287"/>
    </row>
    <row r="74" spans="2:13">
      <c r="B74" s="4309" t="s">
        <v>2003</v>
      </c>
      <c r="E74" s="4325">
        <f>E253+E429+E607+E779+E944</f>
        <v>0</v>
      </c>
      <c r="F74" s="4324"/>
      <c r="G74" s="4325">
        <f>G253+G429+G607+G779+G944</f>
        <v>0</v>
      </c>
      <c r="H74" s="4324"/>
      <c r="I74" s="4325">
        <f>I253+I429+I607+I779+I944</f>
        <v>0</v>
      </c>
      <c r="J74" s="4324"/>
      <c r="K74" s="4325">
        <f>K253+K429+K607+K779+K944</f>
        <v>0</v>
      </c>
      <c r="L74" s="4356"/>
      <c r="M74" s="4287"/>
    </row>
    <row r="75" spans="2:13" ht="8.1" customHeight="1">
      <c r="E75" s="4324"/>
      <c r="F75" s="4324"/>
      <c r="G75" s="4324"/>
      <c r="H75" s="4324"/>
      <c r="I75" s="4324"/>
      <c r="J75" s="4324"/>
      <c r="K75" s="4324"/>
      <c r="L75" s="4356"/>
      <c r="M75" s="4287"/>
    </row>
    <row r="76" spans="2:13" ht="12" customHeight="1">
      <c r="B76" s="4309" t="s">
        <v>2004</v>
      </c>
      <c r="E76" s="4325">
        <f>E255+E431+E609+E781+E946</f>
        <v>0</v>
      </c>
      <c r="F76" s="4324"/>
      <c r="G76" s="4325">
        <f>G255+G431+G609+G781+G946</f>
        <v>0</v>
      </c>
      <c r="H76" s="4324"/>
      <c r="I76" s="4325">
        <f>I255+I431+I609+I781+I946</f>
        <v>0</v>
      </c>
      <c r="J76" s="4324"/>
      <c r="K76" s="4325">
        <f>K255+K431+K609+K781+K946</f>
        <v>0</v>
      </c>
      <c r="L76" s="4356"/>
      <c r="M76" s="4287"/>
    </row>
    <row r="77" spans="2:13" ht="14.25" customHeight="1">
      <c r="B77" s="4309" t="s">
        <v>2005</v>
      </c>
      <c r="E77" s="4330">
        <f>E256+E432+E610+E782+E947</f>
        <v>0</v>
      </c>
      <c r="F77" s="4324"/>
      <c r="G77" s="4330">
        <f>G256+G432+G610+G782+G947</f>
        <v>0</v>
      </c>
      <c r="H77" s="4324"/>
      <c r="I77" s="4330">
        <f>I256+I432+I610+I782+I947</f>
        <v>0</v>
      </c>
      <c r="J77" s="4324"/>
      <c r="K77" s="4330">
        <f>K256+K432+K610+K782+K947</f>
        <v>0</v>
      </c>
      <c r="L77" s="4356"/>
      <c r="M77" s="4287"/>
    </row>
    <row r="78" spans="2:13" ht="13.5" customHeight="1">
      <c r="B78" s="4309" t="s">
        <v>2024</v>
      </c>
      <c r="E78" s="4325">
        <f>SUM(E66:E77)</f>
        <v>0</v>
      </c>
      <c r="F78" s="4328"/>
      <c r="G78" s="4325">
        <f>SUM(G66:G77)</f>
        <v>0</v>
      </c>
      <c r="H78" s="4328"/>
      <c r="I78" s="4325">
        <f>SUM(I66:I77)</f>
        <v>0</v>
      </c>
      <c r="J78" s="4328"/>
      <c r="K78" s="4325">
        <f>SUM(K66:K77)</f>
        <v>0</v>
      </c>
      <c r="L78" s="4356"/>
      <c r="M78" s="4287"/>
    </row>
    <row r="79" spans="2:13" ht="8.1" customHeight="1">
      <c r="E79" s="4324"/>
      <c r="F79" s="4324"/>
      <c r="G79" s="4324"/>
      <c r="H79" s="4324"/>
      <c r="I79" s="4324"/>
      <c r="J79" s="4324"/>
      <c r="K79" s="4324"/>
      <c r="L79" s="4356"/>
      <c r="M79" s="4287"/>
    </row>
    <row r="80" spans="2:13">
      <c r="B80" s="4309" t="str">
        <f>B32</f>
        <v>11. 2015 taxes receivable (taxes in process</v>
      </c>
      <c r="E80" s="4324"/>
      <c r="F80" s="4324"/>
      <c r="G80" s="4324"/>
      <c r="H80" s="4324"/>
      <c r="I80" s="4324"/>
      <c r="J80" s="4324"/>
      <c r="K80" s="4324"/>
      <c r="L80" s="4356"/>
      <c r="M80" s="4287"/>
    </row>
    <row r="81" spans="1:14">
      <c r="B81" s="4309" t="str">
        <f>B33</f>
        <v xml:space="preserve">     of collection 6/30/2016)(Line 2 less Line 10)</v>
      </c>
      <c r="E81" s="4325">
        <f>IF(E78&lt;=0,0,E64-E78)</f>
        <v>0</v>
      </c>
      <c r="F81" s="4328"/>
      <c r="G81" s="4325">
        <f>IF(G78&lt;=0,0,G64-G78)</f>
        <v>0</v>
      </c>
      <c r="H81" s="4328"/>
      <c r="I81" s="4325">
        <f>IF(I78&lt;=0,0,I64-I78)</f>
        <v>0</v>
      </c>
      <c r="J81" s="4328"/>
      <c r="K81" s="4325">
        <f>IF(K78&lt;=0,0,K64-K78)</f>
        <v>0</v>
      </c>
      <c r="L81" s="4325"/>
      <c r="M81" s="4287"/>
    </row>
    <row r="82" spans="1:14" ht="8.1" customHeight="1">
      <c r="E82" s="4324"/>
      <c r="F82" s="4324"/>
      <c r="G82" s="4324"/>
      <c r="H82" s="4324"/>
      <c r="I82" s="4324"/>
      <c r="J82" s="4324"/>
      <c r="K82" s="4324"/>
      <c r="L82" s="4356"/>
      <c r="M82" s="4287"/>
    </row>
    <row r="83" spans="1:14">
      <c r="B83" s="4309" t="s">
        <v>2025</v>
      </c>
      <c r="E83" s="4324"/>
      <c r="F83" s="4324"/>
      <c r="G83" s="4324"/>
      <c r="H83" s="4324"/>
      <c r="I83" s="4324"/>
      <c r="J83" s="4324"/>
      <c r="K83" s="4324"/>
      <c r="L83" s="4356"/>
      <c r="M83" s="4287"/>
    </row>
    <row r="84" spans="1:14">
      <c r="B84" s="4309" t="s">
        <v>2008</v>
      </c>
      <c r="E84" s="4324"/>
      <c r="F84" s="4324"/>
      <c r="G84" s="4324"/>
      <c r="H84" s="4324"/>
      <c r="I84" s="4324"/>
      <c r="J84" s="4324"/>
      <c r="K84" s="4324"/>
      <c r="L84" s="4356"/>
      <c r="M84" s="4287"/>
    </row>
    <row r="85" spans="1:14">
      <c r="B85" s="4309" t="str">
        <f>B37</f>
        <v xml:space="preserve">     (7-1-2016 to 12-31-2017) (Line 3 x 75%)</v>
      </c>
      <c r="E85" s="4325">
        <f>SUM(E66*0.75)</f>
        <v>0</v>
      </c>
      <c r="F85" s="4328"/>
      <c r="G85" s="4325">
        <f>SUM(G66*0.75)</f>
        <v>0</v>
      </c>
      <c r="H85" s="4328"/>
      <c r="I85" s="4325">
        <f>SUM(I66*0.75)</f>
        <v>0</v>
      </c>
      <c r="J85" s="4328"/>
      <c r="K85" s="4325">
        <f>SUM(K66*0.75)</f>
        <v>0</v>
      </c>
      <c r="L85" s="4356"/>
      <c r="M85" s="4287"/>
    </row>
    <row r="86" spans="1:14" ht="14.1" customHeight="1">
      <c r="B86" s="4357" t="str">
        <f>B39</f>
        <v>Tax Collection Ratio (Jan, Mar, June)</v>
      </c>
      <c r="C86" s="4326"/>
      <c r="D86" s="4326"/>
      <c r="E86" s="4358">
        <f>IF(E64&lt;&gt;0,(E68+E70+E72+E74+E76)/E64*100,0)</f>
        <v>0</v>
      </c>
      <c r="F86" s="4335" t="s">
        <v>1124</v>
      </c>
      <c r="G86" s="4358">
        <f>IF(G64&lt;&gt;0,(G68+G70+G72+G74+G76)/G64*100,0)</f>
        <v>0</v>
      </c>
      <c r="H86" s="4335" t="s">
        <v>1124</v>
      </c>
      <c r="I86" s="4358">
        <f>IF(I64&lt;&gt;0,(I68+I70+I72+I74+I76)/I64*100,0)</f>
        <v>0</v>
      </c>
      <c r="J86" s="4335" t="s">
        <v>1124</v>
      </c>
      <c r="K86" s="4358">
        <f>IF(K64&lt;&gt;0,(K68+K70+K72+K74+K76)/K64*100,0)</f>
        <v>0</v>
      </c>
      <c r="L86" s="4335" t="s">
        <v>1124</v>
      </c>
      <c r="M86" s="4287"/>
      <c r="N86" s="4333"/>
    </row>
    <row r="87" spans="1:14" ht="12.95" customHeight="1">
      <c r="A87" s="4351"/>
      <c r="B87" s="4359" t="s">
        <v>2026</v>
      </c>
      <c r="C87" s="4351"/>
      <c r="D87" s="4351"/>
      <c r="E87" s="4360"/>
      <c r="F87" s="4359"/>
      <c r="G87" s="4360" t="s">
        <v>2027</v>
      </c>
      <c r="H87" s="4359"/>
      <c r="I87" s="4359"/>
      <c r="J87" s="4359"/>
      <c r="K87" s="4359" t="s">
        <v>2028</v>
      </c>
      <c r="L87" s="4359"/>
      <c r="M87" s="4359"/>
    </row>
    <row r="88" spans="1:14" ht="12.95" customHeight="1">
      <c r="A88" s="4351"/>
      <c r="B88" s="4359" t="s">
        <v>2029</v>
      </c>
      <c r="C88" s="4351"/>
      <c r="D88" s="4351"/>
      <c r="E88" s="4360"/>
      <c r="F88" s="4359"/>
      <c r="G88" s="4360" t="str">
        <f>"Property Tax* 7/1/"&amp;OPEN!$Q$5&amp;" to 6/30/"&amp;OPEN!$S$5</f>
        <v>Property Tax* 7/1/2016 to 6/30/2017</v>
      </c>
      <c r="H88" s="4359"/>
      <c r="I88" s="4359"/>
      <c r="J88" s="4359"/>
      <c r="K88" s="4359" t="s">
        <v>2030</v>
      </c>
      <c r="L88" s="4359"/>
      <c r="M88" s="4359"/>
    </row>
    <row r="89" spans="1:14" ht="12.95" customHeight="1">
      <c r="A89" s="4351"/>
      <c r="B89" s="4359" t="str">
        <f>"7/1/"&amp;OPEN!$Q$5&amp;" to 6/30/"&amp;OPEN!$S$5</f>
        <v>7/1/2016 to 6/30/2017</v>
      </c>
      <c r="C89" s="4351"/>
      <c r="D89" s="4351"/>
      <c r="E89" s="4359"/>
      <c r="F89" s="4359"/>
      <c r="G89" s="4359"/>
      <c r="H89" s="4359"/>
      <c r="I89" s="4359"/>
      <c r="J89" s="4359"/>
      <c r="K89" s="4359" t="str">
        <f>"7/1/"&amp;OPEN!$Q$5&amp;" to 6/30/"&amp;OPEN!$S$5</f>
        <v>7/1/2016 to 6/30/2017</v>
      </c>
      <c r="L89" s="4359"/>
      <c r="M89" s="4359"/>
    </row>
    <row r="90" spans="1:14" ht="12.95" customHeight="1">
      <c r="A90" s="4361">
        <v>13</v>
      </c>
      <c r="B90" s="4362">
        <f>OPEN!$A$131</f>
        <v>76922</v>
      </c>
      <c r="C90" s="4351"/>
      <c r="D90" s="4351"/>
      <c r="E90" s="4363">
        <v>14</v>
      </c>
      <c r="F90" s="4351"/>
      <c r="G90" s="4362">
        <f>OPEN!$A$132</f>
        <v>1695</v>
      </c>
      <c r="H90" s="4351"/>
      <c r="I90" s="4361">
        <v>15</v>
      </c>
      <c r="J90" s="4351"/>
      <c r="K90" s="4362">
        <f>OPEN!$A$133</f>
        <v>0</v>
      </c>
      <c r="L90" s="4359"/>
      <c r="M90" s="4359"/>
    </row>
    <row r="91" spans="1:14" ht="12.95" customHeight="1">
      <c r="A91" s="4351"/>
      <c r="B91" s="4351" t="s">
        <v>2031</v>
      </c>
      <c r="C91" s="4351"/>
      <c r="D91" s="4351"/>
      <c r="E91" s="4364"/>
      <c r="F91" s="4364"/>
      <c r="G91" s="4364" t="s">
        <v>2032</v>
      </c>
      <c r="H91" s="4364"/>
      <c r="I91" s="4364"/>
      <c r="J91" s="4364"/>
      <c r="K91" s="4364"/>
      <c r="L91" s="4351"/>
      <c r="M91" s="4364"/>
    </row>
    <row r="92" spans="1:14" ht="12.95" customHeight="1">
      <c r="A92" s="4351"/>
      <c r="B92" s="4351" t="str">
        <f>"7/1/"&amp;OPEN!$Q$5&amp;" to 6/30/"&amp;OPEN!$S$5</f>
        <v>7/1/2016 to 6/30/2017</v>
      </c>
      <c r="C92" s="4351"/>
      <c r="D92" s="4351"/>
      <c r="E92" s="4364"/>
      <c r="F92" s="4364"/>
      <c r="G92" s="4364" t="str">
        <f>"7/1/"&amp;OPEN!$Q$5&amp;" to 6/30/"&amp;OPEN!$S$5</f>
        <v>7/1/2016 to 6/30/2017</v>
      </c>
      <c r="H92" s="4364"/>
      <c r="I92" s="4364"/>
      <c r="J92" s="4364"/>
      <c r="K92" s="4364"/>
      <c r="L92" s="4351"/>
      <c r="M92" s="4364"/>
    </row>
    <row r="93" spans="1:14" ht="12.95" customHeight="1">
      <c r="A93" s="4361">
        <v>16</v>
      </c>
      <c r="B93" s="4365">
        <f>OPEN!$A$134</f>
        <v>6510</v>
      </c>
      <c r="C93" s="4351"/>
      <c r="D93" s="4351"/>
      <c r="E93" s="4361">
        <v>17</v>
      </c>
      <c r="F93" s="4351"/>
      <c r="G93" s="4365">
        <f>OPEN!$A$135</f>
        <v>10976</v>
      </c>
      <c r="H93" s="4359"/>
      <c r="I93" s="4361"/>
      <c r="J93" s="4351"/>
      <c r="K93" s="4366"/>
      <c r="L93" s="4351"/>
      <c r="M93" s="4367"/>
    </row>
    <row r="94" spans="1:14" ht="17.25" customHeight="1">
      <c r="A94" s="4368">
        <v>18</v>
      </c>
      <c r="B94" s="4369" t="str">
        <f>OPEN!$O$5&amp;" DELINQUENT TAX PERCENTAGE"</f>
        <v>2014 DELINQUENT TAX PERCENTAGE</v>
      </c>
      <c r="E94" s="4370"/>
      <c r="G94" s="4348"/>
      <c r="H94" s="4348"/>
      <c r="I94" s="4352"/>
      <c r="M94" s="4314"/>
    </row>
    <row r="95" spans="1:14" ht="5.0999999999999996" customHeight="1">
      <c r="D95" s="4350"/>
      <c r="E95" s="4328"/>
      <c r="G95" s="4348"/>
      <c r="H95" s="4348"/>
      <c r="I95" s="4348"/>
    </row>
    <row r="96" spans="1:14" ht="15">
      <c r="B96" s="4371" t="s">
        <v>2033</v>
      </c>
      <c r="C96" s="4372"/>
      <c r="D96" s="4309" t="s">
        <v>1166</v>
      </c>
      <c r="E96" s="4373">
        <v>0.48349999999999999</v>
      </c>
      <c r="F96" s="4309" t="s">
        <v>1124</v>
      </c>
      <c r="G96" s="4374"/>
      <c r="H96" s="4375"/>
      <c r="I96" s="4376"/>
      <c r="K96" s="4377"/>
      <c r="L96" s="4378"/>
      <c r="M96" s="4328"/>
    </row>
    <row r="97" spans="2:13">
      <c r="B97" s="4351" t="str">
        <f>"*Amounts are available from the County Treasurer.       **These Jan.-June, "&amp;OPEN!$Q$5&amp;" amounts are available from the County Treasurer.  (Should correspond to school"</f>
        <v>*Amounts are available from the County Treasurer.       **These Jan.-June, 2016 amounts are available from the County Treasurer.  (Should correspond to school</v>
      </c>
    </row>
    <row r="98" spans="2:13" ht="12" customHeight="1">
      <c r="B98" s="4351" t="s">
        <v>2034</v>
      </c>
    </row>
    <row r="99" spans="2:13" ht="15">
      <c r="B99" s="4309" t="s">
        <v>1987</v>
      </c>
      <c r="M99" s="4310" t="s">
        <v>2035</v>
      </c>
    </row>
    <row r="100" spans="2:13">
      <c r="B100" s="4311">
        <f>B52</f>
        <v>42522</v>
      </c>
      <c r="C100" s="4312"/>
      <c r="D100" s="4312"/>
      <c r="G100" s="4314" t="s">
        <v>1989</v>
      </c>
      <c r="H100" s="4314"/>
      <c r="I100" s="4316" t="str">
        <f>I2</f>
        <v>270 - Plainville</v>
      </c>
      <c r="J100" s="4316"/>
      <c r="K100" s="4316"/>
      <c r="L100" s="4314" t="s">
        <v>1990</v>
      </c>
      <c r="M100" s="4317">
        <f>M2</f>
        <v>270</v>
      </c>
    </row>
    <row r="101" spans="2:13">
      <c r="K101" s="4314" t="s">
        <v>1112</v>
      </c>
      <c r="M101" s="4316" t="str">
        <f>M3</f>
        <v>COMBINED</v>
      </c>
    </row>
    <row r="102" spans="2:13" ht="5.25" customHeight="1">
      <c r="E102" s="4320"/>
      <c r="F102" s="4320"/>
      <c r="G102" s="4320"/>
      <c r="H102" s="4320"/>
      <c r="I102" s="4320"/>
      <c r="J102" s="4320"/>
      <c r="K102" s="4321"/>
      <c r="L102" s="4321"/>
      <c r="M102" s="4320"/>
    </row>
    <row r="103" spans="2:13">
      <c r="B103" s="4320" t="str">
        <f>B5</f>
        <v>2016-2017</v>
      </c>
      <c r="C103" s="4320"/>
      <c r="D103" s="4320"/>
      <c r="E103" s="4320"/>
      <c r="F103" s="4320"/>
      <c r="G103" s="4320"/>
      <c r="H103" s="4320"/>
      <c r="I103" s="4320"/>
      <c r="J103" s="4320"/>
      <c r="K103" s="4320"/>
      <c r="L103" s="4320"/>
      <c r="M103" s="4320"/>
    </row>
    <row r="104" spans="2:13">
      <c r="B104" s="4320" t="s">
        <v>1993</v>
      </c>
      <c r="C104" s="4320"/>
      <c r="D104" s="4320"/>
      <c r="E104" s="4320"/>
      <c r="F104" s="4320"/>
      <c r="G104" s="4320"/>
      <c r="H104" s="4320"/>
      <c r="I104" s="4320"/>
      <c r="J104" s="4320"/>
      <c r="K104" s="4320"/>
      <c r="L104" s="4320"/>
      <c r="M104" s="4320"/>
    </row>
    <row r="105" spans="2:13">
      <c r="B105" s="4320" t="s">
        <v>1994</v>
      </c>
      <c r="C105" s="4320"/>
      <c r="D105" s="4320"/>
      <c r="E105" s="4320"/>
      <c r="F105" s="4320"/>
      <c r="G105" s="4320"/>
      <c r="H105" s="4320"/>
      <c r="I105" s="4320"/>
      <c r="J105" s="4320"/>
      <c r="K105" s="4320"/>
      <c r="L105" s="4320"/>
      <c r="M105" s="4320"/>
    </row>
    <row r="106" spans="2:13" ht="15">
      <c r="B106" s="4322" t="s">
        <v>1995</v>
      </c>
      <c r="C106" s="4322"/>
      <c r="D106" s="4322"/>
      <c r="E106" s="4320"/>
      <c r="F106" s="4320"/>
      <c r="G106" s="4320"/>
      <c r="H106" s="4320"/>
      <c r="I106" s="4320"/>
      <c r="J106" s="4320"/>
      <c r="K106" s="4320"/>
      <c r="L106" s="4320"/>
      <c r="M106" s="4320"/>
    </row>
    <row r="107" spans="2:13" ht="6" customHeight="1">
      <c r="E107" s="4318"/>
      <c r="F107" s="4318"/>
      <c r="G107" s="4318"/>
      <c r="H107" s="4318"/>
      <c r="I107" s="4318"/>
      <c r="J107" s="4318"/>
      <c r="K107" s="4318"/>
      <c r="L107" s="4318"/>
      <c r="M107" s="4318"/>
    </row>
    <row r="108" spans="2:13" ht="15">
      <c r="E108" s="4318" t="s">
        <v>2036</v>
      </c>
      <c r="F108" s="4318"/>
      <c r="G108" s="4318" t="s">
        <v>2037</v>
      </c>
      <c r="H108" s="4318"/>
      <c r="I108" s="4318" t="s">
        <v>2038</v>
      </c>
      <c r="J108" s="4318"/>
      <c r="K108" s="4318" t="s">
        <v>2039</v>
      </c>
      <c r="L108" s="4318"/>
      <c r="M108" s="4318" t="s">
        <v>2040</v>
      </c>
    </row>
    <row r="109" spans="2:13" ht="15">
      <c r="E109" s="4318" t="s">
        <v>2041</v>
      </c>
      <c r="F109" s="4318"/>
      <c r="G109" s="4318" t="s">
        <v>2042</v>
      </c>
      <c r="H109" s="4318"/>
      <c r="I109" s="4318" t="s">
        <v>2043</v>
      </c>
      <c r="J109" s="4318"/>
      <c r="K109" s="4318" t="s">
        <v>2044</v>
      </c>
      <c r="L109" s="4318"/>
      <c r="M109" s="4318" t="s">
        <v>2045</v>
      </c>
    </row>
    <row r="111" spans="2:13">
      <c r="B111" s="4309" t="str">
        <f>B14</f>
        <v>1.  County Treasurer Balance 6/30/2016 *</v>
      </c>
      <c r="E111" s="4325">
        <f>E284+E462+E635+E808+E973</f>
        <v>0</v>
      </c>
      <c r="F111" s="4324"/>
      <c r="G111" s="4325">
        <f>G284+G462+G635+G808+G973</f>
        <v>0</v>
      </c>
      <c r="H111" s="4324"/>
      <c r="I111" s="4325">
        <f>I284+I462+I635+I808+I973</f>
        <v>0</v>
      </c>
      <c r="J111" s="4324"/>
      <c r="K111" s="4325">
        <f>K284+K462+K635+K808+K973</f>
        <v>0</v>
      </c>
      <c r="L111" s="4356"/>
      <c r="M111" s="4325">
        <f>M284+M462+M635+M808+M973</f>
        <v>0</v>
      </c>
    </row>
    <row r="112" spans="2:13" ht="7.5" customHeight="1">
      <c r="B112" s="4326"/>
      <c r="C112" s="4326"/>
      <c r="D112" s="4326"/>
      <c r="E112" s="4327"/>
      <c r="F112" s="4327"/>
      <c r="G112" s="4327"/>
      <c r="H112" s="4327"/>
      <c r="I112" s="4327"/>
      <c r="J112" s="4327"/>
      <c r="K112" s="4327"/>
      <c r="L112" s="4356"/>
      <c r="M112" s="4327"/>
    </row>
    <row r="113" spans="2:13">
      <c r="B113" s="4309" t="str">
        <f>B16</f>
        <v>2.  2015 Actual Taxes Levied*</v>
      </c>
      <c r="E113" s="4325">
        <f>E286+E464+E637+E810+E975</f>
        <v>0</v>
      </c>
      <c r="F113" s="4324"/>
      <c r="G113" s="4325">
        <f>G286+G464+G637+G810+G975</f>
        <v>0</v>
      </c>
      <c r="H113" s="4324"/>
      <c r="I113" s="4325">
        <f>I286+I464+I637+I810+I975</f>
        <v>0</v>
      </c>
      <c r="J113" s="4324"/>
      <c r="K113" s="4325">
        <f>K286+K464+K637+K810+K975</f>
        <v>0</v>
      </c>
      <c r="L113" s="4356"/>
      <c r="M113" s="4325">
        <f>M286+M464+M637+M810+M975</f>
        <v>0</v>
      </c>
    </row>
    <row r="114" spans="2:13" ht="7.5" customHeight="1">
      <c r="E114" s="4324"/>
      <c r="F114" s="4324"/>
      <c r="G114" s="4324"/>
      <c r="H114" s="4324"/>
      <c r="I114" s="4324"/>
      <c r="J114" s="4324"/>
      <c r="K114" s="4324"/>
      <c r="L114" s="4356"/>
      <c r="M114" s="4324"/>
    </row>
    <row r="115" spans="2:13">
      <c r="B115" s="4309" t="s">
        <v>2023</v>
      </c>
      <c r="C115" s="4347">
        <f>C18</f>
        <v>0.48399999999999999</v>
      </c>
      <c r="E115" s="4325">
        <f>E113*$C$66/100</f>
        <v>0</v>
      </c>
      <c r="F115" s="4324"/>
      <c r="G115" s="4325">
        <f>G113*$C$66/100</f>
        <v>0</v>
      </c>
      <c r="H115" s="4324"/>
      <c r="I115" s="4325">
        <f>I113*$C$66/100</f>
        <v>0</v>
      </c>
      <c r="J115" s="4324"/>
      <c r="K115" s="4325">
        <f>K113*$C$66/100</f>
        <v>0</v>
      </c>
      <c r="L115" s="4356"/>
      <c r="M115" s="4325">
        <f>M113*$C$66/100</f>
        <v>0</v>
      </c>
    </row>
    <row r="116" spans="2:13" ht="7.5" customHeight="1">
      <c r="E116" s="4324"/>
      <c r="F116" s="4324"/>
      <c r="G116" s="4324"/>
      <c r="H116" s="4324"/>
      <c r="I116" s="4324"/>
      <c r="J116" s="4324"/>
      <c r="K116" s="4324"/>
      <c r="L116" s="4356"/>
      <c r="M116" s="4324"/>
    </row>
    <row r="117" spans="2:13">
      <c r="B117" s="4309" t="str">
        <f>B68</f>
        <v>4.  Less:  Jan. 20, 2016 Taxes received**</v>
      </c>
      <c r="E117" s="4325">
        <f>E290+E468+E641+E814+E979</f>
        <v>0</v>
      </c>
      <c r="F117" s="4324"/>
      <c r="G117" s="4325">
        <f>G290+G468+G641+G814+G979</f>
        <v>0</v>
      </c>
      <c r="H117" s="4324"/>
      <c r="I117" s="4325">
        <f>I290+I468+I641+I814+I979</f>
        <v>0</v>
      </c>
      <c r="J117" s="4324"/>
      <c r="K117" s="4325">
        <f>K290+K468+K641+K814+K979</f>
        <v>0</v>
      </c>
      <c r="L117" s="4356"/>
      <c r="M117" s="4325">
        <f>M290+M468+M641+M814+M979</f>
        <v>0</v>
      </c>
    </row>
    <row r="118" spans="2:13" ht="6.75" customHeight="1">
      <c r="E118" s="4324"/>
      <c r="F118" s="4324"/>
      <c r="G118" s="4324"/>
      <c r="H118" s="4324"/>
      <c r="I118" s="4324"/>
      <c r="J118" s="4324"/>
      <c r="K118" s="4324"/>
      <c r="L118" s="4356"/>
      <c r="M118" s="4324"/>
    </row>
    <row r="119" spans="2:13">
      <c r="B119" s="4309" t="str">
        <f>B70</f>
        <v>5.  Less:  Mar. 20, 2016  Taxes received**</v>
      </c>
      <c r="E119" s="4325">
        <f>E292+E470+E643+E816+E981</f>
        <v>0</v>
      </c>
      <c r="F119" s="4324"/>
      <c r="G119" s="4325">
        <f>G292+G470+G643+G816+G981</f>
        <v>0</v>
      </c>
      <c r="H119" s="4324"/>
      <c r="I119" s="4325">
        <f>I292+I470+I643+I816+I981</f>
        <v>0</v>
      </c>
      <c r="J119" s="4324"/>
      <c r="K119" s="4325">
        <f>K292+K470+K643+K816+K981</f>
        <v>0</v>
      </c>
      <c r="L119" s="4356"/>
      <c r="M119" s="4325">
        <f>M292+M470+M643+M816+M981</f>
        <v>0</v>
      </c>
    </row>
    <row r="120" spans="2:13" ht="6.75" customHeight="1">
      <c r="E120" s="4328"/>
      <c r="F120" s="4324"/>
      <c r="G120" s="4328"/>
      <c r="H120" s="4324"/>
      <c r="I120" s="4328"/>
      <c r="J120" s="4324"/>
      <c r="K120" s="4328"/>
      <c r="L120" s="4356"/>
      <c r="M120" s="4328"/>
    </row>
    <row r="121" spans="2:13">
      <c r="B121" s="4309" t="str">
        <f>B24</f>
        <v>6.  Less:  June 5,  2016 Taxes received**</v>
      </c>
      <c r="E121" s="4325">
        <f>E294+E472+E645+E818+E983</f>
        <v>0</v>
      </c>
      <c r="F121" s="4324"/>
      <c r="G121" s="4325">
        <f>G294+G472+G645+G818+G983</f>
        <v>0</v>
      </c>
      <c r="H121" s="4324"/>
      <c r="I121" s="4325">
        <f>I294+I472+I645+I818+I983</f>
        <v>0</v>
      </c>
      <c r="J121" s="4324"/>
      <c r="K121" s="4325">
        <f>K294+K472+K645+K818+K983</f>
        <v>0</v>
      </c>
      <c r="L121" s="4356"/>
      <c r="M121" s="4325">
        <f>M294+M472+M645+M818+M983</f>
        <v>0</v>
      </c>
    </row>
    <row r="122" spans="2:13" ht="8.25" customHeight="1">
      <c r="E122" s="4328"/>
      <c r="F122" s="4324"/>
      <c r="G122" s="4328"/>
      <c r="H122" s="4324"/>
      <c r="I122" s="4328"/>
      <c r="J122" s="4324"/>
      <c r="K122" s="4328"/>
      <c r="L122" s="4356"/>
      <c r="M122" s="4328"/>
    </row>
    <row r="123" spans="2:13">
      <c r="B123" s="4309" t="s">
        <v>2003</v>
      </c>
      <c r="E123" s="4325">
        <f>E296+E474+E647+E820+E985</f>
        <v>0</v>
      </c>
      <c r="F123" s="4324"/>
      <c r="G123" s="4325">
        <f>G296+G474+G647+G820+G985</f>
        <v>0</v>
      </c>
      <c r="H123" s="4324"/>
      <c r="I123" s="4325">
        <f>I296+I474+I647+I820+I985</f>
        <v>0</v>
      </c>
      <c r="J123" s="4324"/>
      <c r="K123" s="4325">
        <f>K296+K474+K647+K820+K985</f>
        <v>0</v>
      </c>
      <c r="L123" s="4356"/>
      <c r="M123" s="4325">
        <f>M296+M474+M647+M820+M985</f>
        <v>0</v>
      </c>
    </row>
    <row r="124" spans="2:13" ht="8.25" customHeight="1">
      <c r="E124" s="4324"/>
      <c r="F124" s="4324"/>
      <c r="G124" s="4324"/>
      <c r="H124" s="4324"/>
      <c r="I124" s="4324"/>
      <c r="J124" s="4324"/>
      <c r="K124" s="4324"/>
      <c r="L124" s="4356"/>
      <c r="M124" s="4324"/>
    </row>
    <row r="125" spans="2:13">
      <c r="B125" s="4309" t="s">
        <v>2004</v>
      </c>
      <c r="E125" s="4325">
        <f>E298+E476+E649+E822+E987</f>
        <v>0</v>
      </c>
      <c r="F125" s="4324"/>
      <c r="G125" s="4325">
        <f>G298+G476+G649+G822+G987</f>
        <v>0</v>
      </c>
      <c r="H125" s="4324"/>
      <c r="I125" s="4325">
        <f>I298+I476+I649+I822+I987</f>
        <v>0</v>
      </c>
      <c r="J125" s="4324"/>
      <c r="K125" s="4325">
        <f>K298+K476+K649+K822+K987</f>
        <v>0</v>
      </c>
      <c r="L125" s="4356"/>
      <c r="M125" s="4325">
        <f>M298+M476+M649+M822+M987</f>
        <v>0</v>
      </c>
    </row>
    <row r="126" spans="2:13">
      <c r="B126" s="4309" t="s">
        <v>2005</v>
      </c>
      <c r="E126" s="4325">
        <f>E299+E477+E650+E823+E988</f>
        <v>0</v>
      </c>
      <c r="F126" s="4324"/>
      <c r="G126" s="4325">
        <f>G299+G477+G650+G823+G988</f>
        <v>0</v>
      </c>
      <c r="H126" s="4324"/>
      <c r="I126" s="4325">
        <f>I299+I477+I650+I823+I988</f>
        <v>0</v>
      </c>
      <c r="J126" s="4324"/>
      <c r="K126" s="4325">
        <f>K299+K477+K650+K823+K988</f>
        <v>0</v>
      </c>
      <c r="L126" s="4356"/>
      <c r="M126" s="4325">
        <f>M299+M477+M650+M823+M988</f>
        <v>0</v>
      </c>
    </row>
    <row r="127" spans="2:13">
      <c r="B127" s="4309" t="s">
        <v>2024</v>
      </c>
      <c r="E127" s="4325">
        <f>SUM(E115:E126)</f>
        <v>0</v>
      </c>
      <c r="F127" s="4328"/>
      <c r="G127" s="4325">
        <f>SUM(G115:G126)</f>
        <v>0</v>
      </c>
      <c r="H127" s="4328"/>
      <c r="I127" s="4325">
        <f>SUM(I115:I126)</f>
        <v>0</v>
      </c>
      <c r="J127" s="4328"/>
      <c r="K127" s="4325">
        <f>SUM(K115:K126)</f>
        <v>0</v>
      </c>
      <c r="L127" s="4356"/>
      <c r="M127" s="4325">
        <f>SUM(M115:M126)</f>
        <v>0</v>
      </c>
    </row>
    <row r="128" spans="2:13" ht="8.25" customHeight="1">
      <c r="E128" s="4324"/>
      <c r="F128" s="4324"/>
      <c r="G128" s="4324"/>
      <c r="H128" s="4324"/>
      <c r="I128" s="4324"/>
      <c r="J128" s="4324"/>
      <c r="K128" s="4324"/>
      <c r="L128" s="4356"/>
      <c r="M128" s="4324"/>
    </row>
    <row r="129" spans="2:14">
      <c r="B129" s="4309" t="str">
        <f>B32</f>
        <v>11. 2015 taxes receivable (taxes in process</v>
      </c>
      <c r="E129" s="4324"/>
      <c r="F129" s="4324"/>
      <c r="G129" s="4324"/>
      <c r="H129" s="4324"/>
      <c r="I129" s="4324"/>
      <c r="J129" s="4324"/>
      <c r="K129" s="4324"/>
      <c r="L129" s="4356"/>
      <c r="M129" s="4324"/>
    </row>
    <row r="130" spans="2:14">
      <c r="B130" s="4309" t="str">
        <f>B33</f>
        <v xml:space="preserve">     of collection 6/30/2016)(Line 2 less Line 10)</v>
      </c>
      <c r="E130" s="4325">
        <f>IF(E127&lt;=0,0,E113-E127)</f>
        <v>0</v>
      </c>
      <c r="F130" s="4328"/>
      <c r="G130" s="4325">
        <f>IF(G127&lt;=0,0,G113-G127)</f>
        <v>0</v>
      </c>
      <c r="H130" s="4328"/>
      <c r="I130" s="4325">
        <f>IF(I127&lt;=0,0,I113-I127)</f>
        <v>0</v>
      </c>
      <c r="J130" s="4328"/>
      <c r="K130" s="4325">
        <f>IF(K127&lt;=0,0,K113-K127)</f>
        <v>0</v>
      </c>
      <c r="L130" s="4328"/>
      <c r="M130" s="4325">
        <f>IF(M127&lt;=0,0,M113-M127)</f>
        <v>0</v>
      </c>
    </row>
    <row r="131" spans="2:14" ht="8.25" customHeight="1">
      <c r="E131" s="4324"/>
      <c r="F131" s="4324"/>
      <c r="G131" s="4324"/>
      <c r="H131" s="4324"/>
      <c r="I131" s="4324"/>
      <c r="J131" s="4324"/>
      <c r="K131" s="4324"/>
      <c r="L131" s="4356"/>
      <c r="M131" s="4324"/>
    </row>
    <row r="132" spans="2:14">
      <c r="B132" s="4309" t="s">
        <v>2025</v>
      </c>
      <c r="E132" s="4324"/>
      <c r="F132" s="4324"/>
      <c r="G132" s="4324"/>
      <c r="H132" s="4324"/>
      <c r="I132" s="4324"/>
      <c r="J132" s="4324"/>
      <c r="K132" s="4324"/>
      <c r="L132" s="4356"/>
      <c r="M132" s="4324"/>
    </row>
    <row r="133" spans="2:14">
      <c r="B133" s="4309" t="s">
        <v>2008</v>
      </c>
      <c r="E133" s="4324"/>
      <c r="F133" s="4324"/>
      <c r="G133" s="4324"/>
      <c r="H133" s="4324"/>
      <c r="I133" s="4324"/>
      <c r="J133" s="4324"/>
      <c r="K133" s="4324"/>
      <c r="L133" s="4356"/>
      <c r="M133" s="4324"/>
    </row>
    <row r="134" spans="2:14">
      <c r="B134" s="4309" t="str">
        <f>B37</f>
        <v xml:space="preserve">     (7-1-2016 to 12-31-2017) (Line 3 x 75%)</v>
      </c>
      <c r="E134" s="4325">
        <f>SUM(E115*0.75)</f>
        <v>0</v>
      </c>
      <c r="F134" s="4328"/>
      <c r="G134" s="4325">
        <f>SUM(G115*0.75)</f>
        <v>0</v>
      </c>
      <c r="H134" s="4328"/>
      <c r="I134" s="4325">
        <f>SUM(I115*0.75)</f>
        <v>0</v>
      </c>
      <c r="J134" s="4328"/>
      <c r="K134" s="4325">
        <f>SUM(K115*0.75)</f>
        <v>0</v>
      </c>
      <c r="L134" s="4356"/>
      <c r="M134" s="4325">
        <f>SUM(M115*0.75)</f>
        <v>0</v>
      </c>
    </row>
    <row r="135" spans="2:14" ht="6.75" customHeight="1">
      <c r="E135" s="4356"/>
      <c r="F135" s="4356"/>
      <c r="G135" s="4356"/>
      <c r="H135" s="4356"/>
      <c r="I135" s="4356"/>
      <c r="J135" s="4356"/>
      <c r="K135" s="4356"/>
      <c r="L135" s="4356"/>
      <c r="M135" s="4356"/>
    </row>
    <row r="136" spans="2:14" ht="15">
      <c r="B136" s="4350" t="str">
        <f>B39</f>
        <v>Tax Collection Ratio (Jan, Mar, June)</v>
      </c>
      <c r="E136" s="4379">
        <f>IF(E113&lt;&gt;0,(E117+E119+E121+E123+E125)/E113*100,0)</f>
        <v>0</v>
      </c>
      <c r="F136" s="4335" t="s">
        <v>1124</v>
      </c>
      <c r="G136" s="4379">
        <f>IF(G113&lt;&gt;0,(G117+G119+G121+G123+G125)/G113*100,0)</f>
        <v>0</v>
      </c>
      <c r="H136" s="4335" t="s">
        <v>1124</v>
      </c>
      <c r="I136" s="4379">
        <f>IF(I113&lt;&gt;0,(I117+I119+I121+I123+I125)/I113*100,0)</f>
        <v>0</v>
      </c>
      <c r="J136" s="4335" t="s">
        <v>1124</v>
      </c>
      <c r="K136" s="4379">
        <f>IF(K113&lt;&gt;0,(K117+K119+K121+K123+K125)/K113*100,0)</f>
        <v>0</v>
      </c>
      <c r="L136" s="4335" t="s">
        <v>1124</v>
      </c>
      <c r="M136" s="4379">
        <f>IF(M113&lt;&gt;0,(M117+M119+M121+M123+M125)/M113*100,0)</f>
        <v>0</v>
      </c>
      <c r="N136" s="4333" t="s">
        <v>1124</v>
      </c>
    </row>
    <row r="137" spans="2:14" ht="6.75" customHeight="1"/>
    <row r="138" spans="2:14">
      <c r="B138" s="4351" t="str">
        <f>B97</f>
        <v>*Amounts are available from the County Treasurer.       **These Jan.-June, 2016 amounts are available from the County Treasurer.  (Should correspond to school</v>
      </c>
    </row>
    <row r="139" spans="2:14" ht="12.75" customHeight="1">
      <c r="B139" s="4351" t="str">
        <f>B98</f>
        <v xml:space="preserve"> records and does not include MVPT.)   Include Watercraft Tax if USD received payment direct from county.</v>
      </c>
    </row>
    <row r="140" spans="2:14" ht="15">
      <c r="B140" s="4309" t="s">
        <v>1987</v>
      </c>
      <c r="M140" s="4310" t="s">
        <v>2046</v>
      </c>
    </row>
    <row r="141" spans="2:14">
      <c r="B141" s="4311">
        <f>B2</f>
        <v>42522</v>
      </c>
      <c r="C141" s="4312"/>
      <c r="D141" s="4312"/>
      <c r="G141" s="4314" t="s">
        <v>1989</v>
      </c>
      <c r="H141" s="4314"/>
      <c r="I141" s="4316" t="str">
        <f>I2</f>
        <v>270 - Plainville</v>
      </c>
      <c r="J141" s="4316"/>
      <c r="K141" s="4316"/>
      <c r="L141" s="4314" t="s">
        <v>1990</v>
      </c>
      <c r="M141" s="4317">
        <f>M2</f>
        <v>270</v>
      </c>
    </row>
    <row r="142" spans="2:14">
      <c r="K142" s="4314" t="s">
        <v>1112</v>
      </c>
      <c r="M142" s="4316" t="str">
        <f>M3</f>
        <v>COMBINED</v>
      </c>
    </row>
    <row r="143" spans="2:14" ht="6.75" customHeight="1">
      <c r="E143" s="4320"/>
      <c r="F143" s="4320"/>
      <c r="G143" s="4320"/>
      <c r="H143" s="4320"/>
      <c r="I143" s="4320"/>
      <c r="J143" s="4320"/>
      <c r="K143" s="4321"/>
      <c r="L143" s="4321"/>
      <c r="M143" s="4320"/>
    </row>
    <row r="144" spans="2:14">
      <c r="B144" s="4320" t="str">
        <f>B5</f>
        <v>2016-2017</v>
      </c>
      <c r="C144" s="4320"/>
      <c r="D144" s="4320"/>
      <c r="E144" s="4320"/>
      <c r="F144" s="4320"/>
      <c r="G144" s="4320"/>
      <c r="H144" s="4320"/>
      <c r="I144" s="4320"/>
      <c r="J144" s="4320"/>
      <c r="K144" s="4320"/>
      <c r="L144" s="4320"/>
      <c r="M144" s="4320"/>
    </row>
    <row r="145" spans="2:13">
      <c r="B145" s="4320" t="s">
        <v>1993</v>
      </c>
      <c r="C145" s="4320"/>
      <c r="D145" s="4320"/>
      <c r="E145" s="4320"/>
      <c r="F145" s="4320"/>
      <c r="G145" s="4320"/>
      <c r="H145" s="4320"/>
      <c r="I145" s="4320"/>
      <c r="J145" s="4320"/>
      <c r="K145" s="4320"/>
      <c r="L145" s="4320"/>
      <c r="M145" s="4320"/>
    </row>
    <row r="146" spans="2:13">
      <c r="B146" s="4320" t="s">
        <v>1994</v>
      </c>
      <c r="C146" s="4320"/>
      <c r="D146" s="4320"/>
      <c r="E146" s="4320"/>
      <c r="F146" s="4320"/>
      <c r="G146" s="4320"/>
      <c r="H146" s="4320"/>
      <c r="I146" s="4320"/>
      <c r="J146" s="4320"/>
      <c r="K146" s="4320"/>
      <c r="L146" s="4320"/>
      <c r="M146" s="4320"/>
    </row>
    <row r="147" spans="2:13" ht="15">
      <c r="B147" s="4322" t="s">
        <v>1995</v>
      </c>
      <c r="C147" s="4322"/>
      <c r="D147" s="4322"/>
      <c r="E147" s="4320"/>
      <c r="F147" s="4320"/>
      <c r="G147" s="4320"/>
      <c r="H147" s="4320"/>
      <c r="I147" s="4320"/>
      <c r="J147" s="4320"/>
      <c r="K147" s="4320"/>
      <c r="L147" s="4320"/>
      <c r="M147" s="4320"/>
    </row>
    <row r="148" spans="2:13" ht="8.25" customHeight="1">
      <c r="E148" s="4318"/>
      <c r="F148" s="4318"/>
      <c r="G148" s="4318"/>
      <c r="H148" s="4318"/>
      <c r="I148" s="4318"/>
      <c r="J148" s="4318"/>
      <c r="K148" s="4318"/>
      <c r="L148" s="4318"/>
      <c r="M148" s="4318"/>
    </row>
    <row r="149" spans="2:13" ht="15">
      <c r="E149" s="4380"/>
      <c r="F149" s="4318"/>
      <c r="G149" s="4318" t="str">
        <f>IF(M2=114," ","Rec. Comm")</f>
        <v>Rec. Comm</v>
      </c>
      <c r="H149" s="4318"/>
      <c r="I149" s="4318" t="s">
        <v>2047</v>
      </c>
      <c r="J149" s="4318"/>
      <c r="K149" s="4350" t="s">
        <v>2048</v>
      </c>
      <c r="L149" s="4318"/>
      <c r="M149" s="4356"/>
    </row>
    <row r="150" spans="2:13" ht="15">
      <c r="E150" s="4380" t="s">
        <v>2049</v>
      </c>
      <c r="F150" s="4318"/>
      <c r="G150" s="4318" t="str">
        <f>IF(M2=114,"Recreation","Emp Benef")</f>
        <v>Emp Benef</v>
      </c>
      <c r="H150" s="4318"/>
      <c r="I150" s="4318" t="s">
        <v>2050</v>
      </c>
      <c r="J150" s="4318"/>
      <c r="K150" s="4318" t="s">
        <v>2051</v>
      </c>
      <c r="L150" s="4318"/>
      <c r="M150" s="4380" t="s">
        <v>2052</v>
      </c>
    </row>
    <row r="151" spans="2:13" ht="15">
      <c r="E151" s="4380" t="s">
        <v>2053</v>
      </c>
      <c r="G151" s="4318" t="str">
        <f>IF(M2=114,"Fund #486","&amp; Spec Liab")</f>
        <v>&amp; Spec Liab</v>
      </c>
      <c r="I151" s="4318" t="s">
        <v>2054</v>
      </c>
      <c r="K151" s="4318" t="s">
        <v>2055</v>
      </c>
      <c r="M151" s="4380" t="s">
        <v>2056</v>
      </c>
    </row>
    <row r="152" spans="2:13" ht="15">
      <c r="G152" s="4350"/>
    </row>
    <row r="153" spans="2:13">
      <c r="B153" s="4309" t="str">
        <f>B14</f>
        <v>1.  County Treasurer Balance 6/30/2016 *</v>
      </c>
      <c r="E153" s="4381">
        <f>E326+E504+E677+E849+E1015</f>
        <v>0</v>
      </c>
      <c r="F153" s="4324"/>
      <c r="G153" s="4325">
        <f>G326+G504+G677+G849+G1015</f>
        <v>0</v>
      </c>
      <c r="H153" s="4324"/>
      <c r="I153" s="4325">
        <f>I326+I504+I677+I849+I1015</f>
        <v>0</v>
      </c>
      <c r="J153" s="4324"/>
      <c r="K153" s="4325">
        <f>K326+K504+K677+K849+K1015</f>
        <v>0</v>
      </c>
      <c r="L153" s="4356"/>
      <c r="M153" s="4325">
        <f>M326+M504+M677+M849+M1015</f>
        <v>0</v>
      </c>
    </row>
    <row r="154" spans="2:13" ht="5.25" customHeight="1">
      <c r="B154" s="4326"/>
      <c r="C154" s="4326"/>
      <c r="D154" s="4326"/>
      <c r="E154" s="4327"/>
      <c r="F154" s="4327"/>
      <c r="G154" s="4327"/>
      <c r="H154" s="4327"/>
      <c r="I154" s="4327"/>
      <c r="J154" s="4327"/>
      <c r="K154" s="4327"/>
      <c r="L154" s="4356"/>
      <c r="M154" s="4327"/>
    </row>
    <row r="155" spans="2:13">
      <c r="B155" s="4309" t="str">
        <f>B16</f>
        <v>2.  2015 Actual Taxes Levied*</v>
      </c>
      <c r="E155" s="4381">
        <f>E328+E506+E679+E851+E1017</f>
        <v>0</v>
      </c>
      <c r="F155" s="4324"/>
      <c r="G155" s="4325">
        <f>G328+G506+G679+G851+G1017</f>
        <v>0</v>
      </c>
      <c r="H155" s="4324"/>
      <c r="I155" s="4325">
        <f>I328+I506+I679+I851+I1017</f>
        <v>0</v>
      </c>
      <c r="J155" s="4324"/>
      <c r="K155" s="4325">
        <f>K328+K506+K679+K851+K1017</f>
        <v>0</v>
      </c>
      <c r="L155" s="4356"/>
      <c r="M155" s="4325">
        <f>M328+M506+M679+M851+M1017</f>
        <v>0</v>
      </c>
    </row>
    <row r="156" spans="2:13" ht="6.75" customHeight="1">
      <c r="E156" s="4324"/>
      <c r="F156" s="4324"/>
      <c r="G156" s="4324"/>
      <c r="H156" s="4324"/>
      <c r="I156" s="4324"/>
      <c r="J156" s="4324"/>
      <c r="K156" s="4324"/>
      <c r="L156" s="4356"/>
      <c r="M156" s="4324"/>
    </row>
    <row r="157" spans="2:13">
      <c r="B157" s="4309" t="s">
        <v>2023</v>
      </c>
      <c r="C157" s="4347">
        <f>C18</f>
        <v>0.48399999999999999</v>
      </c>
      <c r="E157" s="4381">
        <f>E155*$C$66/100</f>
        <v>0</v>
      </c>
      <c r="F157" s="4324"/>
      <c r="G157" s="4325">
        <f>G155*$C$66/100</f>
        <v>0</v>
      </c>
      <c r="H157" s="4324"/>
      <c r="I157" s="4325">
        <f>I155*$C$66/100</f>
        <v>0</v>
      </c>
      <c r="J157" s="4324"/>
      <c r="K157" s="4325">
        <f>K155*$C$66/100</f>
        <v>0</v>
      </c>
      <c r="L157" s="4356"/>
      <c r="M157" s="4325">
        <f>M155*$C$66/100</f>
        <v>0</v>
      </c>
    </row>
    <row r="158" spans="2:13" ht="8.25" customHeight="1">
      <c r="E158" s="4324"/>
      <c r="F158" s="4324"/>
      <c r="G158" s="4324"/>
      <c r="H158" s="4324"/>
      <c r="I158" s="4324"/>
      <c r="J158" s="4324"/>
      <c r="K158" s="4324"/>
      <c r="L158" s="4356"/>
      <c r="M158" s="4324"/>
    </row>
    <row r="159" spans="2:13">
      <c r="B159" s="4309" t="str">
        <f>B20</f>
        <v>4.  Less:  Jan. 20, 2016 Taxes received**</v>
      </c>
      <c r="E159" s="4381">
        <f>E332+E510+E683+E855+E1021</f>
        <v>0</v>
      </c>
      <c r="F159" s="4324"/>
      <c r="G159" s="4325">
        <f>G332+G510+G683+G855+G1021</f>
        <v>0</v>
      </c>
      <c r="H159" s="4324"/>
      <c r="I159" s="4325">
        <f>I332+I510+I683+I855+I1021</f>
        <v>0</v>
      </c>
      <c r="J159" s="4324"/>
      <c r="K159" s="4325">
        <f>K332+K510+K683+K855+K1021</f>
        <v>0</v>
      </c>
      <c r="L159" s="4356"/>
      <c r="M159" s="4325">
        <f>M332+M510+M683+M855+M1021</f>
        <v>0</v>
      </c>
    </row>
    <row r="160" spans="2:13" ht="7.5" customHeight="1">
      <c r="E160" s="4324"/>
      <c r="F160" s="4324"/>
      <c r="G160" s="4324"/>
      <c r="H160" s="4324"/>
      <c r="I160" s="4324"/>
      <c r="J160" s="4324"/>
      <c r="K160" s="4324"/>
      <c r="L160" s="4356"/>
      <c r="M160" s="4324"/>
    </row>
    <row r="161" spans="2:13">
      <c r="B161" s="4309" t="str">
        <f>B22</f>
        <v>5.  Less:  Mar. 20, 2016  Taxes received**</v>
      </c>
      <c r="E161" s="4381">
        <f>E334+E512+E685+E857+E1023</f>
        <v>0</v>
      </c>
      <c r="F161" s="4324"/>
      <c r="G161" s="4325">
        <f>G334+G512+G685+G857+G1023</f>
        <v>0</v>
      </c>
      <c r="H161" s="4324"/>
      <c r="I161" s="4325">
        <f>I334+I512+I685+I857+I1023</f>
        <v>0</v>
      </c>
      <c r="J161" s="4324"/>
      <c r="K161" s="4325">
        <f>K334+K512+K685+K857+K1023</f>
        <v>0</v>
      </c>
      <c r="L161" s="4356"/>
      <c r="M161" s="4325">
        <f>M334+M512+M685+M857+M1023</f>
        <v>0</v>
      </c>
    </row>
    <row r="162" spans="2:13" ht="6.75" customHeight="1">
      <c r="E162" s="4328"/>
      <c r="F162" s="4324"/>
      <c r="G162" s="4328"/>
      <c r="H162" s="4324"/>
      <c r="I162" s="4328"/>
      <c r="J162" s="4324"/>
      <c r="K162" s="4328"/>
      <c r="L162" s="4356"/>
      <c r="M162" s="4328"/>
    </row>
    <row r="163" spans="2:13">
      <c r="B163" s="4309" t="str">
        <f>B24</f>
        <v>6.  Less:  June 5,  2016 Taxes received**</v>
      </c>
      <c r="E163" s="4381">
        <f>E336+E514+E687+E859+E1025</f>
        <v>0</v>
      </c>
      <c r="F163" s="4324"/>
      <c r="G163" s="4325">
        <f>G336+G514+G687+G859+G1025</f>
        <v>0</v>
      </c>
      <c r="H163" s="4324"/>
      <c r="I163" s="4325">
        <f>I336+I514+I687+I859+I1025</f>
        <v>0</v>
      </c>
      <c r="J163" s="4324"/>
      <c r="K163" s="4325">
        <f>K336+K514+K687+K859+K1025</f>
        <v>0</v>
      </c>
      <c r="L163" s="4356"/>
      <c r="M163" s="4325">
        <f>M336+M514+M687+M859+M1025</f>
        <v>0</v>
      </c>
    </row>
    <row r="164" spans="2:13" ht="8.25" customHeight="1">
      <c r="E164" s="4328"/>
      <c r="F164" s="4324"/>
      <c r="G164" s="4328"/>
      <c r="H164" s="4324"/>
      <c r="I164" s="4328"/>
      <c r="J164" s="4324"/>
      <c r="K164" s="4328"/>
      <c r="L164" s="4356"/>
      <c r="M164" s="4328"/>
    </row>
    <row r="165" spans="2:13">
      <c r="B165" s="4309" t="s">
        <v>2003</v>
      </c>
      <c r="E165" s="4381">
        <f>E338+E516+E689+E861+E1027</f>
        <v>0</v>
      </c>
      <c r="F165" s="4324"/>
      <c r="G165" s="4325">
        <f>G338+G516+G689+G861+G1027</f>
        <v>0</v>
      </c>
      <c r="H165" s="4324"/>
      <c r="I165" s="4325">
        <f>I338+I516+I689+I861+I1027</f>
        <v>0</v>
      </c>
      <c r="J165" s="4324"/>
      <c r="K165" s="4325">
        <f>K338+K516+K689+K861+K1027</f>
        <v>0</v>
      </c>
      <c r="L165" s="4356"/>
      <c r="M165" s="4325">
        <f>M338+M516+M689+M861+M1027</f>
        <v>0</v>
      </c>
    </row>
    <row r="166" spans="2:13" ht="7.5" customHeight="1">
      <c r="E166" s="4324"/>
      <c r="F166" s="4324"/>
      <c r="G166" s="4324"/>
      <c r="H166" s="4324"/>
      <c r="I166" s="4324"/>
      <c r="J166" s="4324"/>
      <c r="K166" s="4324"/>
      <c r="L166" s="4356"/>
      <c r="M166" s="4324"/>
    </row>
    <row r="167" spans="2:13">
      <c r="B167" s="4309" t="s">
        <v>2004</v>
      </c>
      <c r="E167" s="4381">
        <f>E340+E518+E691+E863+E1029</f>
        <v>0</v>
      </c>
      <c r="F167" s="4324"/>
      <c r="G167" s="4325">
        <f>G340+G518+G691+G863+G1029</f>
        <v>0</v>
      </c>
      <c r="H167" s="4324"/>
      <c r="I167" s="4325">
        <f>I340+I518+I691+I863+I1029</f>
        <v>0</v>
      </c>
      <c r="J167" s="4324"/>
      <c r="K167" s="4325">
        <f>K340+K518+K691+K863+K1029</f>
        <v>0</v>
      </c>
      <c r="L167" s="4356"/>
      <c r="M167" s="4325">
        <f>M340+M518+M691+M863+M1029</f>
        <v>0</v>
      </c>
    </row>
    <row r="168" spans="2:13">
      <c r="B168" s="4309" t="s">
        <v>2005</v>
      </c>
      <c r="E168" s="4381">
        <f>E341+E519+E692+E864+E1030</f>
        <v>0</v>
      </c>
      <c r="F168" s="4324"/>
      <c r="G168" s="4325">
        <f>G341+G519+G692+G864+G1030</f>
        <v>0</v>
      </c>
      <c r="H168" s="4324"/>
      <c r="I168" s="4325">
        <f>I341+I519+I692+I864+I1030</f>
        <v>0</v>
      </c>
      <c r="J168" s="4324"/>
      <c r="K168" s="4325">
        <f>K341+K519+K692+K864+K1030</f>
        <v>0</v>
      </c>
      <c r="L168" s="4356"/>
      <c r="M168" s="4325">
        <f>M341+M519+M692+M864+M1030</f>
        <v>0</v>
      </c>
    </row>
    <row r="169" spans="2:13">
      <c r="B169" s="4309" t="s">
        <v>2024</v>
      </c>
      <c r="E169" s="4381">
        <f>SUM(E157:E168)</f>
        <v>0</v>
      </c>
      <c r="F169" s="4328"/>
      <c r="G169" s="4325">
        <f>SUM(G157:G168)</f>
        <v>0</v>
      </c>
      <c r="H169" s="4328"/>
      <c r="I169" s="4325">
        <f>SUM(I157:I168)</f>
        <v>0</v>
      </c>
      <c r="J169" s="4328"/>
      <c r="K169" s="4325">
        <f>SUM(K157:K168)</f>
        <v>0</v>
      </c>
      <c r="L169" s="4356"/>
      <c r="M169" s="4325">
        <f>SUM(M157:M168)</f>
        <v>0</v>
      </c>
    </row>
    <row r="170" spans="2:13" ht="6.75" customHeight="1">
      <c r="E170" s="4324"/>
      <c r="F170" s="4324"/>
      <c r="G170" s="4324"/>
      <c r="H170" s="4324"/>
      <c r="I170" s="4324"/>
      <c r="J170" s="4324"/>
      <c r="K170" s="4324"/>
      <c r="L170" s="4356"/>
      <c r="M170" s="4324"/>
    </row>
    <row r="171" spans="2:13">
      <c r="B171" s="4309" t="str">
        <f>B32</f>
        <v>11. 2015 taxes receivable (taxes in process</v>
      </c>
      <c r="E171" s="4324"/>
      <c r="F171" s="4324"/>
      <c r="G171" s="4324"/>
      <c r="H171" s="4324"/>
      <c r="I171" s="4324"/>
      <c r="J171" s="4324"/>
      <c r="K171" s="4324"/>
      <c r="L171" s="4356"/>
      <c r="M171" s="4324"/>
    </row>
    <row r="172" spans="2:13">
      <c r="B172" s="4309" t="str">
        <f>B33</f>
        <v xml:space="preserve">     of collection 6/30/2016)(Line 2 less Line 10)</v>
      </c>
      <c r="E172" s="4381">
        <f>IF(E169&lt;=0,0,E155-E169)</f>
        <v>0</v>
      </c>
      <c r="F172" s="4328"/>
      <c r="G172" s="4325">
        <f>IF(G169&lt;=0,0,G155-G169)</f>
        <v>0</v>
      </c>
      <c r="H172" s="4328"/>
      <c r="I172" s="4325">
        <f>IF(I169&lt;=0,0,I155-I169)</f>
        <v>0</v>
      </c>
      <c r="J172" s="4328"/>
      <c r="K172" s="4325">
        <f>IF(K169&lt;=0,0,K155-K169)</f>
        <v>0</v>
      </c>
      <c r="L172" s="4328"/>
      <c r="M172" s="4325">
        <f>IF(M169&lt;=0,0,M155-M169)</f>
        <v>0</v>
      </c>
    </row>
    <row r="173" spans="2:13" ht="6" customHeight="1">
      <c r="E173" s="4324"/>
      <c r="F173" s="4324"/>
      <c r="G173" s="4324"/>
      <c r="H173" s="4324"/>
      <c r="I173" s="4324"/>
      <c r="J173" s="4324"/>
      <c r="K173" s="4324"/>
      <c r="L173" s="4356"/>
      <c r="M173" s="4324"/>
    </row>
    <row r="174" spans="2:13">
      <c r="B174" s="4309" t="s">
        <v>2025</v>
      </c>
      <c r="E174" s="4324"/>
      <c r="F174" s="4324"/>
      <c r="G174" s="4324"/>
      <c r="H174" s="4324"/>
      <c r="I174" s="4324"/>
      <c r="J174" s="4324"/>
      <c r="K174" s="4324"/>
      <c r="L174" s="4356"/>
      <c r="M174" s="4324"/>
    </row>
    <row r="175" spans="2:13">
      <c r="B175" s="4309" t="s">
        <v>2008</v>
      </c>
      <c r="E175" s="4324"/>
      <c r="F175" s="4324"/>
      <c r="G175" s="4324"/>
      <c r="H175" s="4324"/>
      <c r="I175" s="4324"/>
      <c r="J175" s="4324"/>
      <c r="K175" s="4324"/>
      <c r="L175" s="4356"/>
      <c r="M175" s="4324"/>
    </row>
    <row r="176" spans="2:13">
      <c r="B176" s="4309" t="str">
        <f>B37</f>
        <v xml:space="preserve">     (7-1-2016 to 12-31-2017) (Line 3 x 75%)</v>
      </c>
      <c r="E176" s="4381">
        <f>SUM(E157*0.75)</f>
        <v>0</v>
      </c>
      <c r="F176" s="4328"/>
      <c r="G176" s="4325">
        <f>SUM(G157*0.75)</f>
        <v>0</v>
      </c>
      <c r="H176" s="4328"/>
      <c r="I176" s="4325">
        <f>SUM(I157*0.75)</f>
        <v>0</v>
      </c>
      <c r="J176" s="4328"/>
      <c r="K176" s="4325">
        <f>SUM(K157*0.75)</f>
        <v>0</v>
      </c>
      <c r="L176" s="4356"/>
      <c r="M176" s="4325">
        <f>SUM(M157*0.75)</f>
        <v>0</v>
      </c>
    </row>
    <row r="177" spans="2:14" ht="5.25" customHeight="1">
      <c r="E177" s="4356"/>
      <c r="F177" s="4356"/>
      <c r="G177" s="4356"/>
      <c r="H177" s="4356"/>
      <c r="I177" s="4356"/>
      <c r="J177" s="4356"/>
      <c r="K177" s="4356"/>
      <c r="L177" s="4356"/>
      <c r="M177" s="4356"/>
    </row>
    <row r="178" spans="2:14" ht="15">
      <c r="B178" s="4350" t="str">
        <f>B39</f>
        <v>Tax Collection Ratio (Jan, Mar, June)</v>
      </c>
      <c r="E178" s="4379">
        <f>IF(E155&lt;&gt;0,(E159+E161+E163+E165+E167)/E155*100,0)</f>
        <v>0</v>
      </c>
      <c r="F178" s="4335" t="s">
        <v>1124</v>
      </c>
      <c r="G178" s="4379">
        <f>IF(G155&lt;&gt;0,(G159+G161+G163+G165+G167)/G155*100,0)</f>
        <v>0</v>
      </c>
      <c r="H178" s="4335" t="s">
        <v>1124</v>
      </c>
      <c r="I178" s="4379">
        <f>IF(I155&lt;&gt;0,(I159+I161+I163+I165+I167)/I155*100,0)</f>
        <v>0</v>
      </c>
      <c r="J178" s="4335" t="s">
        <v>1124</v>
      </c>
      <c r="K178" s="4379">
        <f>IF(K155&lt;&gt;0,(K159+K161+K163+K165+K167)/K155*100,0)</f>
        <v>0</v>
      </c>
      <c r="L178" s="4335" t="s">
        <v>1124</v>
      </c>
      <c r="M178" s="4379">
        <f>IF(M155&lt;&gt;0,(M159+M161+M163+M165+M167)/M155*100,0)</f>
        <v>0</v>
      </c>
      <c r="N178" s="4333" t="s">
        <v>1124</v>
      </c>
    </row>
    <row r="179" spans="2:14" ht="4.5" customHeight="1"/>
    <row r="180" spans="2:14">
      <c r="B180" s="4351" t="str">
        <f>B97</f>
        <v>*Amounts are available from the County Treasurer.       **These Jan.-June, 2016 amounts are available from the County Treasurer.  (Should correspond to school</v>
      </c>
    </row>
    <row r="181" spans="2:14">
      <c r="B181" s="4351" t="str">
        <f>B98</f>
        <v xml:space="preserve"> records and does not include MVPT.)   Include Watercraft Tax if USD received payment direct from county.</v>
      </c>
    </row>
    <row r="182" spans="2:14" ht="15">
      <c r="B182" s="4309" t="s">
        <v>1987</v>
      </c>
      <c r="M182" s="4310" t="s">
        <v>1988</v>
      </c>
    </row>
    <row r="183" spans="2:14">
      <c r="B183" s="4311">
        <f>B2</f>
        <v>42522</v>
      </c>
      <c r="C183" s="4312"/>
      <c r="D183" s="4312"/>
      <c r="F183" s="4314"/>
      <c r="G183" s="4314" t="s">
        <v>1989</v>
      </c>
      <c r="H183" s="4314"/>
      <c r="I183" s="4315" t="str">
        <f>I2</f>
        <v>270 - Plainville</v>
      </c>
      <c r="J183" s="4316"/>
      <c r="K183" s="4316"/>
      <c r="L183" s="4314" t="s">
        <v>1990</v>
      </c>
      <c r="M183" s="4317">
        <f>OPEN!$B$4</f>
        <v>270</v>
      </c>
    </row>
    <row r="184" spans="2:14">
      <c r="K184" s="4314" t="s">
        <v>1112</v>
      </c>
      <c r="M184" s="4316" t="str">
        <f>OPEN!$B$5</f>
        <v>Rooks</v>
      </c>
    </row>
    <row r="185" spans="2:14" ht="7.5" customHeight="1">
      <c r="E185" s="4320"/>
      <c r="F185" s="4320"/>
      <c r="G185" s="4320"/>
      <c r="H185" s="4320"/>
      <c r="I185" s="4320"/>
      <c r="J185" s="4320"/>
      <c r="K185" s="4321"/>
      <c r="L185" s="4321"/>
      <c r="M185" s="4320"/>
    </row>
    <row r="186" spans="2:14">
      <c r="B186" s="4320" t="str">
        <f>B5</f>
        <v>2016-2017</v>
      </c>
      <c r="C186" s="4320"/>
      <c r="D186" s="4320"/>
      <c r="E186" s="4320"/>
      <c r="F186" s="4320"/>
      <c r="G186" s="4320"/>
      <c r="H186" s="4320"/>
      <c r="I186" s="4320"/>
      <c r="J186" s="4320"/>
      <c r="K186" s="4320"/>
      <c r="L186" s="4320"/>
      <c r="M186" s="4320"/>
    </row>
    <row r="187" spans="2:14">
      <c r="B187" s="4320" t="s">
        <v>1993</v>
      </c>
      <c r="C187" s="4320"/>
      <c r="D187" s="4320"/>
      <c r="E187" s="4320"/>
      <c r="F187" s="4320"/>
      <c r="G187" s="4320"/>
      <c r="H187" s="4320"/>
      <c r="I187" s="4320"/>
      <c r="J187" s="4320"/>
      <c r="K187" s="4320"/>
      <c r="L187" s="4320"/>
      <c r="M187" s="4320"/>
    </row>
    <row r="188" spans="2:14">
      <c r="B188" s="4320" t="s">
        <v>1994</v>
      </c>
      <c r="C188" s="4320"/>
      <c r="D188" s="4320"/>
      <c r="E188" s="4320"/>
      <c r="F188" s="4320"/>
      <c r="G188" s="4320"/>
      <c r="H188" s="4320"/>
      <c r="I188" s="4320"/>
      <c r="J188" s="4320"/>
      <c r="K188" s="4320"/>
      <c r="L188" s="4320"/>
      <c r="M188" s="4320"/>
    </row>
    <row r="189" spans="2:14" ht="15">
      <c r="B189" s="4322" t="s">
        <v>1995</v>
      </c>
      <c r="C189" s="4322"/>
      <c r="D189" s="4322"/>
      <c r="E189" s="4320"/>
      <c r="F189" s="4320"/>
      <c r="G189" s="4320"/>
      <c r="H189" s="4320"/>
      <c r="I189" s="4320"/>
      <c r="J189" s="4320"/>
      <c r="K189" s="4320"/>
      <c r="L189" s="4320"/>
      <c r="M189" s="4320"/>
    </row>
    <row r="190" spans="2:14" ht="6.75" customHeight="1"/>
    <row r="191" spans="2:14" ht="15">
      <c r="E191" s="4318"/>
      <c r="F191" s="4318"/>
      <c r="G191" s="4318" t="s">
        <v>1996</v>
      </c>
      <c r="H191" s="4318"/>
      <c r="I191" s="4318" t="s">
        <v>1997</v>
      </c>
      <c r="J191" s="4318"/>
      <c r="K191" s="4318" t="s">
        <v>1998</v>
      </c>
      <c r="L191" s="4318"/>
      <c r="M191" s="4318"/>
    </row>
    <row r="192" spans="2:14" ht="15">
      <c r="E192" s="4318" t="s">
        <v>993</v>
      </c>
      <c r="F192" s="4318"/>
      <c r="G192" s="4318" t="s">
        <v>993</v>
      </c>
      <c r="H192" s="4318"/>
      <c r="I192" s="4318" t="s">
        <v>1999</v>
      </c>
      <c r="J192" s="4318"/>
      <c r="K192" s="4318" t="s">
        <v>2000</v>
      </c>
      <c r="L192" s="4318"/>
      <c r="M192" s="4318" t="s">
        <v>2001</v>
      </c>
    </row>
    <row r="193" spans="2:16" ht="15">
      <c r="E193" s="4318" t="s">
        <v>1152</v>
      </c>
      <c r="F193" s="4318"/>
      <c r="G193" s="4318" t="s">
        <v>1152</v>
      </c>
      <c r="H193" s="4318"/>
      <c r="I193" s="4318" t="s">
        <v>1152</v>
      </c>
      <c r="J193" s="4318"/>
      <c r="K193" s="4318" t="str">
        <f>K12</f>
        <v>Fund #1</v>
      </c>
      <c r="L193" s="4318"/>
      <c r="M193" s="4318" t="str">
        <f>M12</f>
        <v>Fund</v>
      </c>
    </row>
    <row r="194" spans="2:16" ht="7.5" customHeight="1"/>
    <row r="195" spans="2:16">
      <c r="B195" s="4309" t="str">
        <f>B14</f>
        <v>1.  County Treasurer Balance 6/30/2016 *</v>
      </c>
      <c r="E195" s="4382"/>
      <c r="F195" s="4383"/>
      <c r="G195" s="4384">
        <v>0</v>
      </c>
      <c r="H195" s="4383"/>
      <c r="I195" s="4384">
        <v>0</v>
      </c>
      <c r="J195" s="4383"/>
      <c r="K195" s="4384">
        <v>0</v>
      </c>
      <c r="L195" s="4383"/>
      <c r="M195" s="4384">
        <v>0</v>
      </c>
    </row>
    <row r="196" spans="2:16" ht="7.5" customHeight="1">
      <c r="B196" s="4326"/>
      <c r="C196" s="4326"/>
      <c r="D196" s="4326"/>
      <c r="E196" s="4385"/>
      <c r="F196" s="4385"/>
      <c r="G196" s="4385"/>
      <c r="H196" s="4385"/>
      <c r="I196" s="4385"/>
      <c r="J196" s="4385"/>
      <c r="K196" s="4385"/>
      <c r="L196" s="4385"/>
      <c r="M196" s="4385"/>
      <c r="P196" s="4348"/>
    </row>
    <row r="197" spans="2:16">
      <c r="B197" s="4309" t="str">
        <f>B16</f>
        <v>2.  2015 Actual Taxes Levied*</v>
      </c>
      <c r="E197" s="4382"/>
      <c r="F197" s="4383"/>
      <c r="G197" s="4384">
        <v>243044</v>
      </c>
      <c r="H197" s="4383"/>
      <c r="I197" s="4384">
        <v>200697</v>
      </c>
      <c r="J197" s="4383"/>
      <c r="K197" s="4384">
        <v>176817</v>
      </c>
      <c r="L197" s="4383"/>
      <c r="M197" s="4384">
        <v>74183</v>
      </c>
    </row>
    <row r="198" spans="2:16" ht="8.25" customHeight="1">
      <c r="E198" s="4376"/>
      <c r="F198" s="4383"/>
      <c r="G198" s="4383"/>
      <c r="H198" s="4383"/>
      <c r="I198" s="4383"/>
      <c r="J198" s="4383"/>
      <c r="K198" s="4383"/>
      <c r="L198" s="4383"/>
      <c r="M198" s="4383"/>
    </row>
    <row r="199" spans="2:16">
      <c r="B199" s="4309" t="s">
        <v>2002</v>
      </c>
      <c r="C199" s="4329">
        <v>0.48399999999999999</v>
      </c>
      <c r="E199" s="4328"/>
      <c r="F199" s="4328"/>
      <c r="G199" s="4325">
        <f>SUM(G197*$C$199/100)</f>
        <v>1176</v>
      </c>
      <c r="H199" s="4325"/>
      <c r="I199" s="4325">
        <f>SUM(I197*$C$199/100)</f>
        <v>971</v>
      </c>
      <c r="J199" s="4325"/>
      <c r="K199" s="4325">
        <f>SUM(K197*$C$199/100)</f>
        <v>856</v>
      </c>
      <c r="L199" s="4325"/>
      <c r="M199" s="4325">
        <f>SUM(M197*$C$199/100)</f>
        <v>359</v>
      </c>
    </row>
    <row r="200" spans="2:16" ht="8.25" customHeight="1">
      <c r="E200" s="4376"/>
      <c r="F200" s="4383"/>
      <c r="G200" s="4383"/>
      <c r="H200" s="4383"/>
      <c r="I200" s="4383"/>
      <c r="J200" s="4383"/>
      <c r="K200" s="4383"/>
      <c r="L200" s="4383"/>
      <c r="M200" s="4383"/>
    </row>
    <row r="201" spans="2:16">
      <c r="B201" s="4309" t="str">
        <f>B20</f>
        <v>4.  Less:  Jan. 20, 2016 Taxes received**</v>
      </c>
      <c r="C201" s="4314"/>
      <c r="E201" s="4382"/>
      <c r="F201" s="4383"/>
      <c r="G201" s="4384">
        <v>157645</v>
      </c>
      <c r="H201" s="4383"/>
      <c r="I201" s="4384">
        <v>130177</v>
      </c>
      <c r="J201" s="4383"/>
      <c r="K201" s="4384">
        <v>114816</v>
      </c>
      <c r="L201" s="4383"/>
      <c r="M201" s="4384">
        <v>47166</v>
      </c>
    </row>
    <row r="202" spans="2:16" ht="6.75" customHeight="1">
      <c r="E202" s="4376"/>
      <c r="F202" s="4383"/>
      <c r="G202" s="4383"/>
      <c r="H202" s="4383"/>
      <c r="I202" s="4324"/>
      <c r="J202" s="4383"/>
      <c r="K202" s="4383"/>
      <c r="L202" s="4383"/>
      <c r="M202" s="4383"/>
    </row>
    <row r="203" spans="2:16">
      <c r="B203" s="4309" t="str">
        <f>B22</f>
        <v>5.  Less:  Mar. 20, 2016  Taxes received**</v>
      </c>
      <c r="E203" s="4382"/>
      <c r="F203" s="4383"/>
      <c r="G203" s="4384">
        <v>6321</v>
      </c>
      <c r="H203" s="4383"/>
      <c r="I203" s="4384">
        <v>5219</v>
      </c>
      <c r="J203" s="4383"/>
      <c r="K203" s="4384">
        <v>4604</v>
      </c>
      <c r="L203" s="4383"/>
      <c r="M203" s="4384">
        <v>1085</v>
      </c>
    </row>
    <row r="204" spans="2:16" ht="6.75" customHeight="1">
      <c r="E204" s="4376"/>
      <c r="F204" s="4383"/>
      <c r="G204" s="4383"/>
      <c r="H204" s="4383"/>
      <c r="I204" s="4383"/>
      <c r="J204" s="4383"/>
      <c r="K204" s="4383"/>
      <c r="L204" s="4383"/>
      <c r="M204" s="4383"/>
    </row>
    <row r="205" spans="2:16">
      <c r="B205" s="4309" t="str">
        <f>B24</f>
        <v>6.  Less:  June 5,  2016 Taxes received**</v>
      </c>
      <c r="E205" s="4382"/>
      <c r="F205" s="4383"/>
      <c r="G205" s="4384">
        <v>66085</v>
      </c>
      <c r="H205" s="4383"/>
      <c r="I205" s="4384">
        <v>54571</v>
      </c>
      <c r="J205" s="4383"/>
      <c r="K205" s="4384">
        <v>48131</v>
      </c>
      <c r="L205" s="4383"/>
      <c r="M205" s="4384">
        <v>19191</v>
      </c>
    </row>
    <row r="206" spans="2:16" ht="6.75" customHeight="1">
      <c r="E206" s="4376"/>
      <c r="F206" s="4383"/>
      <c r="G206" s="4383"/>
      <c r="H206" s="4383"/>
      <c r="I206" s="4383"/>
      <c r="J206" s="4383"/>
      <c r="K206" s="4383"/>
      <c r="L206" s="4383"/>
      <c r="M206" s="4383"/>
    </row>
    <row r="207" spans="2:16">
      <c r="B207" s="4309" t="s">
        <v>2003</v>
      </c>
      <c r="E207" s="4382"/>
      <c r="F207" s="4324"/>
      <c r="G207" s="4384"/>
      <c r="H207" s="4383"/>
      <c r="I207" s="4384"/>
      <c r="J207" s="4383"/>
      <c r="K207" s="4384"/>
      <c r="L207" s="4383"/>
      <c r="M207" s="4384"/>
    </row>
    <row r="208" spans="2:16" ht="5.25" customHeight="1">
      <c r="E208" s="4376"/>
      <c r="F208" s="4383"/>
      <c r="G208" s="4383"/>
      <c r="H208" s="4383"/>
      <c r="I208" s="4383"/>
      <c r="J208" s="4383"/>
      <c r="K208" s="4383"/>
      <c r="L208" s="4383"/>
      <c r="M208" s="4383"/>
    </row>
    <row r="209" spans="2:14">
      <c r="B209" s="4309" t="s">
        <v>2004</v>
      </c>
      <c r="E209" s="4382"/>
      <c r="F209" s="4383"/>
      <c r="G209" s="4384"/>
      <c r="H209" s="4383"/>
      <c r="I209" s="4384"/>
      <c r="J209" s="4383"/>
      <c r="K209" s="4384"/>
      <c r="L209" s="4383"/>
      <c r="M209" s="4384"/>
    </row>
    <row r="210" spans="2:14">
      <c r="B210" s="4309" t="s">
        <v>2005</v>
      </c>
      <c r="E210" s="4382"/>
      <c r="F210" s="4383"/>
      <c r="G210" s="4386"/>
      <c r="H210" s="4383"/>
      <c r="I210" s="4386"/>
      <c r="J210" s="4383"/>
      <c r="K210" s="4386"/>
      <c r="L210" s="4383"/>
      <c r="M210" s="4386"/>
    </row>
    <row r="211" spans="2:14">
      <c r="B211" s="4309" t="s">
        <v>2006</v>
      </c>
      <c r="E211" s="4328"/>
      <c r="F211" s="4324"/>
      <c r="G211" s="4325">
        <f>SUM(G199:G210)</f>
        <v>231227</v>
      </c>
      <c r="H211" s="4324"/>
      <c r="I211" s="4325">
        <f>SUM(I199:I210)</f>
        <v>190938</v>
      </c>
      <c r="J211" s="4324"/>
      <c r="K211" s="4325">
        <f>SUM(K199:K210)</f>
        <v>168407</v>
      </c>
      <c r="L211" s="4324"/>
      <c r="M211" s="4325">
        <f>SUM(M199:M210)</f>
        <v>67801</v>
      </c>
    </row>
    <row r="212" spans="2:14" ht="7.5" customHeight="1">
      <c r="E212" s="4328"/>
      <c r="F212" s="4324"/>
      <c r="G212" s="4324"/>
      <c r="H212" s="4324"/>
      <c r="I212" s="4324"/>
      <c r="J212" s="4324"/>
      <c r="K212" s="4324"/>
      <c r="L212" s="4324"/>
      <c r="M212" s="4324"/>
    </row>
    <row r="213" spans="2:14">
      <c r="B213" s="4309" t="str">
        <f>B32</f>
        <v>11. 2015 taxes receivable (taxes in process</v>
      </c>
      <c r="E213" s="4328"/>
      <c r="F213" s="4324"/>
      <c r="G213" s="4324"/>
      <c r="H213" s="4324"/>
      <c r="I213" s="4324"/>
      <c r="J213" s="4324"/>
      <c r="K213" s="4324"/>
      <c r="L213" s="4324"/>
      <c r="M213" s="4324"/>
    </row>
    <row r="214" spans="2:14">
      <c r="B214" s="4309" t="str">
        <f>B33</f>
        <v xml:space="preserve">     of collection 6/30/2016)(Line 2 less Line 10)</v>
      </c>
      <c r="E214" s="4328"/>
      <c r="F214" s="4324"/>
      <c r="G214" s="4325">
        <f>IF(G211&lt;=0,0,G197-G211)</f>
        <v>11817</v>
      </c>
      <c r="H214" s="4324"/>
      <c r="I214" s="4325">
        <f>IF(I211&lt;=0,0,I197-I211)</f>
        <v>9759</v>
      </c>
      <c r="J214" s="4324"/>
      <c r="K214" s="4325">
        <f>IF(K211&lt;=0,0,(K197-K211))</f>
        <v>8410</v>
      </c>
      <c r="L214" s="4324"/>
      <c r="M214" s="4325">
        <f>IF(M211&lt;=0,0,M197-M211)</f>
        <v>6382</v>
      </c>
    </row>
    <row r="215" spans="2:14" ht="6.75" customHeight="1">
      <c r="E215" s="4328"/>
      <c r="F215" s="4324"/>
      <c r="G215" s="4328"/>
      <c r="H215" s="4324"/>
      <c r="I215" s="4328"/>
      <c r="J215" s="4324"/>
      <c r="K215" s="4328"/>
      <c r="L215" s="4324"/>
      <c r="M215" s="4328"/>
    </row>
    <row r="216" spans="2:14">
      <c r="B216" s="4309" t="s">
        <v>2007</v>
      </c>
      <c r="E216" s="4328"/>
      <c r="F216" s="4324"/>
      <c r="G216" s="4324"/>
      <c r="H216" s="4324"/>
      <c r="I216" s="4324"/>
      <c r="J216" s="4324"/>
      <c r="K216" s="4324"/>
      <c r="L216" s="4324"/>
      <c r="M216" s="4324"/>
    </row>
    <row r="217" spans="2:14">
      <c r="B217" s="4309" t="s">
        <v>2008</v>
      </c>
      <c r="E217" s="4328"/>
      <c r="F217" s="4324"/>
      <c r="G217" s="4324"/>
      <c r="H217" s="4324"/>
      <c r="I217" s="4324"/>
      <c r="J217" s="4324"/>
      <c r="K217" s="4324"/>
      <c r="L217" s="4324"/>
      <c r="M217" s="4324"/>
    </row>
    <row r="218" spans="2:14">
      <c r="B218" s="4309" t="str">
        <f>B37</f>
        <v xml:space="preserve">     (7-1-2016 to 12-31-2017) (Line 3 x 75%)</v>
      </c>
      <c r="E218" s="4328"/>
      <c r="F218" s="4324"/>
      <c r="G218" s="4325">
        <f>SUM(G199*0.75)</f>
        <v>882</v>
      </c>
      <c r="H218" s="4324"/>
      <c r="I218" s="4325">
        <f>SUM(I199*0.75)</f>
        <v>728</v>
      </c>
      <c r="J218" s="4324"/>
      <c r="K218" s="4325">
        <f>SUM(K199*0.75)</f>
        <v>642</v>
      </c>
      <c r="L218" s="4324"/>
      <c r="M218" s="4325">
        <f>SUM(M199*0.75)</f>
        <v>269</v>
      </c>
    </row>
    <row r="219" spans="2:14" ht="15">
      <c r="B219" s="4357" t="str">
        <f>B39</f>
        <v>Tax Collection Ratio (Jan, Mar, June)</v>
      </c>
      <c r="C219" s="4326"/>
      <c r="D219" s="4326"/>
      <c r="E219" s="4358">
        <f>IF(E197&lt;&gt;0,(E201+E203+E205+E207+E209)/E197*100,0)</f>
        <v>0</v>
      </c>
      <c r="F219" s="4335" t="s">
        <v>1124</v>
      </c>
      <c r="G219" s="4358">
        <f>IF(G197&lt;&gt;0,(G201+G203+G205+G207+G209)/G197*100,0)</f>
        <v>94.653999999999996</v>
      </c>
      <c r="H219" s="4335" t="s">
        <v>1124</v>
      </c>
      <c r="I219" s="4358">
        <f>IF(I197&lt;&gt;0,(I201+I203+I205+I207+I209)/I197*100,0)</f>
        <v>94.653999999999996</v>
      </c>
      <c r="J219" s="4335" t="s">
        <v>1124</v>
      </c>
      <c r="K219" s="4358">
        <f>IF(K197&lt;&gt;0,(K201+K203+K205+K207+K209)/K197*100,0)</f>
        <v>94.76</v>
      </c>
      <c r="L219" s="4335" t="s">
        <v>1124</v>
      </c>
      <c r="M219" s="4358">
        <f>IF(M197&lt;&gt;0,(M201+M203+M205+M207+M209)/M197*100,0)</f>
        <v>90.912999999999997</v>
      </c>
      <c r="N219" s="4333" t="s">
        <v>1124</v>
      </c>
    </row>
    <row r="220" spans="2:14" ht="2.1" customHeight="1">
      <c r="B220" s="4336"/>
      <c r="C220" s="4333"/>
      <c r="D220" s="4333"/>
      <c r="E220" s="4333"/>
      <c r="F220" s="4333"/>
      <c r="G220" s="4333"/>
      <c r="H220" s="4333"/>
      <c r="I220" s="4333"/>
      <c r="J220" s="4333"/>
      <c r="K220" s="4333"/>
      <c r="L220" s="4333"/>
      <c r="M220" s="4333"/>
    </row>
    <row r="221" spans="2:14" ht="3.75" hidden="1" customHeight="1">
      <c r="B221" s="4353"/>
      <c r="C221" s="4353"/>
      <c r="D221" s="4353"/>
      <c r="E221" s="4353"/>
      <c r="F221" s="4353"/>
      <c r="G221" s="4353"/>
      <c r="H221" s="4353"/>
      <c r="I221" s="4353"/>
      <c r="J221" s="4353"/>
      <c r="K221" s="4353"/>
      <c r="L221" s="4353"/>
      <c r="M221" s="4353"/>
    </row>
    <row r="222" spans="2:14" ht="2.1" hidden="1" customHeight="1">
      <c r="B222" s="4353"/>
      <c r="C222" s="4353"/>
      <c r="D222" s="4353"/>
      <c r="E222" s="4353"/>
      <c r="F222" s="4353"/>
      <c r="G222" s="4353"/>
      <c r="H222" s="4353"/>
      <c r="I222" s="4353"/>
      <c r="J222" s="4353"/>
      <c r="K222" s="4353"/>
      <c r="L222" s="4353"/>
      <c r="M222" s="4353"/>
    </row>
    <row r="223" spans="2:14" ht="2.1" hidden="1" customHeight="1">
      <c r="B223" s="4353"/>
      <c r="C223" s="4353"/>
      <c r="D223" s="4353"/>
      <c r="E223" s="4353"/>
      <c r="F223" s="4353"/>
      <c r="G223" s="4353"/>
      <c r="H223" s="4353"/>
      <c r="I223" s="4353"/>
      <c r="J223" s="4353"/>
      <c r="K223" s="4353"/>
      <c r="L223" s="4353"/>
      <c r="M223" s="4353"/>
    </row>
    <row r="224" spans="2:14" ht="3.75" hidden="1" customHeight="1">
      <c r="B224" s="4353"/>
      <c r="C224" s="4353"/>
      <c r="D224" s="4353"/>
      <c r="E224" s="4353"/>
      <c r="F224" s="4353"/>
      <c r="G224" s="4353"/>
      <c r="H224" s="4353"/>
      <c r="I224" s="4353"/>
      <c r="J224" s="4353"/>
      <c r="K224" s="4353"/>
      <c r="L224" s="4353"/>
      <c r="M224" s="4353"/>
    </row>
    <row r="225" spans="2:14" ht="12" customHeight="1">
      <c r="B225" s="4351" t="str">
        <f>B97</f>
        <v>*Amounts are available from the County Treasurer.       **These Jan.-June, 2016 amounts are available from the County Treasurer.  (Should correspond to school</v>
      </c>
      <c r="C225" s="4353"/>
      <c r="D225" s="4353"/>
      <c r="E225" s="4353"/>
      <c r="F225" s="4353"/>
      <c r="G225" s="4353"/>
      <c r="H225" s="4353"/>
      <c r="I225" s="4353"/>
      <c r="J225" s="4353"/>
      <c r="K225" s="4353"/>
      <c r="L225" s="4353"/>
      <c r="M225" s="4353"/>
    </row>
    <row r="226" spans="2:14" ht="5.0999999999999996" hidden="1" customHeight="1">
      <c r="B226" s="4387"/>
      <c r="C226" s="4353"/>
      <c r="D226" s="4353"/>
      <c r="E226" s="4353"/>
      <c r="F226" s="4353"/>
      <c r="G226" s="4353"/>
      <c r="H226" s="4353"/>
      <c r="I226" s="4353"/>
      <c r="J226" s="4353"/>
      <c r="K226" s="4353"/>
      <c r="L226" s="4353"/>
      <c r="M226" s="4353"/>
    </row>
    <row r="227" spans="2:14" ht="14.1" customHeight="1">
      <c r="B227" s="4351" t="str">
        <f>B98</f>
        <v xml:space="preserve"> records and does not include MVPT.)   Include Watercraft Tax if USD received payment direct from county.</v>
      </c>
      <c r="C227" s="4353"/>
      <c r="D227" s="4353"/>
      <c r="E227" s="4353"/>
      <c r="F227" s="4353"/>
      <c r="G227" s="4353"/>
      <c r="H227" s="4353"/>
      <c r="I227" s="4353"/>
      <c r="J227" s="4353"/>
      <c r="K227" s="4353"/>
      <c r="L227" s="4353"/>
      <c r="M227" s="4353"/>
    </row>
    <row r="228" spans="2:14">
      <c r="B228" s="4309" t="s">
        <v>2057</v>
      </c>
    </row>
    <row r="229" spans="2:14" ht="15">
      <c r="B229" s="4309" t="s">
        <v>1987</v>
      </c>
      <c r="M229" s="4310" t="s">
        <v>2015</v>
      </c>
    </row>
    <row r="230" spans="2:14">
      <c r="B230" s="4311">
        <f>B2</f>
        <v>42522</v>
      </c>
      <c r="C230" s="4312"/>
      <c r="D230" s="4312"/>
      <c r="F230" s="4314"/>
      <c r="G230" s="4314" t="s">
        <v>1989</v>
      </c>
      <c r="H230" s="4314"/>
      <c r="I230" s="4316" t="str">
        <f>I183</f>
        <v>270 - Plainville</v>
      </c>
      <c r="J230" s="4316"/>
      <c r="K230" s="4354" t="s">
        <v>1990</v>
      </c>
      <c r="L230" s="4353"/>
      <c r="M230" s="4317">
        <f>M183</f>
        <v>270</v>
      </c>
    </row>
    <row r="231" spans="2:14">
      <c r="K231" s="4314" t="s">
        <v>1112</v>
      </c>
      <c r="M231" s="4316" t="str">
        <f>M184</f>
        <v>Rooks</v>
      </c>
    </row>
    <row r="232" spans="2:14" ht="6.75" customHeight="1">
      <c r="E232" s="4320"/>
      <c r="F232" s="4320"/>
      <c r="G232" s="4320"/>
      <c r="H232" s="4320"/>
      <c r="I232" s="4320"/>
      <c r="J232" s="4320"/>
      <c r="K232" s="4321"/>
      <c r="L232" s="4321"/>
      <c r="M232" s="4320"/>
    </row>
    <row r="233" spans="2:14">
      <c r="B233" s="4320" t="str">
        <f>B5</f>
        <v>2016-2017</v>
      </c>
      <c r="C233" s="4320"/>
      <c r="D233" s="4320"/>
      <c r="E233" s="4320"/>
      <c r="F233" s="4320"/>
      <c r="G233" s="4320"/>
      <c r="H233" s="4320"/>
      <c r="I233" s="4320"/>
      <c r="J233" s="4320"/>
      <c r="K233" s="4320"/>
      <c r="L233" s="4320"/>
      <c r="M233" s="4320"/>
    </row>
    <row r="234" spans="2:14">
      <c r="B234" s="4320" t="s">
        <v>1993</v>
      </c>
      <c r="C234" s="4320"/>
      <c r="D234" s="4320"/>
      <c r="E234" s="4320"/>
      <c r="F234" s="4320"/>
      <c r="G234" s="4320"/>
      <c r="H234" s="4320"/>
      <c r="I234" s="4320"/>
      <c r="J234" s="4320"/>
      <c r="K234" s="4320"/>
      <c r="L234" s="4320"/>
      <c r="M234" s="4320"/>
    </row>
    <row r="235" spans="2:14">
      <c r="B235" s="4320" t="s">
        <v>1994</v>
      </c>
      <c r="C235" s="4320"/>
      <c r="D235" s="4320"/>
      <c r="E235" s="4320"/>
      <c r="F235" s="4320"/>
      <c r="G235" s="4320"/>
      <c r="H235" s="4320"/>
      <c r="I235" s="4320"/>
      <c r="J235" s="4320"/>
      <c r="K235" s="4320"/>
      <c r="L235" s="4320"/>
      <c r="M235" s="4320"/>
    </row>
    <row r="236" spans="2:14" ht="15">
      <c r="B236" s="4322" t="s">
        <v>1995</v>
      </c>
      <c r="C236" s="4322"/>
      <c r="D236" s="4322"/>
      <c r="E236" s="4320"/>
      <c r="F236" s="4320"/>
      <c r="G236" s="4320"/>
      <c r="H236" s="4320"/>
      <c r="I236" s="4320"/>
      <c r="J236" s="4320"/>
      <c r="K236" s="4320"/>
      <c r="L236" s="4320"/>
      <c r="M236" s="4320"/>
    </row>
    <row r="237" spans="2:14" ht="6.75" customHeight="1">
      <c r="E237" s="4318"/>
      <c r="F237" s="4318"/>
      <c r="G237" s="4318"/>
      <c r="H237" s="4318"/>
      <c r="I237" s="4318"/>
      <c r="J237" s="4318"/>
      <c r="K237" s="4318"/>
      <c r="L237" s="4318"/>
      <c r="M237" s="4318"/>
    </row>
    <row r="238" spans="2:14" ht="15">
      <c r="E238" s="4318" t="s">
        <v>2016</v>
      </c>
      <c r="F238" s="4318"/>
      <c r="G238" s="4318" t="s">
        <v>2037</v>
      </c>
      <c r="H238" s="4318"/>
      <c r="I238" s="4318" t="s">
        <v>2058</v>
      </c>
      <c r="J238" s="4318"/>
      <c r="K238" s="4318" t="s">
        <v>2059</v>
      </c>
      <c r="M238" s="4287"/>
      <c r="N238" s="4287"/>
    </row>
    <row r="239" spans="2:14" ht="15">
      <c r="E239" s="4318" t="s">
        <v>2020</v>
      </c>
      <c r="F239" s="4318"/>
      <c r="G239" s="4318" t="s">
        <v>2021</v>
      </c>
      <c r="H239" s="4318"/>
      <c r="I239" s="4318" t="s">
        <v>2022</v>
      </c>
      <c r="J239" s="4318"/>
      <c r="K239" s="4318" t="str">
        <f>K60</f>
        <v>Interest #2</v>
      </c>
      <c r="M239" s="4287"/>
      <c r="N239" s="4287"/>
    </row>
    <row r="240" spans="2:14" ht="8.25" customHeight="1">
      <c r="M240" s="4287"/>
      <c r="N240" s="4287"/>
    </row>
    <row r="241" spans="2:14">
      <c r="B241" s="4309" t="str">
        <f>B14</f>
        <v>1.  County Treasurer Balance 6/30/2016 *</v>
      </c>
      <c r="E241" s="4384"/>
      <c r="F241" s="4383"/>
      <c r="G241" s="4384"/>
      <c r="H241" s="4383"/>
      <c r="I241" s="4384"/>
      <c r="J241" s="4383"/>
      <c r="K241" s="4384"/>
      <c r="M241" s="4287"/>
      <c r="N241" s="4287"/>
    </row>
    <row r="242" spans="2:14" ht="6" customHeight="1">
      <c r="B242" s="4326"/>
      <c r="C242" s="4326"/>
      <c r="D242" s="4326"/>
      <c r="E242" s="4385"/>
      <c r="F242" s="4385"/>
      <c r="G242" s="4385"/>
      <c r="H242" s="4385"/>
      <c r="I242" s="4385"/>
      <c r="J242" s="4385"/>
      <c r="K242" s="4385"/>
      <c r="M242" s="4287"/>
      <c r="N242" s="4287"/>
    </row>
    <row r="243" spans="2:14">
      <c r="B243" s="4309" t="str">
        <f>B16</f>
        <v>2.  2015 Actual Taxes Levied*</v>
      </c>
      <c r="E243" s="4384"/>
      <c r="F243" s="4383"/>
      <c r="G243" s="4384"/>
      <c r="H243" s="4383"/>
      <c r="I243" s="4384"/>
      <c r="J243" s="4383"/>
      <c r="K243" s="4384"/>
      <c r="M243" s="4287"/>
      <c r="N243" s="4287"/>
    </row>
    <row r="244" spans="2:14" ht="7.5" customHeight="1">
      <c r="E244" s="4383"/>
      <c r="F244" s="4383"/>
      <c r="G244" s="4383"/>
      <c r="H244" s="4383"/>
      <c r="I244" s="4383"/>
      <c r="J244" s="4383"/>
      <c r="K244" s="4383"/>
      <c r="M244" s="4287"/>
      <c r="N244" s="4287"/>
    </row>
    <row r="245" spans="2:14">
      <c r="B245" s="4309" t="s">
        <v>2023</v>
      </c>
      <c r="C245" s="4347">
        <f>C199</f>
        <v>0.48399999999999999</v>
      </c>
      <c r="D245" s="4356"/>
      <c r="E245" s="4325">
        <f>E243*$C$245/100</f>
        <v>0</v>
      </c>
      <c r="F245" s="4328"/>
      <c r="G245" s="4325">
        <f>G243*$C$245/100</f>
        <v>0</v>
      </c>
      <c r="H245" s="4328"/>
      <c r="I245" s="4325">
        <f>I243*$C$245/100</f>
        <v>0</v>
      </c>
      <c r="J245" s="4328"/>
      <c r="K245" s="4325">
        <f>K243*$C$245/100</f>
        <v>0</v>
      </c>
      <c r="L245" s="4328"/>
      <c r="M245" s="4287"/>
      <c r="N245" s="4287"/>
    </row>
    <row r="246" spans="2:14" ht="7.5" customHeight="1">
      <c r="E246" s="4383"/>
      <c r="F246" s="4383"/>
      <c r="G246" s="4383"/>
      <c r="H246" s="4383"/>
      <c r="I246" s="4383"/>
      <c r="J246" s="4383"/>
      <c r="K246" s="4383"/>
      <c r="M246" s="4287"/>
      <c r="N246" s="4287"/>
    </row>
    <row r="247" spans="2:14">
      <c r="B247" s="4309" t="str">
        <f>B20</f>
        <v>4.  Less:  Jan. 20, 2016 Taxes received**</v>
      </c>
      <c r="E247" s="4384"/>
      <c r="F247" s="4383"/>
      <c r="G247" s="4384"/>
      <c r="H247" s="4383"/>
      <c r="I247" s="4384"/>
      <c r="J247" s="4383"/>
      <c r="K247" s="4384"/>
      <c r="M247" s="4287"/>
      <c r="N247" s="4287"/>
    </row>
    <row r="248" spans="2:14" ht="7.5" customHeight="1">
      <c r="E248" s="4383"/>
      <c r="F248" s="4383"/>
      <c r="G248" s="4383"/>
      <c r="H248" s="4383"/>
      <c r="I248" s="4383"/>
      <c r="J248" s="4383"/>
      <c r="K248" s="4383"/>
      <c r="M248" s="4287"/>
      <c r="N248" s="4287"/>
    </row>
    <row r="249" spans="2:14">
      <c r="B249" s="4309" t="str">
        <f>B22</f>
        <v>5.  Less:  Mar. 20, 2016  Taxes received**</v>
      </c>
      <c r="E249" s="4384"/>
      <c r="F249" s="4383"/>
      <c r="G249" s="4384"/>
      <c r="H249" s="4383"/>
      <c r="I249" s="4384"/>
      <c r="J249" s="4383"/>
      <c r="K249" s="4384"/>
      <c r="M249" s="4287"/>
      <c r="N249" s="4287"/>
    </row>
    <row r="250" spans="2:14" ht="6.75" customHeight="1">
      <c r="E250" s="4376"/>
      <c r="F250" s="4383"/>
      <c r="G250" s="4376"/>
      <c r="H250" s="4383"/>
      <c r="I250" s="4376"/>
      <c r="J250" s="4383"/>
      <c r="K250" s="4376"/>
      <c r="M250" s="4287"/>
      <c r="N250" s="4287"/>
    </row>
    <row r="251" spans="2:14">
      <c r="B251" s="4309" t="str">
        <f>B24</f>
        <v>6.  Less:  June 5,  2016 Taxes received**</v>
      </c>
      <c r="E251" s="4384"/>
      <c r="F251" s="4383"/>
      <c r="G251" s="4384"/>
      <c r="H251" s="4383"/>
      <c r="I251" s="4384"/>
      <c r="J251" s="4383"/>
      <c r="K251" s="4384"/>
      <c r="M251" s="4287"/>
      <c r="N251" s="4287"/>
    </row>
    <row r="252" spans="2:14" ht="8.25" customHeight="1">
      <c r="E252" s="4376"/>
      <c r="F252" s="4383"/>
      <c r="G252" s="4376"/>
      <c r="H252" s="4383"/>
      <c r="I252" s="4376"/>
      <c r="J252" s="4383"/>
      <c r="K252" s="4376"/>
      <c r="M252" s="4287"/>
      <c r="N252" s="4287"/>
    </row>
    <row r="253" spans="2:14">
      <c r="B253" s="4309" t="s">
        <v>2003</v>
      </c>
      <c r="E253" s="4384"/>
      <c r="F253" s="4383"/>
      <c r="G253" s="4384"/>
      <c r="H253" s="4383"/>
      <c r="I253" s="4384"/>
      <c r="J253" s="4383"/>
      <c r="K253" s="4384"/>
      <c r="M253" s="4287"/>
      <c r="N253" s="4287"/>
    </row>
    <row r="254" spans="2:14" ht="6.75" customHeight="1">
      <c r="E254" s="4383"/>
      <c r="F254" s="4383"/>
      <c r="G254" s="4383"/>
      <c r="H254" s="4383"/>
      <c r="I254" s="4383"/>
      <c r="J254" s="4383"/>
      <c r="K254" s="4383"/>
      <c r="M254" s="4287"/>
      <c r="N254" s="4287"/>
    </row>
    <row r="255" spans="2:14">
      <c r="B255" s="4309" t="s">
        <v>2004</v>
      </c>
      <c r="E255" s="4384"/>
      <c r="F255" s="4383"/>
      <c r="G255" s="4384"/>
      <c r="H255" s="4383"/>
      <c r="I255" s="4384"/>
      <c r="J255" s="4383"/>
      <c r="K255" s="4384"/>
      <c r="M255" s="4287"/>
      <c r="N255" s="4287"/>
    </row>
    <row r="256" spans="2:14">
      <c r="B256" s="4309" t="s">
        <v>2005</v>
      </c>
      <c r="E256" s="4386"/>
      <c r="F256" s="4383"/>
      <c r="G256" s="4386"/>
      <c r="H256" s="4383"/>
      <c r="I256" s="4386"/>
      <c r="J256" s="4383"/>
      <c r="K256" s="4386"/>
      <c r="M256" s="4287"/>
      <c r="N256" s="4287"/>
    </row>
    <row r="257" spans="2:14">
      <c r="B257" s="4309" t="s">
        <v>2024</v>
      </c>
      <c r="E257" s="4325">
        <f>SUM(E245:E256)</f>
        <v>0</v>
      </c>
      <c r="F257" s="4328"/>
      <c r="G257" s="4325">
        <f>SUM(G245:G256)</f>
        <v>0</v>
      </c>
      <c r="H257" s="4328"/>
      <c r="I257" s="4325">
        <f>SUM(I245:I256)</f>
        <v>0</v>
      </c>
      <c r="J257" s="4328"/>
      <c r="K257" s="4325">
        <f>SUM(K245:K256)</f>
        <v>0</v>
      </c>
      <c r="L257" s="4356"/>
      <c r="M257" s="4287"/>
      <c r="N257" s="4287"/>
    </row>
    <row r="258" spans="2:14" ht="6" customHeight="1">
      <c r="E258" s="4324"/>
      <c r="F258" s="4324"/>
      <c r="G258" s="4324"/>
      <c r="H258" s="4324"/>
      <c r="I258" s="4324"/>
      <c r="J258" s="4324"/>
      <c r="K258" s="4324"/>
      <c r="L258" s="4356"/>
      <c r="M258" s="4287"/>
      <c r="N258" s="4287"/>
    </row>
    <row r="259" spans="2:14">
      <c r="B259" s="4309" t="str">
        <f>B32</f>
        <v>11. 2015 taxes receivable (taxes in process</v>
      </c>
      <c r="E259" s="4324"/>
      <c r="F259" s="4324"/>
      <c r="G259" s="4324"/>
      <c r="H259" s="4324"/>
      <c r="I259" s="4324"/>
      <c r="J259" s="4324"/>
      <c r="K259" s="4324"/>
      <c r="L259" s="4356"/>
      <c r="M259" s="4287"/>
      <c r="N259" s="4287"/>
    </row>
    <row r="260" spans="2:14">
      <c r="B260" s="4309" t="str">
        <f>B33</f>
        <v xml:space="preserve">     of collection 6/30/2016)(Line 2 less Line 10)</v>
      </c>
      <c r="E260" s="4325">
        <f>IF(E257&lt;=0,0,E243-E257)</f>
        <v>0</v>
      </c>
      <c r="F260" s="4328"/>
      <c r="G260" s="4325">
        <f>IF(G257&lt;=0,0,G243-G257)</f>
        <v>0</v>
      </c>
      <c r="H260" s="4328"/>
      <c r="I260" s="4325">
        <f>IF(I257&lt;=0,0,I243-I257)</f>
        <v>0</v>
      </c>
      <c r="J260" s="4328"/>
      <c r="K260" s="4325">
        <f>IF(K257&lt;=0,0,K243-K257)</f>
        <v>0</v>
      </c>
      <c r="L260" s="4328"/>
      <c r="M260" s="4287"/>
      <c r="N260" s="4287"/>
    </row>
    <row r="261" spans="2:14" ht="7.5" customHeight="1">
      <c r="E261" s="4324"/>
      <c r="F261" s="4324"/>
      <c r="G261" s="4324"/>
      <c r="H261" s="4324"/>
      <c r="I261" s="4324"/>
      <c r="J261" s="4324"/>
      <c r="K261" s="4324"/>
      <c r="L261" s="4356"/>
      <c r="M261" s="4287"/>
      <c r="N261" s="4287"/>
    </row>
    <row r="262" spans="2:14">
      <c r="B262" s="4309" t="s">
        <v>2025</v>
      </c>
      <c r="E262" s="4324"/>
      <c r="F262" s="4324"/>
      <c r="G262" s="4324"/>
      <c r="H262" s="4324"/>
      <c r="I262" s="4324"/>
      <c r="J262" s="4324"/>
      <c r="K262" s="4324"/>
      <c r="L262" s="4356"/>
      <c r="M262" s="4287"/>
      <c r="N262" s="4287"/>
    </row>
    <row r="263" spans="2:14">
      <c r="B263" s="4309" t="s">
        <v>2008</v>
      </c>
      <c r="E263" s="4324"/>
      <c r="F263" s="4324"/>
      <c r="G263" s="4324"/>
      <c r="H263" s="4324"/>
      <c r="I263" s="4324"/>
      <c r="J263" s="4324"/>
      <c r="K263" s="4324"/>
      <c r="L263" s="4356"/>
      <c r="M263" s="4287"/>
      <c r="N263" s="4287"/>
    </row>
    <row r="264" spans="2:14">
      <c r="B264" s="4309" t="str">
        <f>B37</f>
        <v xml:space="preserve">     (7-1-2016 to 12-31-2017) (Line 3 x 75%)</v>
      </c>
      <c r="E264" s="4325">
        <f>SUM(E245*0.75)</f>
        <v>0</v>
      </c>
      <c r="F264" s="4328"/>
      <c r="G264" s="4325">
        <f>SUM(G245*0.75)</f>
        <v>0</v>
      </c>
      <c r="H264" s="4328"/>
      <c r="I264" s="4325">
        <f>SUM(I245*0.75)</f>
        <v>0</v>
      </c>
      <c r="J264" s="4328"/>
      <c r="K264" s="4325">
        <f>SUM(K245*0.75)</f>
        <v>0</v>
      </c>
      <c r="L264" s="4356"/>
      <c r="M264" s="4287"/>
      <c r="N264" s="4287"/>
    </row>
    <row r="265" spans="2:14" ht="6" customHeight="1">
      <c r="E265" s="4356"/>
      <c r="F265" s="4356"/>
      <c r="G265" s="4356"/>
      <c r="H265" s="4356"/>
      <c r="I265" s="4356"/>
      <c r="J265" s="4356"/>
      <c r="K265" s="4356"/>
      <c r="L265" s="4356"/>
      <c r="M265" s="4287"/>
      <c r="N265" s="4287"/>
    </row>
    <row r="266" spans="2:14" ht="15">
      <c r="B266" s="4357" t="str">
        <f>B39</f>
        <v>Tax Collection Ratio (Jan, Mar, June)</v>
      </c>
      <c r="C266" s="4326"/>
      <c r="D266" s="4326"/>
      <c r="E266" s="4358">
        <f>IF(E243&lt;&gt;0,(E247+E249+E251+E253+E255)/E243*100,0)</f>
        <v>0</v>
      </c>
      <c r="F266" s="4335" t="s">
        <v>1124</v>
      </c>
      <c r="G266" s="4358">
        <f>IF(G243&lt;&gt;0,(G247+G249+G251+G253+G255)/G243*100,0)</f>
        <v>0</v>
      </c>
      <c r="H266" s="4335" t="s">
        <v>1124</v>
      </c>
      <c r="I266" s="4358">
        <f>IF(I243&lt;&gt;0,(I247+I249+I251+I253+I255)/I243*100,0)</f>
        <v>0</v>
      </c>
      <c r="J266" s="4335" t="s">
        <v>1124</v>
      </c>
      <c r="K266" s="4358">
        <f>IF(K243&lt;&gt;0,(K247+K249+K251+K253+K255)/K243*100,0)</f>
        <v>0</v>
      </c>
      <c r="L266" s="4335" t="s">
        <v>1124</v>
      </c>
      <c r="M266" s="4287"/>
      <c r="N266" s="4287"/>
    </row>
    <row r="267" spans="2:14" ht="12" customHeight="1">
      <c r="B267" s="4353"/>
      <c r="C267" s="4353"/>
      <c r="D267" s="4353"/>
      <c r="E267" s="4353"/>
      <c r="F267" s="4353"/>
      <c r="G267" s="4353"/>
      <c r="H267" s="4353"/>
      <c r="I267" s="4353"/>
      <c r="J267" s="4353"/>
      <c r="K267" s="4353"/>
      <c r="L267" s="4348"/>
      <c r="M267" s="4348"/>
    </row>
    <row r="268" spans="2:14" ht="0.75" hidden="1" customHeight="1">
      <c r="B268" s="4353"/>
      <c r="C268" s="4353"/>
      <c r="D268" s="4353"/>
      <c r="E268" s="4353"/>
      <c r="F268" s="4353"/>
      <c r="G268" s="4353"/>
      <c r="H268" s="4353"/>
      <c r="I268" s="4353"/>
      <c r="J268" s="4353"/>
      <c r="K268" s="4353"/>
    </row>
    <row r="269" spans="2:14" ht="5.0999999999999996" hidden="1" customHeight="1">
      <c r="B269" s="4353"/>
      <c r="C269" s="4353"/>
      <c r="D269" s="4353"/>
      <c r="E269" s="4353"/>
      <c r="F269" s="4353"/>
      <c r="G269" s="4353"/>
      <c r="H269" s="4353"/>
      <c r="I269" s="4353"/>
      <c r="J269" s="4353"/>
      <c r="K269" s="4353"/>
    </row>
    <row r="270" spans="2:14" ht="12.75" customHeight="1">
      <c r="B270" s="4351" t="str">
        <f>B97</f>
        <v>*Amounts are available from the County Treasurer.       **These Jan.-June, 2016 amounts are available from the County Treasurer.  (Should correspond to school</v>
      </c>
      <c r="C270" s="4353"/>
      <c r="D270" s="4353"/>
      <c r="E270" s="4353"/>
      <c r="F270" s="4353"/>
      <c r="G270" s="4353"/>
      <c r="H270" s="4353"/>
      <c r="I270" s="4353"/>
      <c r="J270" s="4353"/>
      <c r="K270" s="4353"/>
    </row>
    <row r="271" spans="2:14">
      <c r="B271" s="4351" t="str">
        <f>B98</f>
        <v xml:space="preserve"> records and does not include MVPT.)   Include Watercraft Tax if USD received payment direct from county.</v>
      </c>
    </row>
    <row r="272" spans="2:14" ht="15">
      <c r="B272" s="4309" t="s">
        <v>1987</v>
      </c>
      <c r="M272" s="4310" t="s">
        <v>2035</v>
      </c>
    </row>
    <row r="273" spans="2:13">
      <c r="B273" s="4311">
        <f>B2</f>
        <v>42522</v>
      </c>
      <c r="C273" s="4312"/>
      <c r="D273" s="4312"/>
      <c r="G273" s="4314" t="s">
        <v>1989</v>
      </c>
      <c r="H273" s="4314"/>
      <c r="I273" s="4316" t="str">
        <f>I183</f>
        <v>270 - Plainville</v>
      </c>
      <c r="J273" s="4316"/>
      <c r="K273" s="4316"/>
      <c r="L273" s="4314" t="s">
        <v>1990</v>
      </c>
      <c r="M273" s="4317">
        <f>M183</f>
        <v>270</v>
      </c>
    </row>
    <row r="274" spans="2:13">
      <c r="K274" s="4314" t="s">
        <v>1112</v>
      </c>
      <c r="M274" s="4316" t="str">
        <f>M184</f>
        <v>Rooks</v>
      </c>
    </row>
    <row r="275" spans="2:13" ht="7.5" customHeight="1">
      <c r="E275" s="4320"/>
      <c r="F275" s="4320"/>
      <c r="G275" s="4320"/>
      <c r="H275" s="4320"/>
      <c r="I275" s="4320"/>
      <c r="J275" s="4320"/>
      <c r="K275" s="4321"/>
      <c r="L275" s="4321"/>
      <c r="M275" s="4320"/>
    </row>
    <row r="276" spans="2:13">
      <c r="B276" s="4320" t="str">
        <f>B5</f>
        <v>2016-2017</v>
      </c>
      <c r="C276" s="4320"/>
      <c r="D276" s="4320"/>
      <c r="E276" s="4320"/>
      <c r="F276" s="4320"/>
      <c r="G276" s="4320"/>
      <c r="H276" s="4320"/>
      <c r="I276" s="4320"/>
      <c r="J276" s="4320"/>
      <c r="K276" s="4320"/>
      <c r="L276" s="4320"/>
      <c r="M276" s="4320"/>
    </row>
    <row r="277" spans="2:13">
      <c r="B277" s="4320" t="s">
        <v>1993</v>
      </c>
      <c r="C277" s="4320"/>
      <c r="D277" s="4320"/>
      <c r="E277" s="4320"/>
      <c r="F277" s="4320"/>
      <c r="G277" s="4320"/>
      <c r="H277" s="4320"/>
      <c r="I277" s="4320"/>
      <c r="J277" s="4320"/>
      <c r="K277" s="4320"/>
      <c r="L277" s="4320"/>
      <c r="M277" s="4320"/>
    </row>
    <row r="278" spans="2:13">
      <c r="B278" s="4320" t="s">
        <v>1994</v>
      </c>
      <c r="C278" s="4320"/>
      <c r="D278" s="4320"/>
      <c r="E278" s="4320"/>
      <c r="F278" s="4320"/>
      <c r="G278" s="4320"/>
      <c r="H278" s="4320"/>
      <c r="I278" s="4320"/>
      <c r="J278" s="4320"/>
      <c r="K278" s="4320"/>
      <c r="L278" s="4320"/>
      <c r="M278" s="4320"/>
    </row>
    <row r="279" spans="2:13" ht="15">
      <c r="B279" s="4322" t="s">
        <v>1995</v>
      </c>
      <c r="C279" s="4322"/>
      <c r="D279" s="4322"/>
      <c r="E279" s="4320"/>
      <c r="F279" s="4320"/>
      <c r="G279" s="4320"/>
      <c r="H279" s="4320"/>
      <c r="I279" s="4320"/>
      <c r="J279" s="4320"/>
      <c r="K279" s="4320"/>
      <c r="L279" s="4320"/>
      <c r="M279" s="4320"/>
    </row>
    <row r="280" spans="2:13" ht="9" customHeight="1">
      <c r="E280" s="4318"/>
      <c r="F280" s="4318"/>
      <c r="G280" s="4318"/>
      <c r="H280" s="4318"/>
      <c r="I280" s="4318"/>
      <c r="J280" s="4318"/>
      <c r="K280" s="4318"/>
      <c r="L280" s="4318"/>
      <c r="M280" s="4318"/>
    </row>
    <row r="281" spans="2:13" ht="15">
      <c r="E281" s="4318" t="s">
        <v>2036</v>
      </c>
      <c r="F281" s="4318"/>
      <c r="G281" s="4318" t="s">
        <v>2037</v>
      </c>
      <c r="H281" s="4318"/>
      <c r="I281" s="4318" t="s">
        <v>2038</v>
      </c>
      <c r="J281" s="4318"/>
      <c r="K281" s="4318" t="s">
        <v>2039</v>
      </c>
      <c r="L281" s="4318"/>
      <c r="M281" s="4318" t="s">
        <v>2040</v>
      </c>
    </row>
    <row r="282" spans="2:13" ht="15">
      <c r="E282" s="4318" t="s">
        <v>2041</v>
      </c>
      <c r="F282" s="4318"/>
      <c r="G282" s="4318" t="s">
        <v>2042</v>
      </c>
      <c r="H282" s="4318"/>
      <c r="I282" s="4318" t="s">
        <v>2043</v>
      </c>
      <c r="J282" s="4318"/>
      <c r="K282" s="4318" t="s">
        <v>2044</v>
      </c>
      <c r="L282" s="4318"/>
      <c r="M282" s="4318" t="s">
        <v>2045</v>
      </c>
    </row>
    <row r="283" spans="2:13" ht="7.5" customHeight="1"/>
    <row r="284" spans="2:13">
      <c r="B284" s="4309" t="str">
        <f>B14</f>
        <v>1.  County Treasurer Balance 6/30/2016 *</v>
      </c>
      <c r="E284" s="4384"/>
      <c r="F284" s="4383"/>
      <c r="G284" s="4384"/>
      <c r="H284" s="4383"/>
      <c r="I284" s="4384"/>
      <c r="J284" s="4383"/>
      <c r="K284" s="4384"/>
      <c r="M284" s="4384"/>
    </row>
    <row r="285" spans="2:13" ht="6.75" customHeight="1">
      <c r="B285" s="4326"/>
      <c r="C285" s="4326"/>
      <c r="D285" s="4326"/>
      <c r="E285" s="4385"/>
      <c r="F285" s="4385"/>
      <c r="G285" s="4385"/>
      <c r="H285" s="4385"/>
      <c r="I285" s="4385"/>
      <c r="J285" s="4385"/>
      <c r="K285" s="4385"/>
      <c r="M285" s="4385"/>
    </row>
    <row r="286" spans="2:13">
      <c r="B286" s="4309" t="str">
        <f>B16</f>
        <v>2.  2015 Actual Taxes Levied*</v>
      </c>
      <c r="E286" s="4384"/>
      <c r="F286" s="4383"/>
      <c r="G286" s="4384"/>
      <c r="H286" s="4383"/>
      <c r="I286" s="4384"/>
      <c r="J286" s="4383"/>
      <c r="K286" s="4384"/>
      <c r="M286" s="4384"/>
    </row>
    <row r="287" spans="2:13" ht="7.5" customHeight="1">
      <c r="E287" s="4383"/>
      <c r="F287" s="4383"/>
      <c r="G287" s="4383"/>
      <c r="H287" s="4383"/>
      <c r="I287" s="4383"/>
      <c r="J287" s="4383"/>
      <c r="K287" s="4383"/>
      <c r="M287" s="4383"/>
    </row>
    <row r="288" spans="2:13">
      <c r="B288" s="4309" t="s">
        <v>2023</v>
      </c>
      <c r="C288" s="4347">
        <f>C199</f>
        <v>0.48399999999999999</v>
      </c>
      <c r="D288" s="4356"/>
      <c r="E288" s="4325">
        <f>E286*$C$288/100</f>
        <v>0</v>
      </c>
      <c r="F288" s="4325"/>
      <c r="G288" s="4325">
        <f>G286*$C$288/100</f>
        <v>0</v>
      </c>
      <c r="H288" s="4325"/>
      <c r="I288" s="4325">
        <f>I286*$C$288/100</f>
        <v>0</v>
      </c>
      <c r="J288" s="4325"/>
      <c r="K288" s="4325">
        <f>K286*$C$288/100</f>
        <v>0</v>
      </c>
      <c r="L288" s="4325"/>
      <c r="M288" s="4325">
        <f>M286*$C$288/100</f>
        <v>0</v>
      </c>
    </row>
    <row r="289" spans="2:13" ht="7.5" customHeight="1">
      <c r="E289" s="4383"/>
      <c r="F289" s="4383"/>
      <c r="G289" s="4383"/>
      <c r="H289" s="4383"/>
      <c r="I289" s="4383"/>
      <c r="J289" s="4383"/>
      <c r="K289" s="4383"/>
      <c r="M289" s="4383"/>
    </row>
    <row r="290" spans="2:13">
      <c r="B290" s="4309" t="str">
        <f>B20</f>
        <v>4.  Less:  Jan. 20, 2016 Taxes received**</v>
      </c>
      <c r="E290" s="4384"/>
      <c r="F290" s="4383"/>
      <c r="G290" s="4384"/>
      <c r="H290" s="4383"/>
      <c r="I290" s="4384"/>
      <c r="J290" s="4383"/>
      <c r="K290" s="4384"/>
      <c r="M290" s="4384"/>
    </row>
    <row r="291" spans="2:13" ht="7.5" customHeight="1">
      <c r="E291" s="4383"/>
      <c r="F291" s="4383"/>
      <c r="G291" s="4383"/>
      <c r="H291" s="4383"/>
      <c r="I291" s="4383"/>
      <c r="J291" s="4383"/>
      <c r="K291" s="4383"/>
      <c r="M291" s="4383"/>
    </row>
    <row r="292" spans="2:13">
      <c r="B292" s="4309" t="str">
        <f>B22</f>
        <v>5.  Less:  Mar. 20, 2016  Taxes received**</v>
      </c>
      <c r="E292" s="4384"/>
      <c r="F292" s="4383"/>
      <c r="G292" s="4384"/>
      <c r="H292" s="4383"/>
      <c r="I292" s="4384"/>
      <c r="J292" s="4383"/>
      <c r="K292" s="4384"/>
      <c r="M292" s="4384"/>
    </row>
    <row r="293" spans="2:13" ht="7.5" customHeight="1">
      <c r="E293" s="4376"/>
      <c r="F293" s="4383"/>
      <c r="G293" s="4376"/>
      <c r="H293" s="4383"/>
      <c r="I293" s="4376"/>
      <c r="J293" s="4383"/>
      <c r="K293" s="4376"/>
      <c r="M293" s="4376"/>
    </row>
    <row r="294" spans="2:13">
      <c r="B294" s="4309" t="str">
        <f>B24</f>
        <v>6.  Less:  June 5,  2016 Taxes received**</v>
      </c>
      <c r="E294" s="4384"/>
      <c r="F294" s="4383"/>
      <c r="G294" s="4384"/>
      <c r="H294" s="4383"/>
      <c r="I294" s="4384"/>
      <c r="J294" s="4383"/>
      <c r="K294" s="4384"/>
      <c r="M294" s="4384"/>
    </row>
    <row r="295" spans="2:13" ht="7.5" customHeight="1">
      <c r="E295" s="4376"/>
      <c r="F295" s="4383"/>
      <c r="G295" s="4376"/>
      <c r="H295" s="4383"/>
      <c r="I295" s="4376"/>
      <c r="J295" s="4383"/>
      <c r="K295" s="4376"/>
      <c r="M295" s="4376"/>
    </row>
    <row r="296" spans="2:13">
      <c r="B296" s="4309" t="s">
        <v>2003</v>
      </c>
      <c r="E296" s="4384"/>
      <c r="F296" s="4383"/>
      <c r="G296" s="4384"/>
      <c r="H296" s="4383"/>
      <c r="I296" s="4384"/>
      <c r="J296" s="4383"/>
      <c r="K296" s="4384"/>
      <c r="M296" s="4384"/>
    </row>
    <row r="297" spans="2:13" ht="7.5" customHeight="1">
      <c r="E297" s="4383"/>
      <c r="F297" s="4383"/>
      <c r="G297" s="4383"/>
      <c r="H297" s="4383"/>
      <c r="I297" s="4383"/>
      <c r="J297" s="4383"/>
      <c r="K297" s="4383"/>
      <c r="M297" s="4383"/>
    </row>
    <row r="298" spans="2:13">
      <c r="B298" s="4309" t="s">
        <v>2004</v>
      </c>
      <c r="E298" s="4384"/>
      <c r="F298" s="4383"/>
      <c r="G298" s="4384"/>
      <c r="H298" s="4383"/>
      <c r="I298" s="4384"/>
      <c r="J298" s="4383"/>
      <c r="K298" s="4384"/>
      <c r="M298" s="4384"/>
    </row>
    <row r="299" spans="2:13">
      <c r="B299" s="4309" t="s">
        <v>2005</v>
      </c>
      <c r="E299" s="4386"/>
      <c r="F299" s="4383"/>
      <c r="G299" s="4386"/>
      <c r="H299" s="4383"/>
      <c r="I299" s="4386"/>
      <c r="J299" s="4383"/>
      <c r="K299" s="4386"/>
      <c r="M299" s="4386"/>
    </row>
    <row r="300" spans="2:13">
      <c r="B300" s="4309" t="s">
        <v>2024</v>
      </c>
      <c r="E300" s="4325">
        <f>SUM(E288:E299)</f>
        <v>0</v>
      </c>
      <c r="F300" s="4328"/>
      <c r="G300" s="4325">
        <f>SUM(G288:G299)</f>
        <v>0</v>
      </c>
      <c r="H300" s="4328"/>
      <c r="I300" s="4325">
        <f>SUM(I288:I299)</f>
        <v>0</v>
      </c>
      <c r="J300" s="4328"/>
      <c r="K300" s="4325">
        <f>SUM(K288:K299)</f>
        <v>0</v>
      </c>
      <c r="L300" s="4356"/>
      <c r="M300" s="4325">
        <f>SUM(M288:M299)</f>
        <v>0</v>
      </c>
    </row>
    <row r="301" spans="2:13" ht="7.5" customHeight="1">
      <c r="E301" s="4324"/>
      <c r="F301" s="4324"/>
      <c r="G301" s="4324"/>
      <c r="H301" s="4324"/>
      <c r="I301" s="4324"/>
      <c r="J301" s="4324"/>
      <c r="K301" s="4324"/>
      <c r="L301" s="4356"/>
      <c r="M301" s="4324"/>
    </row>
    <row r="302" spans="2:13">
      <c r="B302" s="4309" t="str">
        <f>B32</f>
        <v>11. 2015 taxes receivable (taxes in process</v>
      </c>
      <c r="E302" s="4324"/>
      <c r="F302" s="4324"/>
      <c r="G302" s="4324"/>
      <c r="H302" s="4324"/>
      <c r="I302" s="4324"/>
      <c r="J302" s="4324"/>
      <c r="K302" s="4324"/>
      <c r="L302" s="4356"/>
      <c r="M302" s="4324"/>
    </row>
    <row r="303" spans="2:13">
      <c r="B303" s="4309" t="str">
        <f>B33</f>
        <v xml:space="preserve">     of collection 6/30/2016)(Line 2 less Line 10)</v>
      </c>
      <c r="E303" s="4325">
        <f>IF(E300&lt;=0,0,E286-E300)</f>
        <v>0</v>
      </c>
      <c r="F303" s="4328"/>
      <c r="G303" s="4325">
        <f>IF(G300&lt;=0,0,G286-G300)</f>
        <v>0</v>
      </c>
      <c r="H303" s="4328"/>
      <c r="I303" s="4325">
        <f>IF(I300&lt;=0,0,I286-I300)</f>
        <v>0</v>
      </c>
      <c r="J303" s="4328"/>
      <c r="K303" s="4325">
        <f>IF(K300&lt;=0,0,K286-K300)</f>
        <v>0</v>
      </c>
      <c r="L303" s="4328"/>
      <c r="M303" s="4325">
        <f>IF(M300&lt;=0,0,M286-M300)</f>
        <v>0</v>
      </c>
    </row>
    <row r="304" spans="2:13" ht="7.5" customHeight="1">
      <c r="E304" s="4324"/>
      <c r="F304" s="4324"/>
      <c r="G304" s="4324"/>
      <c r="H304" s="4324"/>
      <c r="I304" s="4324"/>
      <c r="J304" s="4324"/>
      <c r="K304" s="4324"/>
      <c r="L304" s="4356"/>
      <c r="M304" s="4324"/>
    </row>
    <row r="305" spans="2:14">
      <c r="B305" s="4309" t="s">
        <v>2025</v>
      </c>
      <c r="E305" s="4324"/>
      <c r="F305" s="4324"/>
      <c r="G305" s="4324"/>
      <c r="H305" s="4324"/>
      <c r="I305" s="4324"/>
      <c r="J305" s="4324"/>
      <c r="K305" s="4324"/>
      <c r="L305" s="4356"/>
      <c r="M305" s="4324"/>
    </row>
    <row r="306" spans="2:14">
      <c r="B306" s="4309" t="s">
        <v>2008</v>
      </c>
      <c r="E306" s="4324"/>
      <c r="F306" s="4324"/>
      <c r="G306" s="4324"/>
      <c r="H306" s="4324"/>
      <c r="I306" s="4324"/>
      <c r="J306" s="4324"/>
      <c r="K306" s="4324"/>
      <c r="L306" s="4356"/>
      <c r="M306" s="4324"/>
    </row>
    <row r="307" spans="2:14">
      <c r="B307" s="4309" t="str">
        <f>B37</f>
        <v xml:space="preserve">     (7-1-2016 to 12-31-2017) (Line 3 x 75%)</v>
      </c>
      <c r="E307" s="4325">
        <f>SUM(E288*0.75)</f>
        <v>0</v>
      </c>
      <c r="F307" s="4328"/>
      <c r="G307" s="4325">
        <f>SUM(G288*0.75)</f>
        <v>0</v>
      </c>
      <c r="H307" s="4328"/>
      <c r="I307" s="4325">
        <f>SUM(I288*0.75)</f>
        <v>0</v>
      </c>
      <c r="J307" s="4328"/>
      <c r="K307" s="4325">
        <f>SUM(K288*0.75)</f>
        <v>0</v>
      </c>
      <c r="L307" s="4356"/>
      <c r="M307" s="4325">
        <f>SUM(M288*0.75)</f>
        <v>0</v>
      </c>
    </row>
    <row r="308" spans="2:14" ht="6.75" customHeight="1">
      <c r="E308" s="4356"/>
      <c r="F308" s="4356"/>
      <c r="G308" s="4356"/>
      <c r="H308" s="4356"/>
      <c r="I308" s="4356"/>
      <c r="J308" s="4356"/>
      <c r="K308" s="4356"/>
      <c r="L308" s="4356"/>
      <c r="M308" s="4356"/>
    </row>
    <row r="309" spans="2:14" ht="15">
      <c r="B309" s="4350" t="str">
        <f>B39</f>
        <v>Tax Collection Ratio (Jan, Mar, June)</v>
      </c>
      <c r="E309" s="4379">
        <f>IF(E286&lt;&gt;0,(E290+E292+E294+E296+E298)/E286*100,0)</f>
        <v>0</v>
      </c>
      <c r="F309" s="4335" t="s">
        <v>1124</v>
      </c>
      <c r="G309" s="4379">
        <f>IF(G286&lt;&gt;0,(G290+G292+G294+G296+G298)/G286*100,0)</f>
        <v>0</v>
      </c>
      <c r="H309" s="4335" t="s">
        <v>1124</v>
      </c>
      <c r="I309" s="4379">
        <f>IF(I286&lt;&gt;0,(I290+I292+I294+I296+I298)/I286*100,0)</f>
        <v>0</v>
      </c>
      <c r="J309" s="4335" t="s">
        <v>1124</v>
      </c>
      <c r="K309" s="4379">
        <f>IF(K286&lt;&gt;0,(K290+K292+K294+K296+K298)/K286*100,0)</f>
        <v>0</v>
      </c>
      <c r="L309" s="4335" t="s">
        <v>1124</v>
      </c>
      <c r="M309" s="4379">
        <f>IF(M286&lt;&gt;0,(M290+M292+M294+M296+M298)/M286*100,0)</f>
        <v>0</v>
      </c>
      <c r="N309" s="4333" t="s">
        <v>1124</v>
      </c>
    </row>
    <row r="311" spans="2:14">
      <c r="B311" s="4351" t="str">
        <f>B97</f>
        <v>*Amounts are available from the County Treasurer.       **These Jan.-June, 2016 amounts are available from the County Treasurer.  (Should correspond to school</v>
      </c>
    </row>
    <row r="312" spans="2:14">
      <c r="B312" s="4351" t="str">
        <f>B98</f>
        <v xml:space="preserve"> records and does not include MVPT.)   Include Watercraft Tax if USD received payment direct from county.</v>
      </c>
    </row>
    <row r="313" spans="2:14" ht="15">
      <c r="B313" s="4309" t="s">
        <v>1987</v>
      </c>
      <c r="M313" s="4310" t="s">
        <v>2046</v>
      </c>
    </row>
    <row r="314" spans="2:14">
      <c r="B314" s="4311">
        <f>B2</f>
        <v>42522</v>
      </c>
      <c r="C314" s="4312"/>
      <c r="D314" s="4312"/>
      <c r="G314" s="4314" t="s">
        <v>1989</v>
      </c>
      <c r="H314" s="4314"/>
      <c r="I314" s="4316" t="str">
        <f>I183</f>
        <v>270 - Plainville</v>
      </c>
      <c r="J314" s="4316"/>
      <c r="K314" s="4316"/>
      <c r="L314" s="4314" t="s">
        <v>1990</v>
      </c>
      <c r="M314" s="4317">
        <f>M183</f>
        <v>270</v>
      </c>
    </row>
    <row r="315" spans="2:14">
      <c r="K315" s="4314" t="s">
        <v>1112</v>
      </c>
      <c r="M315" s="4316" t="str">
        <f>M184</f>
        <v>Rooks</v>
      </c>
    </row>
    <row r="316" spans="2:14" ht="6" customHeight="1">
      <c r="E316" s="4320"/>
      <c r="F316" s="4320"/>
      <c r="G316" s="4320"/>
      <c r="H316" s="4320"/>
      <c r="I316" s="4320"/>
      <c r="J316" s="4320"/>
      <c r="K316" s="4321"/>
      <c r="L316" s="4321"/>
      <c r="M316" s="4320"/>
    </row>
    <row r="317" spans="2:14">
      <c r="B317" s="4320" t="str">
        <f>B5</f>
        <v>2016-2017</v>
      </c>
      <c r="C317" s="4320"/>
      <c r="D317" s="4320"/>
      <c r="E317" s="4320"/>
      <c r="F317" s="4320"/>
      <c r="G317" s="4320"/>
      <c r="H317" s="4320"/>
      <c r="I317" s="4320"/>
      <c r="J317" s="4320"/>
      <c r="K317" s="4320"/>
      <c r="L317" s="4320"/>
      <c r="M317" s="4320"/>
    </row>
    <row r="318" spans="2:14">
      <c r="B318" s="4320" t="s">
        <v>1993</v>
      </c>
      <c r="C318" s="4320"/>
      <c r="D318" s="4320"/>
      <c r="E318" s="4320"/>
      <c r="F318" s="4320"/>
      <c r="G318" s="4320"/>
      <c r="H318" s="4320"/>
      <c r="I318" s="4320"/>
      <c r="J318" s="4320"/>
      <c r="K318" s="4320"/>
      <c r="L318" s="4320"/>
      <c r="M318" s="4320"/>
    </row>
    <row r="319" spans="2:14">
      <c r="B319" s="4320" t="s">
        <v>1994</v>
      </c>
      <c r="C319" s="4320"/>
      <c r="D319" s="4320"/>
      <c r="E319" s="4320"/>
      <c r="F319" s="4320"/>
      <c r="G319" s="4320"/>
      <c r="H319" s="4320"/>
      <c r="I319" s="4320"/>
      <c r="J319" s="4320"/>
      <c r="K319" s="4320"/>
      <c r="L319" s="4320"/>
      <c r="M319" s="4320"/>
    </row>
    <row r="320" spans="2:14" ht="15">
      <c r="B320" s="4322" t="s">
        <v>1995</v>
      </c>
      <c r="C320" s="4322"/>
      <c r="D320" s="4322"/>
      <c r="E320" s="4320"/>
      <c r="F320" s="4320"/>
      <c r="G320" s="4320"/>
      <c r="H320" s="4320"/>
      <c r="I320" s="4320"/>
      <c r="J320" s="4320"/>
      <c r="K320" s="4320"/>
      <c r="L320" s="4320"/>
      <c r="M320" s="4320"/>
    </row>
    <row r="321" spans="2:13" ht="7.5" customHeight="1">
      <c r="E321" s="4318"/>
      <c r="F321" s="4318"/>
      <c r="G321" s="4318"/>
      <c r="H321" s="4318"/>
      <c r="I321" s="4318"/>
      <c r="J321" s="4318"/>
      <c r="K321" s="4318"/>
      <c r="L321" s="4318"/>
      <c r="M321" s="4318"/>
    </row>
    <row r="322" spans="2:13" ht="15">
      <c r="E322" s="4380"/>
      <c r="F322" s="4318"/>
      <c r="G322" s="4318" t="str">
        <f>G149</f>
        <v>Rec. Comm</v>
      </c>
      <c r="H322" s="4318"/>
      <c r="I322" s="4318" t="s">
        <v>2047</v>
      </c>
      <c r="J322" s="4318"/>
      <c r="K322" s="4350" t="s">
        <v>2048</v>
      </c>
      <c r="L322" s="4318"/>
      <c r="M322" s="4356"/>
    </row>
    <row r="323" spans="2:13" ht="15">
      <c r="E323" s="4380" t="s">
        <v>2049</v>
      </c>
      <c r="F323" s="4318"/>
      <c r="G323" s="4318" t="str">
        <f>G150</f>
        <v>Emp Benef</v>
      </c>
      <c r="H323" s="4318"/>
      <c r="I323" s="4318" t="s">
        <v>2050</v>
      </c>
      <c r="J323" s="4318"/>
      <c r="K323" s="4318" t="s">
        <v>2051</v>
      </c>
      <c r="L323" s="4318"/>
      <c r="M323" s="4380" t="s">
        <v>2052</v>
      </c>
    </row>
    <row r="324" spans="2:13" ht="15">
      <c r="E324" s="4380" t="s">
        <v>2053</v>
      </c>
      <c r="G324" s="4318" t="str">
        <f>G151</f>
        <v>&amp; Spec Liab</v>
      </c>
      <c r="I324" s="4318" t="s">
        <v>2054</v>
      </c>
      <c r="K324" s="4318" t="s">
        <v>2055</v>
      </c>
      <c r="M324" s="4380" t="s">
        <v>2056</v>
      </c>
    </row>
    <row r="325" spans="2:13" ht="8.25" customHeight="1">
      <c r="G325" s="4350"/>
    </row>
    <row r="326" spans="2:13">
      <c r="B326" s="4309" t="str">
        <f>B14</f>
        <v>1.  County Treasurer Balance 6/30/2016 *</v>
      </c>
      <c r="E326" s="4388"/>
      <c r="F326" s="4383"/>
      <c r="G326" s="4384"/>
      <c r="H326" s="4383"/>
      <c r="I326" s="4384"/>
      <c r="J326" s="4383"/>
      <c r="K326" s="4384"/>
      <c r="M326" s="4388"/>
    </row>
    <row r="327" spans="2:13" ht="6" customHeight="1">
      <c r="B327" s="4326"/>
      <c r="C327" s="4326"/>
      <c r="D327" s="4326"/>
      <c r="E327" s="4385"/>
      <c r="F327" s="4385"/>
      <c r="G327" s="4385"/>
      <c r="H327" s="4385"/>
      <c r="I327" s="4385"/>
      <c r="J327" s="4385"/>
      <c r="K327" s="4385"/>
      <c r="M327" s="4385"/>
    </row>
    <row r="328" spans="2:13">
      <c r="B328" s="4309" t="str">
        <f>B16</f>
        <v>2.  2015 Actual Taxes Levied*</v>
      </c>
      <c r="E328" s="4388"/>
      <c r="F328" s="4383"/>
      <c r="G328" s="4384"/>
      <c r="H328" s="4383"/>
      <c r="I328" s="4384"/>
      <c r="J328" s="4383"/>
      <c r="K328" s="4384"/>
      <c r="M328" s="4388"/>
    </row>
    <row r="329" spans="2:13" ht="8.25" customHeight="1">
      <c r="E329" s="4383"/>
      <c r="F329" s="4383"/>
      <c r="G329" s="4383"/>
      <c r="H329" s="4383"/>
      <c r="I329" s="4383"/>
      <c r="J329" s="4383"/>
      <c r="K329" s="4383"/>
      <c r="M329" s="4383"/>
    </row>
    <row r="330" spans="2:13">
      <c r="B330" s="4309" t="s">
        <v>2023</v>
      </c>
      <c r="C330" s="4347">
        <f>C199</f>
        <v>0.48399999999999999</v>
      </c>
      <c r="D330" s="4356"/>
      <c r="E330" s="4381">
        <f>E328*$C$330/100</f>
        <v>0</v>
      </c>
      <c r="F330" s="4328"/>
      <c r="G330" s="4325">
        <f>G328*$C$330/100</f>
        <v>0</v>
      </c>
      <c r="H330" s="4328"/>
      <c r="I330" s="4325">
        <f>I328*$C$330/100</f>
        <v>0</v>
      </c>
      <c r="J330" s="4328"/>
      <c r="K330" s="4325">
        <f>K328*$C$330/100</f>
        <v>0</v>
      </c>
      <c r="L330" s="4328"/>
      <c r="M330" s="4325">
        <f>M328*$C$330/100</f>
        <v>0</v>
      </c>
    </row>
    <row r="331" spans="2:13" ht="7.5" customHeight="1">
      <c r="E331" s="4383"/>
      <c r="F331" s="4383"/>
      <c r="G331" s="4383"/>
      <c r="H331" s="4383"/>
      <c r="I331" s="4383"/>
      <c r="J331" s="4383"/>
      <c r="K331" s="4383"/>
      <c r="M331" s="4383"/>
    </row>
    <row r="332" spans="2:13">
      <c r="B332" s="4309" t="str">
        <f>B20</f>
        <v>4.  Less:  Jan. 20, 2016 Taxes received**</v>
      </c>
      <c r="E332" s="4388"/>
      <c r="F332" s="4383"/>
      <c r="G332" s="4384"/>
      <c r="H332" s="4383"/>
      <c r="I332" s="4384"/>
      <c r="J332" s="4383"/>
      <c r="K332" s="4384"/>
      <c r="M332" s="4388"/>
    </row>
    <row r="333" spans="2:13" ht="7.5" customHeight="1">
      <c r="E333" s="4383"/>
      <c r="F333" s="4383"/>
      <c r="G333" s="4383"/>
      <c r="H333" s="4383"/>
      <c r="I333" s="4383"/>
      <c r="J333" s="4383"/>
      <c r="K333" s="4383"/>
      <c r="M333" s="4383"/>
    </row>
    <row r="334" spans="2:13">
      <c r="B334" s="4309" t="str">
        <f>B22</f>
        <v>5.  Less:  Mar. 20, 2016  Taxes received**</v>
      </c>
      <c r="E334" s="4388"/>
      <c r="F334" s="4383"/>
      <c r="G334" s="4384"/>
      <c r="H334" s="4383"/>
      <c r="I334" s="4384"/>
      <c r="J334" s="4383"/>
      <c r="K334" s="4384"/>
      <c r="M334" s="4388"/>
    </row>
    <row r="335" spans="2:13" ht="8.25" customHeight="1">
      <c r="E335" s="4376"/>
      <c r="F335" s="4383"/>
      <c r="G335" s="4376"/>
      <c r="H335" s="4383"/>
      <c r="I335" s="4376"/>
      <c r="J335" s="4383"/>
      <c r="K335" s="4376"/>
      <c r="M335" s="4376"/>
    </row>
    <row r="336" spans="2:13">
      <c r="B336" s="4309" t="str">
        <f>B24</f>
        <v>6.  Less:  June 5,  2016 Taxes received**</v>
      </c>
      <c r="E336" s="4388"/>
      <c r="F336" s="4383"/>
      <c r="G336" s="4384"/>
      <c r="H336" s="4383"/>
      <c r="I336" s="4384"/>
      <c r="J336" s="4383"/>
      <c r="K336" s="4384"/>
      <c r="M336" s="4388"/>
    </row>
    <row r="337" spans="2:14" ht="8.25" customHeight="1">
      <c r="E337" s="4376"/>
      <c r="F337" s="4383"/>
      <c r="G337" s="4376"/>
      <c r="H337" s="4383"/>
      <c r="I337" s="4376"/>
      <c r="J337" s="4383"/>
      <c r="K337" s="4376"/>
      <c r="M337" s="4376"/>
    </row>
    <row r="338" spans="2:14">
      <c r="B338" s="4309" t="s">
        <v>2003</v>
      </c>
      <c r="E338" s="4388"/>
      <c r="F338" s="4383"/>
      <c r="G338" s="4384"/>
      <c r="H338" s="4383"/>
      <c r="I338" s="4384"/>
      <c r="J338" s="4383"/>
      <c r="K338" s="4384"/>
      <c r="M338" s="4388"/>
    </row>
    <row r="339" spans="2:14" ht="6.75" customHeight="1">
      <c r="E339" s="4383"/>
      <c r="F339" s="4383"/>
      <c r="G339" s="4383"/>
      <c r="H339" s="4383"/>
      <c r="I339" s="4383"/>
      <c r="J339" s="4383"/>
      <c r="K339" s="4383"/>
      <c r="M339" s="4383"/>
    </row>
    <row r="340" spans="2:14">
      <c r="B340" s="4309" t="s">
        <v>2004</v>
      </c>
      <c r="E340" s="4388"/>
      <c r="F340" s="4383"/>
      <c r="G340" s="4384"/>
      <c r="H340" s="4324"/>
      <c r="I340" s="4384"/>
      <c r="J340" s="4383"/>
      <c r="K340" s="4384"/>
      <c r="M340" s="4388"/>
    </row>
    <row r="341" spans="2:14">
      <c r="B341" s="4309" t="s">
        <v>2005</v>
      </c>
      <c r="E341" s="4389"/>
      <c r="F341" s="4383"/>
      <c r="G341" s="4386"/>
      <c r="H341" s="4383"/>
      <c r="I341" s="4386"/>
      <c r="J341" s="4383"/>
      <c r="K341" s="4386"/>
      <c r="M341" s="4389"/>
    </row>
    <row r="342" spans="2:14">
      <c r="B342" s="4309" t="s">
        <v>2024</v>
      </c>
      <c r="E342" s="4381">
        <f>SUM(E330:E341)</f>
        <v>0</v>
      </c>
      <c r="F342" s="4328"/>
      <c r="G342" s="4325">
        <f>SUM(G330:G341)</f>
        <v>0</v>
      </c>
      <c r="H342" s="4328"/>
      <c r="I342" s="4325">
        <f>SUM(I330:I341)</f>
        <v>0</v>
      </c>
      <c r="J342" s="4328"/>
      <c r="K342" s="4325">
        <f>SUM(K330:K341)</f>
        <v>0</v>
      </c>
      <c r="L342" s="4356"/>
      <c r="M342" s="4325">
        <f>SUM(M330:M341)</f>
        <v>0</v>
      </c>
    </row>
    <row r="343" spans="2:14" ht="6.75" customHeight="1">
      <c r="E343" s="4324"/>
      <c r="F343" s="4324"/>
      <c r="G343" s="4324"/>
      <c r="H343" s="4324"/>
      <c r="I343" s="4324"/>
      <c r="J343" s="4324"/>
      <c r="K343" s="4324"/>
      <c r="L343" s="4356"/>
      <c r="M343" s="4324"/>
    </row>
    <row r="344" spans="2:14">
      <c r="B344" s="4309" t="str">
        <f>B32</f>
        <v>11. 2015 taxes receivable (taxes in process</v>
      </c>
      <c r="E344" s="4324"/>
      <c r="F344" s="4324"/>
      <c r="G344" s="4324"/>
      <c r="H344" s="4324"/>
      <c r="I344" s="4324"/>
      <c r="J344" s="4324"/>
      <c r="K344" s="4324"/>
      <c r="L344" s="4356"/>
      <c r="M344" s="4324"/>
    </row>
    <row r="345" spans="2:14">
      <c r="B345" s="4309" t="str">
        <f>B33</f>
        <v xml:space="preserve">     of collection 6/30/2016)(Line 2 less Line 10)</v>
      </c>
      <c r="E345" s="4381">
        <f>IF(E342&lt;=0,0,E328-E342)</f>
        <v>0</v>
      </c>
      <c r="F345" s="4328"/>
      <c r="G345" s="4325">
        <f>IF(G342&lt;=0,0,G328-G342)</f>
        <v>0</v>
      </c>
      <c r="H345" s="4328"/>
      <c r="I345" s="4325">
        <f>IF(I342&lt;=0,0,I328-I342)</f>
        <v>0</v>
      </c>
      <c r="J345" s="4328"/>
      <c r="K345" s="4325">
        <f>IF(K342&lt;=0,0,K328-K342)</f>
        <v>0</v>
      </c>
      <c r="L345" s="4328"/>
      <c r="M345" s="4325">
        <f>IF(M342&lt;=0,0,M328-M342)</f>
        <v>0</v>
      </c>
    </row>
    <row r="346" spans="2:14" ht="7.5" customHeight="1">
      <c r="E346" s="4324"/>
      <c r="F346" s="4324"/>
      <c r="G346" s="4324"/>
      <c r="H346" s="4324"/>
      <c r="I346" s="4324"/>
      <c r="J346" s="4324"/>
      <c r="K346" s="4324"/>
      <c r="L346" s="4356"/>
      <c r="M346" s="4324"/>
    </row>
    <row r="347" spans="2:14">
      <c r="B347" s="4309" t="s">
        <v>2025</v>
      </c>
      <c r="E347" s="4324"/>
      <c r="F347" s="4324"/>
      <c r="G347" s="4324"/>
      <c r="H347" s="4324"/>
      <c r="I347" s="4324"/>
      <c r="J347" s="4324"/>
      <c r="K347" s="4324"/>
      <c r="L347" s="4356"/>
      <c r="M347" s="4324"/>
    </row>
    <row r="348" spans="2:14">
      <c r="B348" s="4309" t="s">
        <v>2008</v>
      </c>
      <c r="E348" s="4324"/>
      <c r="F348" s="4324"/>
      <c r="G348" s="4324"/>
      <c r="H348" s="4324"/>
      <c r="I348" s="4324"/>
      <c r="J348" s="4324"/>
      <c r="K348" s="4324"/>
      <c r="L348" s="4356"/>
      <c r="M348" s="4324"/>
    </row>
    <row r="349" spans="2:14">
      <c r="B349" s="4309" t="str">
        <f>B37</f>
        <v xml:space="preserve">     (7-1-2016 to 12-31-2017) (Line 3 x 75%)</v>
      </c>
      <c r="E349" s="4381">
        <f>SUM(E330*0.75)</f>
        <v>0</v>
      </c>
      <c r="F349" s="4328"/>
      <c r="G349" s="4325">
        <f>SUM(G330*0.75)</f>
        <v>0</v>
      </c>
      <c r="H349" s="4328"/>
      <c r="I349" s="4325">
        <f>SUM(I330*0.75)</f>
        <v>0</v>
      </c>
      <c r="J349" s="4328"/>
      <c r="K349" s="4325">
        <f>SUM(K330*0.75)</f>
        <v>0</v>
      </c>
      <c r="L349" s="4356"/>
      <c r="M349" s="4325">
        <f>SUM(M330*0.75)</f>
        <v>0</v>
      </c>
    </row>
    <row r="350" spans="2:14" ht="6.75" customHeight="1">
      <c r="E350" s="4356"/>
      <c r="F350" s="4356"/>
      <c r="G350" s="4356"/>
      <c r="H350" s="4356"/>
      <c r="I350" s="4356"/>
      <c r="J350" s="4356"/>
      <c r="K350" s="4356"/>
      <c r="L350" s="4356"/>
      <c r="M350" s="4356"/>
    </row>
    <row r="351" spans="2:14" ht="15">
      <c r="B351" s="4350" t="str">
        <f>B39</f>
        <v>Tax Collection Ratio (Jan, Mar, June)</v>
      </c>
      <c r="E351" s="4379">
        <f>IF(E328&lt;&gt;0,(E332+E334+E336+E338+E340)/E328*100,0)</f>
        <v>0</v>
      </c>
      <c r="F351" s="4335" t="s">
        <v>1124</v>
      </c>
      <c r="G351" s="4379">
        <f>IF(G328&lt;&gt;0,(G332+G334+G336+G338+G340)/G328*100,0)</f>
        <v>0</v>
      </c>
      <c r="H351" s="4335" t="s">
        <v>1124</v>
      </c>
      <c r="I351" s="4379">
        <f>IF(I328&lt;&gt;0,(I332+I334+I336+I338+I340)/I328*100,0)</f>
        <v>0</v>
      </c>
      <c r="J351" s="4335" t="s">
        <v>1124</v>
      </c>
      <c r="K351" s="4379">
        <f>IF(K328&lt;&gt;0,(K332+K334+K336+K338+K340)/K328*100,0)</f>
        <v>0</v>
      </c>
      <c r="L351" s="4335" t="s">
        <v>1124</v>
      </c>
      <c r="M351" s="4379">
        <f>IF(M328&lt;&gt;0,(M332+M334+M336+M338+M340)/M328*100,0)</f>
        <v>0</v>
      </c>
      <c r="N351" s="4333" t="s">
        <v>1124</v>
      </c>
    </row>
    <row r="352" spans="2:14" ht="9" customHeight="1"/>
    <row r="353" spans="2:13">
      <c r="B353" s="4351" t="str">
        <f>B97</f>
        <v>*Amounts are available from the County Treasurer.       **These Jan.-June, 2016 amounts are available from the County Treasurer.  (Should correspond to school</v>
      </c>
    </row>
    <row r="354" spans="2:13">
      <c r="B354" s="4351" t="str">
        <f>B98</f>
        <v xml:space="preserve"> records and does not include MVPT.)   Include Watercraft Tax if USD received payment direct from county.</v>
      </c>
    </row>
    <row r="355" spans="2:13" ht="15">
      <c r="B355" s="4309" t="s">
        <v>1987</v>
      </c>
      <c r="M355" s="4310" t="s">
        <v>1988</v>
      </c>
    </row>
    <row r="356" spans="2:13">
      <c r="B356" s="4311">
        <f>B2</f>
        <v>42522</v>
      </c>
      <c r="C356" s="4312"/>
      <c r="D356" s="4312"/>
      <c r="F356" s="4314"/>
      <c r="G356" s="4314" t="s">
        <v>1989</v>
      </c>
      <c r="H356" s="4314"/>
      <c r="I356" s="4315" t="str">
        <f>I2</f>
        <v>270 - Plainville</v>
      </c>
      <c r="J356" s="4316"/>
      <c r="K356" s="4316"/>
      <c r="L356" s="4314" t="s">
        <v>1990</v>
      </c>
      <c r="M356" s="4317">
        <f>M2</f>
        <v>270</v>
      </c>
    </row>
    <row r="357" spans="2:13">
      <c r="K357" s="4314" t="s">
        <v>1112</v>
      </c>
      <c r="M357" s="4390" t="s">
        <v>246</v>
      </c>
    </row>
    <row r="358" spans="2:13" ht="7.5" customHeight="1">
      <c r="E358" s="4320"/>
      <c r="F358" s="4320"/>
      <c r="G358" s="4320"/>
      <c r="H358" s="4320"/>
      <c r="I358" s="4320"/>
      <c r="J358" s="4320"/>
      <c r="K358" s="4321"/>
      <c r="L358" s="4321"/>
      <c r="M358" s="4320"/>
    </row>
    <row r="359" spans="2:13">
      <c r="E359" s="4320"/>
      <c r="F359" s="4320"/>
      <c r="G359" s="4320"/>
      <c r="H359" s="4320"/>
      <c r="I359" s="4320"/>
      <c r="J359" s="4320"/>
      <c r="K359" s="4321"/>
      <c r="L359" s="4321"/>
      <c r="M359" s="4320"/>
    </row>
    <row r="360" spans="2:13">
      <c r="B360" s="4320" t="str">
        <f>B5</f>
        <v>2016-2017</v>
      </c>
      <c r="C360" s="4320"/>
      <c r="D360" s="4320"/>
      <c r="E360" s="4320"/>
      <c r="F360" s="4320"/>
      <c r="G360" s="4320"/>
      <c r="H360" s="4320"/>
      <c r="I360" s="4320"/>
      <c r="J360" s="4320"/>
      <c r="K360" s="4320"/>
      <c r="L360" s="4320"/>
      <c r="M360" s="4320"/>
    </row>
    <row r="361" spans="2:13">
      <c r="B361" s="4320" t="s">
        <v>1993</v>
      </c>
      <c r="C361" s="4320"/>
      <c r="D361" s="4320"/>
      <c r="E361" s="4320"/>
      <c r="F361" s="4320"/>
      <c r="G361" s="4320"/>
      <c r="H361" s="4320"/>
      <c r="I361" s="4320"/>
      <c r="J361" s="4320"/>
      <c r="K361" s="4320"/>
      <c r="L361" s="4320"/>
      <c r="M361" s="4320"/>
    </row>
    <row r="362" spans="2:13">
      <c r="B362" s="4320" t="s">
        <v>1994</v>
      </c>
      <c r="C362" s="4320"/>
      <c r="D362" s="4320"/>
      <c r="E362" s="4320"/>
      <c r="F362" s="4320"/>
      <c r="G362" s="4320"/>
      <c r="H362" s="4320"/>
      <c r="I362" s="4320"/>
      <c r="J362" s="4320"/>
      <c r="K362" s="4320"/>
      <c r="L362" s="4320"/>
      <c r="M362" s="4320"/>
    </row>
    <row r="363" spans="2:13" ht="15">
      <c r="B363" s="4322" t="s">
        <v>1995</v>
      </c>
      <c r="C363" s="4322"/>
      <c r="D363" s="4322"/>
      <c r="E363" s="4320"/>
      <c r="F363" s="4320"/>
      <c r="G363" s="4320"/>
      <c r="H363" s="4320"/>
      <c r="I363" s="4320"/>
      <c r="J363" s="4320"/>
      <c r="K363" s="4320"/>
      <c r="L363" s="4320"/>
      <c r="M363" s="4320"/>
    </row>
    <row r="364" spans="2:13" ht="8.25" customHeight="1"/>
    <row r="365" spans="2:13" ht="15">
      <c r="E365" s="4318"/>
      <c r="F365" s="4318"/>
      <c r="G365" s="4318" t="s">
        <v>1996</v>
      </c>
      <c r="H365" s="4318"/>
      <c r="I365" s="4318" t="s">
        <v>1997</v>
      </c>
      <c r="J365" s="4318"/>
      <c r="K365" s="4318" t="s">
        <v>1998</v>
      </c>
      <c r="L365" s="4318"/>
      <c r="M365" s="4318"/>
    </row>
    <row r="366" spans="2:13" ht="15">
      <c r="E366" s="4318" t="s">
        <v>993</v>
      </c>
      <c r="F366" s="4318"/>
      <c r="G366" s="4318" t="s">
        <v>993</v>
      </c>
      <c r="H366" s="4318"/>
      <c r="I366" s="4318" t="s">
        <v>1999</v>
      </c>
      <c r="J366" s="4318"/>
      <c r="K366" s="4318" t="s">
        <v>2000</v>
      </c>
      <c r="L366" s="4318"/>
      <c r="M366" s="4318" t="s">
        <v>2001</v>
      </c>
    </row>
    <row r="367" spans="2:13" ht="15">
      <c r="E367" s="4318" t="s">
        <v>1152</v>
      </c>
      <c r="F367" s="4318"/>
      <c r="G367" s="4318" t="s">
        <v>1152</v>
      </c>
      <c r="H367" s="4318"/>
      <c r="I367" s="4318" t="s">
        <v>1152</v>
      </c>
      <c r="J367" s="4318"/>
      <c r="K367" s="4318" t="str">
        <f>K12</f>
        <v>Fund #1</v>
      </c>
      <c r="L367" s="4318"/>
      <c r="M367" s="4318" t="str">
        <f>M12</f>
        <v>Fund</v>
      </c>
    </row>
    <row r="368" spans="2:13" ht="9.75" customHeight="1"/>
    <row r="369" spans="2:13">
      <c r="B369" s="4309" t="str">
        <f>B14</f>
        <v>1.  County Treasurer Balance 6/30/2016 *</v>
      </c>
      <c r="E369" s="4382"/>
      <c r="F369" s="4383"/>
      <c r="G369" s="4384">
        <v>0</v>
      </c>
      <c r="H369" s="4383"/>
      <c r="I369" s="4384">
        <v>0</v>
      </c>
      <c r="J369" s="4383"/>
      <c r="K369" s="4384">
        <v>0</v>
      </c>
      <c r="L369" s="4383"/>
      <c r="M369" s="4384">
        <v>0</v>
      </c>
    </row>
    <row r="370" spans="2:13" ht="8.25" customHeight="1">
      <c r="B370" s="4326"/>
      <c r="C370" s="4326"/>
      <c r="D370" s="4326"/>
      <c r="E370" s="4385"/>
      <c r="F370" s="4385"/>
      <c r="G370" s="4385"/>
      <c r="H370" s="4385"/>
      <c r="I370" s="4385"/>
      <c r="J370" s="4385"/>
      <c r="K370" s="4385"/>
      <c r="L370" s="4385"/>
      <c r="M370" s="4385"/>
    </row>
    <row r="371" spans="2:13">
      <c r="B371" s="4309" t="str">
        <f>B16</f>
        <v>2.  2015 Actual Taxes Levied*</v>
      </c>
      <c r="E371" s="4382"/>
      <c r="F371" s="4383"/>
      <c r="G371" s="4384">
        <v>96128</v>
      </c>
      <c r="H371" s="4383"/>
      <c r="I371" s="4384">
        <v>79379</v>
      </c>
      <c r="J371" s="4383"/>
      <c r="K371" s="4384">
        <v>70012</v>
      </c>
      <c r="L371" s="4383"/>
      <c r="M371" s="4384">
        <v>29370</v>
      </c>
    </row>
    <row r="372" spans="2:13" ht="7.5" customHeight="1">
      <c r="E372" s="4376"/>
      <c r="F372" s="4383"/>
      <c r="G372" s="4383"/>
      <c r="H372" s="4383"/>
      <c r="I372" s="4383"/>
      <c r="J372" s="4383"/>
      <c r="K372" s="4383"/>
      <c r="L372" s="4383"/>
      <c r="M372" s="4383"/>
    </row>
    <row r="373" spans="2:13">
      <c r="B373" s="4309" t="s">
        <v>2002</v>
      </c>
      <c r="C373" s="4329">
        <v>4</v>
      </c>
      <c r="E373" s="4328"/>
      <c r="F373" s="4328"/>
      <c r="G373" s="4325">
        <f>SUM(G371*$C$373/100)</f>
        <v>3845</v>
      </c>
      <c r="H373" s="4328"/>
      <c r="I373" s="4325">
        <f>SUM(I371*$C$373/100)</f>
        <v>3175</v>
      </c>
      <c r="J373" s="4328"/>
      <c r="K373" s="4325">
        <f>SUM(K371*$C$373/100)</f>
        <v>2800</v>
      </c>
      <c r="L373" s="4328"/>
      <c r="M373" s="4325">
        <f>SUM(M371*$C$373/100)</f>
        <v>1175</v>
      </c>
    </row>
    <row r="374" spans="2:13" ht="7.5" customHeight="1">
      <c r="E374" s="4376"/>
      <c r="F374" s="4383"/>
      <c r="G374" s="4383"/>
      <c r="H374" s="4383"/>
      <c r="I374" s="4383"/>
      <c r="J374" s="4383"/>
      <c r="K374" s="4383"/>
      <c r="L374" s="4383"/>
      <c r="M374" s="4383"/>
    </row>
    <row r="375" spans="2:13">
      <c r="B375" s="4309" t="str">
        <f>B20</f>
        <v>4.  Less:  Jan. 20, 2016 Taxes received**</v>
      </c>
      <c r="C375" s="4314"/>
      <c r="E375" s="4382"/>
      <c r="F375" s="4383"/>
      <c r="G375" s="4384">
        <v>63970</v>
      </c>
      <c r="H375" s="4383"/>
      <c r="I375" s="4384">
        <v>52824</v>
      </c>
      <c r="J375" s="4383"/>
      <c r="K375" s="4384">
        <v>46591</v>
      </c>
      <c r="L375" s="4383"/>
      <c r="M375" s="4384">
        <v>18995</v>
      </c>
    </row>
    <row r="376" spans="2:13" ht="8.25" customHeight="1">
      <c r="E376" s="4376"/>
      <c r="F376" s="4383"/>
      <c r="G376" s="4383"/>
      <c r="H376" s="4383"/>
      <c r="I376" s="4383"/>
      <c r="J376" s="4383"/>
      <c r="K376" s="4383"/>
      <c r="L376" s="4383"/>
      <c r="M376" s="4383"/>
    </row>
    <row r="377" spans="2:13">
      <c r="B377" s="4309" t="str">
        <f>B22</f>
        <v>5.  Less:  Mar. 20, 2016  Taxes received**</v>
      </c>
      <c r="E377" s="4382"/>
      <c r="F377" s="4383"/>
      <c r="G377" s="4384">
        <v>3386</v>
      </c>
      <c r="H377" s="4383"/>
      <c r="I377" s="4384">
        <v>2796</v>
      </c>
      <c r="J377" s="4383"/>
      <c r="K377" s="4384">
        <v>2466</v>
      </c>
      <c r="L377" s="4383"/>
      <c r="M377" s="4384">
        <v>1034</v>
      </c>
    </row>
    <row r="378" spans="2:13" ht="7.5" customHeight="1">
      <c r="E378" s="4376"/>
      <c r="F378" s="4383"/>
      <c r="G378" s="4383"/>
      <c r="H378" s="4383"/>
      <c r="I378" s="4383"/>
      <c r="J378" s="4383"/>
      <c r="K378" s="4383"/>
      <c r="L378" s="4383"/>
      <c r="M378" s="4383"/>
    </row>
    <row r="379" spans="2:13">
      <c r="B379" s="4309" t="str">
        <f>B24</f>
        <v>6.  Less:  June 5,  2016 Taxes received**</v>
      </c>
      <c r="E379" s="4382"/>
      <c r="F379" s="4383"/>
      <c r="G379" s="4384">
        <v>24030</v>
      </c>
      <c r="H379" s="4383"/>
      <c r="I379" s="4384">
        <v>19844</v>
      </c>
      <c r="J379" s="4383"/>
      <c r="K379" s="4384">
        <v>17503</v>
      </c>
      <c r="L379" s="4383"/>
      <c r="M379" s="4384">
        <v>6342</v>
      </c>
    </row>
    <row r="380" spans="2:13" ht="8.25" customHeight="1">
      <c r="E380" s="4376"/>
      <c r="F380" s="4383"/>
      <c r="G380" s="4383"/>
      <c r="H380" s="4383"/>
      <c r="I380" s="4383"/>
      <c r="J380" s="4383"/>
      <c r="K380" s="4383"/>
      <c r="L380" s="4383"/>
      <c r="M380" s="4383"/>
    </row>
    <row r="381" spans="2:13">
      <c r="B381" s="4309" t="s">
        <v>2003</v>
      </c>
      <c r="E381" s="4382"/>
      <c r="F381" s="4383"/>
      <c r="G381" s="4384"/>
      <c r="H381" s="4383"/>
      <c r="I381" s="4384"/>
      <c r="J381" s="4383"/>
      <c r="K381" s="4384"/>
      <c r="L381" s="4383"/>
      <c r="M381" s="4384"/>
    </row>
    <row r="382" spans="2:13" ht="7.5" customHeight="1">
      <c r="E382" s="4376"/>
      <c r="F382" s="4383"/>
      <c r="G382" s="4383"/>
      <c r="H382" s="4383"/>
      <c r="I382" s="4383"/>
      <c r="J382" s="4383"/>
      <c r="K382" s="4383"/>
      <c r="L382" s="4383"/>
      <c r="M382" s="4383"/>
    </row>
    <row r="383" spans="2:13">
      <c r="B383" s="4309" t="s">
        <v>2004</v>
      </c>
      <c r="E383" s="4382"/>
      <c r="F383" s="4383"/>
      <c r="G383" s="4384"/>
      <c r="H383" s="4383"/>
      <c r="I383" s="4384"/>
      <c r="J383" s="4383"/>
      <c r="K383" s="4384"/>
      <c r="L383" s="4383"/>
      <c r="M383" s="4384"/>
    </row>
    <row r="384" spans="2:13">
      <c r="B384" s="4309" t="s">
        <v>2005</v>
      </c>
      <c r="E384" s="4382"/>
      <c r="F384" s="4383"/>
      <c r="G384" s="4386"/>
      <c r="H384" s="4383"/>
      <c r="I384" s="4386"/>
      <c r="J384" s="4383"/>
      <c r="K384" s="4386"/>
      <c r="L384" s="4383"/>
      <c r="M384" s="4386"/>
    </row>
    <row r="385" spans="2:14">
      <c r="B385" s="4309" t="s">
        <v>2006</v>
      </c>
      <c r="E385" s="4328"/>
      <c r="F385" s="4324"/>
      <c r="G385" s="4325">
        <f>SUM(G373:G384)</f>
        <v>95231</v>
      </c>
      <c r="H385" s="4324"/>
      <c r="I385" s="4325">
        <f>SUM(I373:I384)</f>
        <v>78639</v>
      </c>
      <c r="J385" s="4324"/>
      <c r="K385" s="4325">
        <f>SUM(K373:K384)</f>
        <v>69360</v>
      </c>
      <c r="L385" s="4324"/>
      <c r="M385" s="4325">
        <f>SUM(M373:M384)</f>
        <v>27546</v>
      </c>
    </row>
    <row r="386" spans="2:14" ht="6" customHeight="1">
      <c r="E386" s="4328"/>
      <c r="F386" s="4324"/>
      <c r="G386" s="4324"/>
      <c r="H386" s="4324"/>
      <c r="I386" s="4324"/>
      <c r="J386" s="4324"/>
      <c r="K386" s="4324"/>
      <c r="L386" s="4324"/>
      <c r="M386" s="4324"/>
    </row>
    <row r="387" spans="2:14">
      <c r="B387" s="4309" t="str">
        <f>B32</f>
        <v>11. 2015 taxes receivable (taxes in process</v>
      </c>
      <c r="E387" s="4328"/>
      <c r="F387" s="4324"/>
      <c r="G387" s="4324"/>
      <c r="H387" s="4324"/>
      <c r="I387" s="4324"/>
      <c r="J387" s="4324"/>
      <c r="K387" s="4324"/>
      <c r="L387" s="4324"/>
      <c r="M387" s="4324"/>
    </row>
    <row r="388" spans="2:14">
      <c r="B388" s="4309" t="str">
        <f>B33</f>
        <v xml:space="preserve">     of collection 6/30/2016)(Line 2 less Line 10)</v>
      </c>
      <c r="E388" s="4328"/>
      <c r="F388" s="4324"/>
      <c r="G388" s="4325">
        <f>IF(G385&lt;=0,0,G371-G385)</f>
        <v>897</v>
      </c>
      <c r="H388" s="4324"/>
      <c r="I388" s="4325">
        <f>IF(I385&lt;=0,0,I371-I385)</f>
        <v>740</v>
      </c>
      <c r="J388" s="4324"/>
      <c r="K388" s="4325">
        <f>IF(K385&lt;=0,0,(K371-K385))</f>
        <v>652</v>
      </c>
      <c r="L388" s="4324"/>
      <c r="M388" s="4325">
        <f>IF(M385&lt;=0,0,M371-M385)</f>
        <v>1824</v>
      </c>
    </row>
    <row r="389" spans="2:14" ht="6.75" customHeight="1">
      <c r="E389" s="4328"/>
      <c r="F389" s="4324"/>
      <c r="G389" s="4328"/>
      <c r="H389" s="4324"/>
      <c r="I389" s="4328"/>
      <c r="J389" s="4324"/>
      <c r="K389" s="4328"/>
      <c r="L389" s="4324"/>
      <c r="M389" s="4328"/>
    </row>
    <row r="390" spans="2:14">
      <c r="B390" s="4309" t="s">
        <v>2007</v>
      </c>
      <c r="E390" s="4328"/>
      <c r="F390" s="4324"/>
      <c r="G390" s="4324"/>
      <c r="H390" s="4324"/>
      <c r="I390" s="4324"/>
      <c r="J390" s="4324"/>
      <c r="K390" s="4324"/>
      <c r="L390" s="4324"/>
      <c r="M390" s="4324"/>
    </row>
    <row r="391" spans="2:14">
      <c r="B391" s="4309" t="s">
        <v>2008</v>
      </c>
      <c r="E391" s="4328"/>
      <c r="F391" s="4324"/>
      <c r="G391" s="4324"/>
      <c r="H391" s="4324"/>
      <c r="I391" s="4324"/>
      <c r="J391" s="4324"/>
      <c r="K391" s="4324"/>
      <c r="L391" s="4324"/>
      <c r="M391" s="4324"/>
    </row>
    <row r="392" spans="2:14">
      <c r="B392" s="4309" t="str">
        <f>B37</f>
        <v xml:space="preserve">     (7-1-2016 to 12-31-2017) (Line 3 x 75%)</v>
      </c>
      <c r="E392" s="4328"/>
      <c r="F392" s="4324"/>
      <c r="G392" s="4325">
        <f>SUM(G373*0.75)</f>
        <v>2884</v>
      </c>
      <c r="H392" s="4324"/>
      <c r="I392" s="4325">
        <f>SUM(I373*0.75)</f>
        <v>2381</v>
      </c>
      <c r="J392" s="4324"/>
      <c r="K392" s="4325">
        <f>SUM(K373*0.75)</f>
        <v>2100</v>
      </c>
      <c r="L392" s="4324"/>
      <c r="M392" s="4325">
        <f>SUM(M373*0.75)</f>
        <v>881</v>
      </c>
    </row>
    <row r="393" spans="2:14" ht="15">
      <c r="B393" s="4357" t="str">
        <f>B39</f>
        <v>Tax Collection Ratio (Jan, Mar, June)</v>
      </c>
      <c r="C393" s="4326"/>
      <c r="D393" s="4326"/>
      <c r="E393" s="4358">
        <f>IF(E371&lt;&gt;0,(E375+E377+E379+E381+E383)/E371*100,0)</f>
        <v>0</v>
      </c>
      <c r="F393" s="4335" t="s">
        <v>1124</v>
      </c>
      <c r="G393" s="4358">
        <f>IF(G371&lt;&gt;0,(G375+G377+G379+G381+G383)/G371*100,0)</f>
        <v>95.066999999999993</v>
      </c>
      <c r="H393" s="4335" t="s">
        <v>1124</v>
      </c>
      <c r="I393" s="4358">
        <f>IF(I371&lt;&gt;0,(I375+I377+I379+I381+I383)/I371*100,0)</f>
        <v>95.067999999999998</v>
      </c>
      <c r="J393" s="4335" t="s">
        <v>1124</v>
      </c>
      <c r="K393" s="4358">
        <f>IF(K371&lt;&gt;0,(K375+K377+K379+K381+K383)/K371*100,0)</f>
        <v>95.069000000000003</v>
      </c>
      <c r="L393" s="4335" t="s">
        <v>1124</v>
      </c>
      <c r="M393" s="4358">
        <f>IF(M371&lt;&gt;0,(M375+M377+M379+M381+M383)/M371*100,0)</f>
        <v>89.789000000000001</v>
      </c>
      <c r="N393" s="4333" t="s">
        <v>1124</v>
      </c>
    </row>
    <row r="394" spans="2:14" ht="2.25" customHeight="1">
      <c r="B394" s="4336"/>
      <c r="C394" s="4333"/>
      <c r="D394" s="4333"/>
      <c r="E394" s="4333"/>
      <c r="F394" s="4333"/>
      <c r="G394" s="4333"/>
      <c r="H394" s="4333"/>
      <c r="I394" s="4333"/>
      <c r="J394" s="4333"/>
      <c r="K394" s="4333"/>
      <c r="L394" s="4333"/>
      <c r="M394" s="4333"/>
    </row>
    <row r="395" spans="2:14" ht="0.75" hidden="1" customHeight="1">
      <c r="B395" s="4348"/>
      <c r="C395" s="4348"/>
      <c r="D395" s="4348"/>
      <c r="E395" s="4348"/>
      <c r="F395" s="4348"/>
      <c r="G395" s="4348"/>
      <c r="H395" s="4348"/>
      <c r="I395" s="4391"/>
      <c r="J395" s="4348"/>
      <c r="K395" s="4348"/>
      <c r="L395" s="4348"/>
      <c r="M395" s="4348"/>
    </row>
    <row r="396" spans="2:14" ht="0.75" hidden="1" customHeight="1">
      <c r="B396" s="4353"/>
      <c r="C396" s="4353"/>
      <c r="D396" s="4353"/>
      <c r="E396" s="4353"/>
      <c r="F396" s="4353"/>
      <c r="G396" s="4353"/>
      <c r="H396" s="4353"/>
      <c r="I396" s="4353"/>
      <c r="J396" s="4353"/>
      <c r="K396" s="4353"/>
      <c r="L396" s="4353"/>
      <c r="M396" s="4353"/>
    </row>
    <row r="397" spans="2:14" ht="1.5" hidden="1" customHeight="1">
      <c r="B397" s="4353"/>
      <c r="C397" s="4353"/>
      <c r="D397" s="4353"/>
      <c r="E397" s="4353"/>
      <c r="F397" s="4353"/>
      <c r="G397" s="4353"/>
      <c r="H397" s="4353"/>
      <c r="I397" s="4353"/>
      <c r="J397" s="4353"/>
      <c r="K397" s="4353"/>
      <c r="L397" s="4353"/>
      <c r="M397" s="4353"/>
    </row>
    <row r="398" spans="2:14" ht="3" hidden="1" customHeight="1">
      <c r="B398" s="4353"/>
      <c r="C398" s="4353"/>
      <c r="D398" s="4353"/>
      <c r="E398" s="4353"/>
      <c r="F398" s="4353"/>
      <c r="G398" s="4353"/>
      <c r="H398" s="4353"/>
      <c r="I398" s="4353"/>
      <c r="J398" s="4353"/>
      <c r="K398" s="4353"/>
      <c r="L398" s="4353"/>
      <c r="M398" s="4353"/>
    </row>
    <row r="399" spans="2:14" ht="3" hidden="1" customHeight="1">
      <c r="B399" s="4353"/>
      <c r="C399" s="4353"/>
      <c r="D399" s="4353"/>
      <c r="E399" s="4353"/>
      <c r="F399" s="4353"/>
      <c r="G399" s="4353"/>
      <c r="H399" s="4353"/>
      <c r="I399" s="4353"/>
      <c r="J399" s="4353"/>
      <c r="K399" s="4353"/>
      <c r="L399" s="4353"/>
      <c r="M399" s="4353"/>
    </row>
    <row r="400" spans="2:14" ht="3" hidden="1" customHeight="1">
      <c r="B400" s="4353"/>
      <c r="C400" s="4353"/>
      <c r="D400" s="4353"/>
      <c r="E400" s="4353"/>
      <c r="F400" s="4353"/>
      <c r="G400" s="4353"/>
      <c r="H400" s="4353"/>
      <c r="I400" s="4353"/>
      <c r="J400" s="4353"/>
      <c r="K400" s="4353"/>
      <c r="L400" s="4353"/>
      <c r="M400" s="4353"/>
    </row>
    <row r="401" spans="2:14" ht="3" hidden="1" customHeight="1">
      <c r="B401" s="4353"/>
      <c r="C401" s="4353"/>
      <c r="D401" s="4353"/>
      <c r="E401" s="4353"/>
      <c r="F401" s="4353"/>
      <c r="G401" s="4353"/>
      <c r="H401" s="4353"/>
      <c r="I401" s="4353"/>
      <c r="J401" s="4353"/>
      <c r="K401" s="4353"/>
      <c r="L401" s="4353"/>
      <c r="M401" s="4353"/>
    </row>
    <row r="402" spans="2:14" ht="15" customHeight="1">
      <c r="B402" s="4351" t="str">
        <f>B97</f>
        <v>*Amounts are available from the County Treasurer.       **These Jan.-June, 2016 amounts are available from the County Treasurer.  (Should correspond to school</v>
      </c>
      <c r="C402" s="4353"/>
      <c r="D402" s="4353"/>
      <c r="E402" s="4353"/>
      <c r="F402" s="4353"/>
      <c r="G402" s="4353"/>
      <c r="H402" s="4353"/>
      <c r="I402" s="4353"/>
      <c r="J402" s="4353"/>
      <c r="K402" s="4353"/>
      <c r="L402" s="4353"/>
      <c r="M402" s="4353"/>
    </row>
    <row r="403" spans="2:14">
      <c r="B403" s="4351" t="str">
        <f>B98</f>
        <v xml:space="preserve"> records and does not include MVPT.)   Include Watercraft Tax if USD received payment direct from county.</v>
      </c>
      <c r="C403" s="4353"/>
      <c r="D403" s="4353"/>
      <c r="E403" s="4353"/>
      <c r="F403" s="4353"/>
      <c r="G403" s="4353"/>
      <c r="H403" s="4353"/>
      <c r="I403" s="4353"/>
      <c r="J403" s="4353"/>
      <c r="K403" s="4353"/>
      <c r="L403" s="4353"/>
      <c r="M403" s="4353"/>
    </row>
    <row r="404" spans="2:14">
      <c r="B404" s="4309" t="s">
        <v>2057</v>
      </c>
    </row>
    <row r="405" spans="2:14" ht="15">
      <c r="B405" s="4309" t="s">
        <v>1987</v>
      </c>
      <c r="M405" s="4310" t="s">
        <v>2015</v>
      </c>
    </row>
    <row r="406" spans="2:14">
      <c r="B406" s="4311">
        <f>B2</f>
        <v>42522</v>
      </c>
      <c r="C406" s="4312"/>
      <c r="D406" s="4312"/>
      <c r="F406" s="4314"/>
      <c r="G406" s="4314" t="s">
        <v>1989</v>
      </c>
      <c r="H406" s="4314"/>
      <c r="I406" s="4316" t="str">
        <f>I356</f>
        <v>270 - Plainville</v>
      </c>
      <c r="J406" s="4316"/>
      <c r="K406" s="4354" t="s">
        <v>1990</v>
      </c>
      <c r="L406" s="4353"/>
      <c r="M406" s="4317">
        <f>M356</f>
        <v>270</v>
      </c>
    </row>
    <row r="407" spans="2:14">
      <c r="K407" s="4314" t="s">
        <v>1112</v>
      </c>
      <c r="M407" s="4316" t="str">
        <f>M357</f>
        <v>Ellis</v>
      </c>
    </row>
    <row r="408" spans="2:14" ht="9" customHeight="1">
      <c r="E408" s="4320"/>
      <c r="F408" s="4320"/>
      <c r="G408" s="4320"/>
      <c r="H408" s="4320"/>
      <c r="I408" s="4320"/>
      <c r="J408" s="4320"/>
      <c r="K408" s="4321"/>
      <c r="L408" s="4321"/>
      <c r="M408" s="4320"/>
    </row>
    <row r="409" spans="2:14">
      <c r="B409" s="4320" t="str">
        <f>B5</f>
        <v>2016-2017</v>
      </c>
      <c r="C409" s="4320"/>
      <c r="D409" s="4320"/>
      <c r="E409" s="4320"/>
      <c r="F409" s="4320"/>
      <c r="G409" s="4320"/>
      <c r="H409" s="4320"/>
      <c r="I409" s="4320"/>
      <c r="J409" s="4320"/>
      <c r="K409" s="4320"/>
      <c r="L409" s="4320"/>
      <c r="M409" s="4320"/>
    </row>
    <row r="410" spans="2:14">
      <c r="B410" s="4320" t="s">
        <v>1993</v>
      </c>
      <c r="C410" s="4320"/>
      <c r="D410" s="4320"/>
      <c r="E410" s="4320"/>
      <c r="F410" s="4320"/>
      <c r="G410" s="4320"/>
      <c r="H410" s="4320"/>
      <c r="I410" s="4320"/>
      <c r="J410" s="4320"/>
      <c r="K410" s="4320"/>
      <c r="L410" s="4320"/>
      <c r="M410" s="4320"/>
    </row>
    <row r="411" spans="2:14">
      <c r="B411" s="4320" t="s">
        <v>1994</v>
      </c>
      <c r="C411" s="4320"/>
      <c r="D411" s="4320"/>
      <c r="E411" s="4320"/>
      <c r="F411" s="4320"/>
      <c r="G411" s="4320"/>
      <c r="H411" s="4320"/>
      <c r="I411" s="4320"/>
      <c r="J411" s="4320"/>
      <c r="K411" s="4320"/>
      <c r="L411" s="4320"/>
      <c r="M411" s="4320"/>
    </row>
    <row r="412" spans="2:14" ht="15">
      <c r="B412" s="4322" t="s">
        <v>1995</v>
      </c>
      <c r="C412" s="4322"/>
      <c r="D412" s="4322"/>
      <c r="E412" s="4320"/>
      <c r="F412" s="4320"/>
      <c r="G412" s="4320"/>
      <c r="H412" s="4320"/>
      <c r="I412" s="4320"/>
      <c r="J412" s="4320"/>
      <c r="K412" s="4320"/>
      <c r="L412" s="4320"/>
      <c r="M412" s="4320"/>
    </row>
    <row r="413" spans="2:14" ht="8.25" customHeight="1">
      <c r="E413" s="4318"/>
      <c r="F413" s="4318"/>
      <c r="G413" s="4318"/>
      <c r="H413" s="4318"/>
      <c r="I413" s="4318"/>
      <c r="J413" s="4318"/>
      <c r="K413" s="4318"/>
      <c r="L413" s="4318"/>
      <c r="M413" s="4318"/>
    </row>
    <row r="414" spans="2:14" ht="15">
      <c r="E414" s="4318" t="s">
        <v>2016</v>
      </c>
      <c r="F414" s="4318"/>
      <c r="G414" s="4318" t="s">
        <v>2037</v>
      </c>
      <c r="H414" s="4318"/>
      <c r="I414" s="4318" t="s">
        <v>2058</v>
      </c>
      <c r="J414" s="4318"/>
      <c r="K414" s="4318" t="s">
        <v>2059</v>
      </c>
      <c r="M414" s="4287"/>
      <c r="N414" s="4287"/>
    </row>
    <row r="415" spans="2:14" ht="15">
      <c r="E415" s="4318" t="s">
        <v>2020</v>
      </c>
      <c r="F415" s="4318"/>
      <c r="G415" s="4318" t="s">
        <v>2021</v>
      </c>
      <c r="H415" s="4318"/>
      <c r="I415" s="4318" t="s">
        <v>2022</v>
      </c>
      <c r="J415" s="4318"/>
      <c r="K415" s="4318" t="str">
        <f>K60</f>
        <v>Interest #2</v>
      </c>
      <c r="M415" s="4287"/>
      <c r="N415" s="4287"/>
    </row>
    <row r="416" spans="2:14" ht="8.25" customHeight="1">
      <c r="M416" s="4287"/>
      <c r="N416" s="4287"/>
    </row>
    <row r="417" spans="2:14">
      <c r="B417" s="4309" t="str">
        <f>B14</f>
        <v>1.  County Treasurer Balance 6/30/2016 *</v>
      </c>
      <c r="E417" s="4384"/>
      <c r="F417" s="4383"/>
      <c r="G417" s="4384"/>
      <c r="H417" s="4383"/>
      <c r="I417" s="4384"/>
      <c r="J417" s="4383"/>
      <c r="K417" s="4384"/>
      <c r="M417" s="4287"/>
      <c r="N417" s="4287"/>
    </row>
    <row r="418" spans="2:14" ht="7.5" customHeight="1">
      <c r="B418" s="4326"/>
      <c r="C418" s="4326"/>
      <c r="D418" s="4326"/>
      <c r="E418" s="4385"/>
      <c r="F418" s="4385"/>
      <c r="G418" s="4385"/>
      <c r="H418" s="4385"/>
      <c r="I418" s="4385"/>
      <c r="J418" s="4385"/>
      <c r="K418" s="4385"/>
      <c r="M418" s="4287"/>
      <c r="N418" s="4287"/>
    </row>
    <row r="419" spans="2:14">
      <c r="B419" s="4309" t="str">
        <f>B16</f>
        <v>2.  2015 Actual Taxes Levied*</v>
      </c>
      <c r="E419" s="4384"/>
      <c r="F419" s="4383"/>
      <c r="G419" s="4384"/>
      <c r="H419" s="4383"/>
      <c r="I419" s="4384"/>
      <c r="J419" s="4383"/>
      <c r="K419" s="4384"/>
      <c r="M419" s="4287"/>
      <c r="N419" s="4287"/>
    </row>
    <row r="420" spans="2:14" ht="9" customHeight="1">
      <c r="E420" s="4383"/>
      <c r="F420" s="4383"/>
      <c r="G420" s="4383"/>
      <c r="H420" s="4383"/>
      <c r="I420" s="4383"/>
      <c r="J420" s="4383"/>
      <c r="K420" s="4383"/>
      <c r="M420" s="4287"/>
      <c r="N420" s="4287"/>
    </row>
    <row r="421" spans="2:14">
      <c r="B421" s="4309" t="s">
        <v>2023</v>
      </c>
      <c r="C421" s="4347">
        <f>C373</f>
        <v>4</v>
      </c>
      <c r="D421" s="4356"/>
      <c r="E421" s="4325">
        <f>E419*$C$421/100</f>
        <v>0</v>
      </c>
      <c r="F421" s="4328"/>
      <c r="G421" s="4325">
        <f>G419*$C$421/100</f>
        <v>0</v>
      </c>
      <c r="H421" s="4328"/>
      <c r="I421" s="4325">
        <f>I419*$C$421/100</f>
        <v>0</v>
      </c>
      <c r="J421" s="4328"/>
      <c r="K421" s="4325">
        <f>K419*$C$421/100</f>
        <v>0</v>
      </c>
      <c r="L421" s="4328"/>
      <c r="M421" s="4287"/>
      <c r="N421" s="4287"/>
    </row>
    <row r="422" spans="2:14" ht="9" customHeight="1">
      <c r="E422" s="4383"/>
      <c r="F422" s="4383"/>
      <c r="G422" s="4383"/>
      <c r="H422" s="4383"/>
      <c r="I422" s="4383"/>
      <c r="J422" s="4383"/>
      <c r="K422" s="4383"/>
      <c r="M422" s="4287"/>
      <c r="N422" s="4287"/>
    </row>
    <row r="423" spans="2:14">
      <c r="B423" s="4309" t="str">
        <f>B20</f>
        <v>4.  Less:  Jan. 20, 2016 Taxes received**</v>
      </c>
      <c r="E423" s="4384"/>
      <c r="F423" s="4383"/>
      <c r="G423" s="4384"/>
      <c r="H423" s="4383"/>
      <c r="I423" s="4384"/>
      <c r="J423" s="4383"/>
      <c r="K423" s="4384"/>
      <c r="M423" s="4287"/>
      <c r="N423" s="4287"/>
    </row>
    <row r="424" spans="2:14" ht="7.5" customHeight="1">
      <c r="E424" s="4383"/>
      <c r="F424" s="4383"/>
      <c r="G424" s="4383"/>
      <c r="H424" s="4383"/>
      <c r="I424" s="4383"/>
      <c r="J424" s="4383"/>
      <c r="K424" s="4383"/>
      <c r="M424" s="4287"/>
      <c r="N424" s="4287"/>
    </row>
    <row r="425" spans="2:14">
      <c r="B425" s="4309" t="str">
        <f>B22</f>
        <v>5.  Less:  Mar. 20, 2016  Taxes received**</v>
      </c>
      <c r="E425" s="4384"/>
      <c r="F425" s="4383"/>
      <c r="G425" s="4384"/>
      <c r="H425" s="4383"/>
      <c r="I425" s="4384"/>
      <c r="J425" s="4383"/>
      <c r="K425" s="4384"/>
      <c r="M425" s="4287"/>
      <c r="N425" s="4287"/>
    </row>
    <row r="426" spans="2:14" ht="8.25" customHeight="1">
      <c r="E426" s="4376"/>
      <c r="F426" s="4383"/>
      <c r="G426" s="4376"/>
      <c r="H426" s="4383"/>
      <c r="I426" s="4376"/>
      <c r="J426" s="4383"/>
      <c r="K426" s="4376"/>
      <c r="M426" s="4287"/>
      <c r="N426" s="4287"/>
    </row>
    <row r="427" spans="2:14">
      <c r="B427" s="4309" t="str">
        <f>B24</f>
        <v>6.  Less:  June 5,  2016 Taxes received**</v>
      </c>
      <c r="E427" s="4384"/>
      <c r="F427" s="4383"/>
      <c r="G427" s="4384"/>
      <c r="H427" s="4383"/>
      <c r="I427" s="4384"/>
      <c r="J427" s="4383"/>
      <c r="K427" s="4384"/>
      <c r="M427" s="4287"/>
      <c r="N427" s="4287"/>
    </row>
    <row r="428" spans="2:14" ht="8.25" customHeight="1">
      <c r="E428" s="4376"/>
      <c r="F428" s="4383"/>
      <c r="G428" s="4376"/>
      <c r="H428" s="4383"/>
      <c r="I428" s="4376"/>
      <c r="J428" s="4383"/>
      <c r="K428" s="4376"/>
      <c r="M428" s="4287"/>
      <c r="N428" s="4287"/>
    </row>
    <row r="429" spans="2:14">
      <c r="B429" s="4309" t="s">
        <v>2003</v>
      </c>
      <c r="E429" s="4384"/>
      <c r="F429" s="4383"/>
      <c r="G429" s="4384"/>
      <c r="H429" s="4383"/>
      <c r="I429" s="4384"/>
      <c r="J429" s="4383"/>
      <c r="K429" s="4384"/>
      <c r="M429" s="4287"/>
      <c r="N429" s="4287"/>
    </row>
    <row r="430" spans="2:14" ht="8.25" customHeight="1">
      <c r="E430" s="4383"/>
      <c r="F430" s="4383"/>
      <c r="G430" s="4383"/>
      <c r="H430" s="4383"/>
      <c r="I430" s="4383"/>
      <c r="J430" s="4383"/>
      <c r="K430" s="4383"/>
      <c r="M430" s="4287"/>
      <c r="N430" s="4287"/>
    </row>
    <row r="431" spans="2:14">
      <c r="B431" s="4309" t="s">
        <v>2004</v>
      </c>
      <c r="E431" s="4384"/>
      <c r="F431" s="4383"/>
      <c r="G431" s="4384"/>
      <c r="H431" s="4383"/>
      <c r="I431" s="4384"/>
      <c r="J431" s="4383"/>
      <c r="K431" s="4384"/>
      <c r="M431" s="4287"/>
      <c r="N431" s="4287"/>
    </row>
    <row r="432" spans="2:14">
      <c r="B432" s="4309" t="s">
        <v>2005</v>
      </c>
      <c r="E432" s="4386"/>
      <c r="F432" s="4383"/>
      <c r="G432" s="4386"/>
      <c r="H432" s="4383"/>
      <c r="I432" s="4386"/>
      <c r="J432" s="4383"/>
      <c r="K432" s="4386"/>
      <c r="M432" s="4287"/>
      <c r="N432" s="4287"/>
    </row>
    <row r="433" spans="2:14">
      <c r="B433" s="4309" t="s">
        <v>2024</v>
      </c>
      <c r="E433" s="4325">
        <f>SUM(E421:E432)</f>
        <v>0</v>
      </c>
      <c r="F433" s="4328"/>
      <c r="G433" s="4325">
        <f>SUM(G421:G432)</f>
        <v>0</v>
      </c>
      <c r="H433" s="4328"/>
      <c r="I433" s="4325">
        <f>SUM(I421:I432)</f>
        <v>0</v>
      </c>
      <c r="J433" s="4328"/>
      <c r="K433" s="4325">
        <f>SUM(K421:K432)</f>
        <v>0</v>
      </c>
      <c r="L433" s="4356"/>
      <c r="M433" s="4287"/>
      <c r="N433" s="4287"/>
    </row>
    <row r="434" spans="2:14" ht="8.25" customHeight="1">
      <c r="E434" s="4324"/>
      <c r="F434" s="4324"/>
      <c r="G434" s="4324"/>
      <c r="H434" s="4324"/>
      <c r="I434" s="4324"/>
      <c r="J434" s="4324"/>
      <c r="K434" s="4324"/>
      <c r="L434" s="4356"/>
      <c r="M434" s="4287"/>
      <c r="N434" s="4287"/>
    </row>
    <row r="435" spans="2:14">
      <c r="B435" s="4309" t="str">
        <f>B32</f>
        <v>11. 2015 taxes receivable (taxes in process</v>
      </c>
      <c r="E435" s="4324"/>
      <c r="F435" s="4324"/>
      <c r="G435" s="4324"/>
      <c r="H435" s="4324"/>
      <c r="I435" s="4324"/>
      <c r="J435" s="4324"/>
      <c r="K435" s="4324"/>
      <c r="L435" s="4356"/>
      <c r="M435" s="4287"/>
      <c r="N435" s="4287"/>
    </row>
    <row r="436" spans="2:14">
      <c r="B436" s="4309" t="str">
        <f>B33</f>
        <v xml:space="preserve">     of collection 6/30/2016)(Line 2 less Line 10)</v>
      </c>
      <c r="E436" s="4325">
        <f>IF(E433&lt;=0,0,E419-E433)</f>
        <v>0</v>
      </c>
      <c r="F436" s="4328"/>
      <c r="G436" s="4325">
        <f>IF(G433&lt;=0,0,G419-G433)</f>
        <v>0</v>
      </c>
      <c r="H436" s="4328"/>
      <c r="I436" s="4325">
        <f>IF(I433&lt;=0,0,I419-I433)</f>
        <v>0</v>
      </c>
      <c r="J436" s="4328"/>
      <c r="K436" s="4325">
        <f>IF(K433&lt;=0,0,K419-K433)</f>
        <v>0</v>
      </c>
      <c r="L436" s="4325"/>
      <c r="M436" s="4287"/>
      <c r="N436" s="4287"/>
    </row>
    <row r="437" spans="2:14" ht="8.25" customHeight="1">
      <c r="E437" s="4324"/>
      <c r="F437" s="4324"/>
      <c r="G437" s="4324"/>
      <c r="H437" s="4324"/>
      <c r="I437" s="4324"/>
      <c r="J437" s="4324"/>
      <c r="K437" s="4324"/>
      <c r="L437" s="4356"/>
      <c r="M437" s="4287"/>
      <c r="N437" s="4287"/>
    </row>
    <row r="438" spans="2:14">
      <c r="B438" s="4309" t="s">
        <v>2025</v>
      </c>
      <c r="E438" s="4324"/>
      <c r="F438" s="4324"/>
      <c r="G438" s="4324"/>
      <c r="H438" s="4324"/>
      <c r="I438" s="4324"/>
      <c r="J438" s="4324"/>
      <c r="K438" s="4324"/>
      <c r="L438" s="4356"/>
      <c r="M438" s="4287"/>
      <c r="N438" s="4287"/>
    </row>
    <row r="439" spans="2:14">
      <c r="B439" s="4309" t="s">
        <v>2008</v>
      </c>
      <c r="E439" s="4324"/>
      <c r="F439" s="4324"/>
      <c r="G439" s="4324"/>
      <c r="H439" s="4324"/>
      <c r="I439" s="4324"/>
      <c r="J439" s="4324"/>
      <c r="K439" s="4324"/>
      <c r="L439" s="4356"/>
      <c r="M439" s="4287"/>
      <c r="N439" s="4287"/>
    </row>
    <row r="440" spans="2:14">
      <c r="B440" s="4309" t="str">
        <f>B37</f>
        <v xml:space="preserve">     (7-1-2016 to 12-31-2017) (Line 3 x 75%)</v>
      </c>
      <c r="E440" s="4325">
        <f>SUM(E421*0.75)</f>
        <v>0</v>
      </c>
      <c r="F440" s="4328"/>
      <c r="G440" s="4325">
        <f>SUM(G421*0.75)</f>
        <v>0</v>
      </c>
      <c r="H440" s="4328"/>
      <c r="I440" s="4325">
        <f>SUM(I421*0.75)</f>
        <v>0</v>
      </c>
      <c r="J440" s="4328"/>
      <c r="K440" s="4325">
        <f>SUM(K421*0.75)</f>
        <v>0</v>
      </c>
      <c r="L440" s="4356"/>
      <c r="M440" s="4287"/>
      <c r="N440" s="4287"/>
    </row>
    <row r="441" spans="2:14" ht="8.25" customHeight="1">
      <c r="E441" s="4356"/>
      <c r="F441" s="4356"/>
      <c r="G441" s="4356"/>
      <c r="H441" s="4356"/>
      <c r="I441" s="4356"/>
      <c r="J441" s="4356"/>
      <c r="K441" s="4356"/>
      <c r="L441" s="4356"/>
      <c r="M441" s="4287"/>
      <c r="N441" s="4287"/>
    </row>
    <row r="442" spans="2:14" ht="15">
      <c r="B442" s="4357" t="str">
        <f>B39</f>
        <v>Tax Collection Ratio (Jan, Mar, June)</v>
      </c>
      <c r="C442" s="4326"/>
      <c r="D442" s="4326"/>
      <c r="E442" s="4358">
        <f>IF(D419&lt;&gt;0,(E423+E425+E427+E429+E431)/E419*100,0)</f>
        <v>0</v>
      </c>
      <c r="F442" s="4335" t="s">
        <v>1124</v>
      </c>
      <c r="G442" s="4358">
        <f>IF(F419&lt;&gt;0,(G423+G425+G427+G429+G431)/G419*100,0)</f>
        <v>0</v>
      </c>
      <c r="H442" s="4335" t="s">
        <v>1124</v>
      </c>
      <c r="I442" s="4358">
        <f>IF(H419&lt;&gt;0,(I423+I425+I427+I429+I431)/I419*100,0)</f>
        <v>0</v>
      </c>
      <c r="J442" s="4335" t="s">
        <v>1124</v>
      </c>
      <c r="K442" s="4358">
        <f>IF(J419&lt;&gt;0,(K423+K425+K427+K429+K431)/K419*100,0)</f>
        <v>0</v>
      </c>
      <c r="L442" s="4335" t="s">
        <v>1124</v>
      </c>
      <c r="M442" s="4287"/>
      <c r="N442" s="4287"/>
    </row>
    <row r="443" spans="2:14" ht="13.5" customHeight="1">
      <c r="B443" s="4353"/>
      <c r="C443" s="4353"/>
      <c r="D443" s="4353"/>
      <c r="E443" s="4353"/>
      <c r="F443" s="4353"/>
      <c r="G443" s="4353"/>
      <c r="H443" s="4353"/>
      <c r="I443" s="4353"/>
      <c r="J443" s="4353"/>
      <c r="K443" s="4353"/>
      <c r="L443" s="4353"/>
      <c r="M443" s="4353"/>
    </row>
    <row r="444" spans="2:14" ht="3" hidden="1" customHeight="1">
      <c r="B444" s="4353"/>
      <c r="C444" s="4353"/>
      <c r="D444" s="4353"/>
      <c r="E444" s="4353"/>
      <c r="F444" s="4353"/>
      <c r="G444" s="4353"/>
      <c r="H444" s="4353"/>
      <c r="I444" s="4353"/>
      <c r="J444" s="4353"/>
      <c r="K444" s="4353"/>
      <c r="L444" s="4353"/>
      <c r="M444" s="4353"/>
    </row>
    <row r="445" spans="2:14" ht="3.75" hidden="1" customHeight="1">
      <c r="B445" s="4353"/>
      <c r="C445" s="4353"/>
      <c r="D445" s="4353"/>
      <c r="E445" s="4353"/>
      <c r="F445" s="4353"/>
      <c r="G445" s="4353"/>
      <c r="H445" s="4353"/>
      <c r="I445" s="4353"/>
      <c r="J445" s="4353"/>
      <c r="K445" s="4353"/>
      <c r="L445" s="4353"/>
      <c r="M445" s="4353"/>
    </row>
    <row r="446" spans="2:14" ht="0.75" hidden="1" customHeight="1">
      <c r="B446" s="4353"/>
      <c r="C446" s="4353"/>
      <c r="D446" s="4353"/>
      <c r="E446" s="4353"/>
      <c r="F446" s="4353"/>
      <c r="G446" s="4353"/>
      <c r="H446" s="4353"/>
      <c r="I446" s="4353"/>
      <c r="J446" s="4353"/>
      <c r="K446" s="4353"/>
      <c r="L446" s="4353"/>
      <c r="M446" s="4353"/>
    </row>
    <row r="447" spans="2:14" ht="0.75" hidden="1" customHeight="1"/>
    <row r="448" spans="2:14">
      <c r="B448" s="4351" t="str">
        <f>B97</f>
        <v>*Amounts are available from the County Treasurer.       **These Jan.-June, 2016 amounts are available from the County Treasurer.  (Should correspond to school</v>
      </c>
    </row>
    <row r="449" spans="2:13">
      <c r="B449" s="4351" t="str">
        <f>B98</f>
        <v xml:space="preserve"> records and does not include MVPT.)   Include Watercraft Tax if USD received payment direct from county.</v>
      </c>
    </row>
    <row r="450" spans="2:13" ht="15">
      <c r="B450" s="4309" t="s">
        <v>1987</v>
      </c>
      <c r="M450" s="4310" t="s">
        <v>2035</v>
      </c>
    </row>
    <row r="451" spans="2:13">
      <c r="B451" s="4311">
        <f>B2</f>
        <v>42522</v>
      </c>
      <c r="C451" s="4312"/>
      <c r="D451" s="4312"/>
      <c r="G451" s="4314" t="s">
        <v>1989</v>
      </c>
      <c r="H451" s="4314"/>
      <c r="I451" s="4316" t="str">
        <f>I356</f>
        <v>270 - Plainville</v>
      </c>
      <c r="J451" s="4316"/>
      <c r="K451" s="4316"/>
      <c r="L451" s="4314" t="s">
        <v>1990</v>
      </c>
      <c r="M451" s="4317">
        <f>M356</f>
        <v>270</v>
      </c>
    </row>
    <row r="452" spans="2:13">
      <c r="K452" s="4314" t="s">
        <v>1112</v>
      </c>
      <c r="M452" s="4316" t="str">
        <f>M357</f>
        <v>Ellis</v>
      </c>
    </row>
    <row r="453" spans="2:13" ht="8.25" customHeight="1">
      <c r="E453" s="4320"/>
      <c r="F453" s="4320"/>
      <c r="G453" s="4320"/>
      <c r="H453" s="4320"/>
      <c r="I453" s="4320"/>
      <c r="J453" s="4320"/>
      <c r="K453" s="4321"/>
      <c r="L453" s="4321"/>
      <c r="M453" s="4320"/>
    </row>
    <row r="454" spans="2:13">
      <c r="B454" s="4320" t="str">
        <f>B5</f>
        <v>2016-2017</v>
      </c>
      <c r="C454" s="4320"/>
      <c r="D454" s="4320"/>
      <c r="E454" s="4320"/>
      <c r="F454" s="4320"/>
      <c r="G454" s="4320"/>
      <c r="H454" s="4320"/>
      <c r="I454" s="4320"/>
      <c r="J454" s="4320"/>
      <c r="K454" s="4320"/>
      <c r="L454" s="4320"/>
      <c r="M454" s="4320"/>
    </row>
    <row r="455" spans="2:13">
      <c r="B455" s="4320" t="s">
        <v>1993</v>
      </c>
      <c r="C455" s="4320"/>
      <c r="D455" s="4320"/>
      <c r="E455" s="4320"/>
      <c r="F455" s="4320"/>
      <c r="G455" s="4320"/>
      <c r="H455" s="4320"/>
      <c r="I455" s="4320"/>
      <c r="J455" s="4320"/>
      <c r="K455" s="4320"/>
      <c r="L455" s="4320"/>
      <c r="M455" s="4320"/>
    </row>
    <row r="456" spans="2:13">
      <c r="B456" s="4320" t="s">
        <v>1994</v>
      </c>
      <c r="C456" s="4320"/>
      <c r="D456" s="4320"/>
      <c r="E456" s="4320"/>
      <c r="F456" s="4320"/>
      <c r="G456" s="4320"/>
      <c r="H456" s="4320"/>
      <c r="I456" s="4320"/>
      <c r="J456" s="4320"/>
      <c r="K456" s="4320"/>
      <c r="L456" s="4320"/>
      <c r="M456" s="4320"/>
    </row>
    <row r="457" spans="2:13" ht="15">
      <c r="B457" s="4322" t="s">
        <v>1995</v>
      </c>
      <c r="C457" s="4322"/>
      <c r="D457" s="4322"/>
      <c r="E457" s="4320"/>
      <c r="F457" s="4320"/>
      <c r="G457" s="4320"/>
      <c r="H457" s="4320"/>
      <c r="I457" s="4320"/>
      <c r="J457" s="4320"/>
      <c r="K457" s="4320"/>
      <c r="L457" s="4320"/>
      <c r="M457" s="4320"/>
    </row>
    <row r="458" spans="2:13" ht="8.25" customHeight="1">
      <c r="E458" s="4318"/>
      <c r="F458" s="4318"/>
      <c r="G458" s="4318"/>
      <c r="H458" s="4318"/>
      <c r="I458" s="4318"/>
      <c r="J458" s="4318"/>
      <c r="K458" s="4318"/>
      <c r="L458" s="4318"/>
      <c r="M458" s="4318"/>
    </row>
    <row r="459" spans="2:13" ht="15">
      <c r="E459" s="4318" t="s">
        <v>2036</v>
      </c>
      <c r="F459" s="4318"/>
      <c r="G459" s="4318" t="s">
        <v>2037</v>
      </c>
      <c r="H459" s="4318"/>
      <c r="I459" s="4318" t="s">
        <v>2038</v>
      </c>
      <c r="J459" s="4318"/>
      <c r="K459" s="4318" t="s">
        <v>2039</v>
      </c>
      <c r="L459" s="4318"/>
      <c r="M459" s="4318" t="s">
        <v>2040</v>
      </c>
    </row>
    <row r="460" spans="2:13" ht="15">
      <c r="E460" s="4318" t="s">
        <v>2041</v>
      </c>
      <c r="F460" s="4318"/>
      <c r="G460" s="4318" t="s">
        <v>2042</v>
      </c>
      <c r="H460" s="4318"/>
      <c r="I460" s="4318" t="s">
        <v>2043</v>
      </c>
      <c r="J460" s="4318"/>
      <c r="K460" s="4318" t="s">
        <v>2044</v>
      </c>
      <c r="L460" s="4318"/>
      <c r="M460" s="4318" t="s">
        <v>2045</v>
      </c>
    </row>
    <row r="461" spans="2:13" ht="7.5" customHeight="1"/>
    <row r="462" spans="2:13">
      <c r="B462" s="4309" t="str">
        <f>B14</f>
        <v>1.  County Treasurer Balance 6/30/2016 *</v>
      </c>
      <c r="E462" s="4384"/>
      <c r="F462" s="4383"/>
      <c r="G462" s="4384"/>
      <c r="H462" s="4383"/>
      <c r="I462" s="4384"/>
      <c r="J462" s="4383"/>
      <c r="K462" s="4384"/>
      <c r="M462" s="4384"/>
    </row>
    <row r="463" spans="2:13" ht="7.5" customHeight="1">
      <c r="B463" s="4326"/>
      <c r="C463" s="4326"/>
      <c r="D463" s="4326"/>
      <c r="E463" s="4385"/>
      <c r="F463" s="4385"/>
      <c r="G463" s="4385"/>
      <c r="H463" s="4385"/>
      <c r="I463" s="4385"/>
      <c r="J463" s="4385"/>
      <c r="K463" s="4385"/>
      <c r="M463" s="4385"/>
    </row>
    <row r="464" spans="2:13">
      <c r="B464" s="4309" t="str">
        <f>B16</f>
        <v>2.  2015 Actual Taxes Levied*</v>
      </c>
      <c r="E464" s="4384"/>
      <c r="F464" s="4383"/>
      <c r="G464" s="4384"/>
      <c r="H464" s="4383"/>
      <c r="I464" s="4384"/>
      <c r="J464" s="4383"/>
      <c r="K464" s="4384"/>
      <c r="M464" s="4384"/>
    </row>
    <row r="465" spans="2:13" ht="6.75" customHeight="1">
      <c r="E465" s="4383"/>
      <c r="F465" s="4383"/>
      <c r="G465" s="4383"/>
      <c r="H465" s="4383"/>
      <c r="I465" s="4383"/>
      <c r="J465" s="4383"/>
      <c r="K465" s="4383"/>
      <c r="M465" s="4383"/>
    </row>
    <row r="466" spans="2:13">
      <c r="B466" s="4309" t="s">
        <v>2023</v>
      </c>
      <c r="C466" s="4347">
        <f>C373</f>
        <v>4</v>
      </c>
      <c r="D466" s="4356"/>
      <c r="E466" s="4325">
        <f>E464*$C$466/100</f>
        <v>0</v>
      </c>
      <c r="F466" s="4328"/>
      <c r="G466" s="4325">
        <f>G464*$C$466/100</f>
        <v>0</v>
      </c>
      <c r="H466" s="4328"/>
      <c r="I466" s="4325">
        <f>I464*$C$466/100</f>
        <v>0</v>
      </c>
      <c r="J466" s="4328"/>
      <c r="K466" s="4325">
        <f>K464*$C$466/100</f>
        <v>0</v>
      </c>
      <c r="L466" s="4328"/>
      <c r="M466" s="4325">
        <f>M464*$C$466/100</f>
        <v>0</v>
      </c>
    </row>
    <row r="467" spans="2:13" ht="6.75" customHeight="1">
      <c r="E467" s="4383"/>
      <c r="F467" s="4383"/>
      <c r="G467" s="4383"/>
      <c r="H467" s="4383"/>
      <c r="I467" s="4383"/>
      <c r="J467" s="4383"/>
      <c r="K467" s="4383"/>
      <c r="M467" s="4383"/>
    </row>
    <row r="468" spans="2:13">
      <c r="B468" s="4309" t="str">
        <f>B20</f>
        <v>4.  Less:  Jan. 20, 2016 Taxes received**</v>
      </c>
      <c r="E468" s="4384"/>
      <c r="F468" s="4383"/>
      <c r="G468" s="4384"/>
      <c r="H468" s="4383"/>
      <c r="I468" s="4384"/>
      <c r="J468" s="4383"/>
      <c r="K468" s="4384"/>
      <c r="M468" s="4384"/>
    </row>
    <row r="469" spans="2:13" ht="8.25" customHeight="1">
      <c r="E469" s="4324"/>
      <c r="F469" s="4383"/>
      <c r="G469" s="4383"/>
      <c r="H469" s="4383"/>
      <c r="I469" s="4383"/>
      <c r="J469" s="4383"/>
      <c r="K469" s="4383"/>
      <c r="M469" s="4383"/>
    </row>
    <row r="470" spans="2:13">
      <c r="B470" s="4309" t="str">
        <f>B22</f>
        <v>5.  Less:  Mar. 20, 2016  Taxes received**</v>
      </c>
      <c r="E470" s="4384"/>
      <c r="F470" s="4383"/>
      <c r="G470" s="4384"/>
      <c r="H470" s="4383"/>
      <c r="I470" s="4384"/>
      <c r="J470" s="4383"/>
      <c r="K470" s="4384"/>
      <c r="M470" s="4384"/>
    </row>
    <row r="471" spans="2:13" ht="7.5" customHeight="1">
      <c r="E471" s="4376"/>
      <c r="F471" s="4383"/>
      <c r="G471" s="4376"/>
      <c r="H471" s="4383"/>
      <c r="I471" s="4376"/>
      <c r="J471" s="4383"/>
      <c r="K471" s="4376"/>
      <c r="M471" s="4376"/>
    </row>
    <row r="472" spans="2:13">
      <c r="B472" s="4309" t="str">
        <f>B24</f>
        <v>6.  Less:  June 5,  2016 Taxes received**</v>
      </c>
      <c r="E472" s="4384"/>
      <c r="F472" s="4383"/>
      <c r="G472" s="4384"/>
      <c r="H472" s="4383"/>
      <c r="I472" s="4384"/>
      <c r="J472" s="4383"/>
      <c r="K472" s="4384"/>
      <c r="M472" s="4384"/>
    </row>
    <row r="473" spans="2:13" ht="9" customHeight="1">
      <c r="E473" s="4376"/>
      <c r="F473" s="4383"/>
      <c r="G473" s="4376"/>
      <c r="H473" s="4383"/>
      <c r="I473" s="4376"/>
      <c r="J473" s="4383"/>
      <c r="K473" s="4376"/>
      <c r="M473" s="4376"/>
    </row>
    <row r="474" spans="2:13">
      <c r="B474" s="4309" t="s">
        <v>2003</v>
      </c>
      <c r="E474" s="4384"/>
      <c r="F474" s="4383"/>
      <c r="G474" s="4384"/>
      <c r="H474" s="4383"/>
      <c r="I474" s="4384"/>
      <c r="J474" s="4383"/>
      <c r="K474" s="4384"/>
      <c r="M474" s="4384"/>
    </row>
    <row r="475" spans="2:13" ht="8.25" customHeight="1">
      <c r="E475" s="4383"/>
      <c r="F475" s="4383"/>
      <c r="G475" s="4383"/>
      <c r="H475" s="4383"/>
      <c r="I475" s="4383"/>
      <c r="J475" s="4383"/>
      <c r="K475" s="4383"/>
      <c r="M475" s="4383"/>
    </row>
    <row r="476" spans="2:13">
      <c r="B476" s="4309" t="s">
        <v>2004</v>
      </c>
      <c r="E476" s="4384"/>
      <c r="F476" s="4383"/>
      <c r="G476" s="4384"/>
      <c r="H476" s="4383"/>
      <c r="I476" s="4384"/>
      <c r="J476" s="4383"/>
      <c r="K476" s="4384"/>
      <c r="M476" s="4384"/>
    </row>
    <row r="477" spans="2:13">
      <c r="B477" s="4309" t="s">
        <v>2005</v>
      </c>
      <c r="E477" s="4392"/>
      <c r="F477" s="4383"/>
      <c r="G477" s="4392"/>
      <c r="H477" s="4383"/>
      <c r="I477" s="4392"/>
      <c r="J477" s="4383"/>
      <c r="K477" s="4392"/>
      <c r="M477" s="4392"/>
    </row>
    <row r="478" spans="2:13">
      <c r="B478" s="4309" t="s">
        <v>2024</v>
      </c>
      <c r="E478" s="4325">
        <f>SUM(E466:E477)</f>
        <v>0</v>
      </c>
      <c r="F478" s="4328"/>
      <c r="G478" s="4325">
        <f>SUM(G466:G477)</f>
        <v>0</v>
      </c>
      <c r="H478" s="4328"/>
      <c r="I478" s="4325">
        <f>SUM(I466:I477)</f>
        <v>0</v>
      </c>
      <c r="J478" s="4328"/>
      <c r="K478" s="4325">
        <f>SUM(K466:K477)</f>
        <v>0</v>
      </c>
      <c r="L478" s="4356"/>
      <c r="M478" s="4325">
        <f>SUM(M466:M477)</f>
        <v>0</v>
      </c>
    </row>
    <row r="479" spans="2:13" ht="8.25" customHeight="1">
      <c r="E479" s="4324"/>
      <c r="F479" s="4324"/>
      <c r="G479" s="4324"/>
      <c r="H479" s="4324"/>
      <c r="I479" s="4324"/>
      <c r="J479" s="4324"/>
      <c r="K479" s="4324"/>
      <c r="L479" s="4356"/>
      <c r="M479" s="4324"/>
    </row>
    <row r="480" spans="2:13">
      <c r="B480" s="4309" t="str">
        <f>B32</f>
        <v>11. 2015 taxes receivable (taxes in process</v>
      </c>
      <c r="E480" s="4324"/>
      <c r="F480" s="4324"/>
      <c r="G480" s="4324"/>
      <c r="H480" s="4324"/>
      <c r="I480" s="4324"/>
      <c r="J480" s="4324"/>
      <c r="K480" s="4324"/>
      <c r="L480" s="4356"/>
      <c r="M480" s="4324"/>
    </row>
    <row r="481" spans="2:14">
      <c r="B481" s="4309" t="str">
        <f>B33</f>
        <v xml:space="preserve">     of collection 6/30/2016)(Line 2 less Line 10)</v>
      </c>
      <c r="E481" s="4325">
        <f>IF(E478&lt;=0,0,E464-E478)</f>
        <v>0</v>
      </c>
      <c r="F481" s="4328"/>
      <c r="G481" s="4325">
        <f>IF(G478&lt;=0,0,G464-G478)</f>
        <v>0</v>
      </c>
      <c r="H481" s="4328"/>
      <c r="I481" s="4325">
        <f>IF(I478&lt;=0,0,I464-I478)</f>
        <v>0</v>
      </c>
      <c r="J481" s="4328"/>
      <c r="K481" s="4325">
        <f>IF(K478&lt;=0,0,K464-K478)</f>
        <v>0</v>
      </c>
      <c r="L481" s="4328"/>
      <c r="M481" s="4325">
        <f>IF(M478&lt;=0,0,M464-M478)</f>
        <v>0</v>
      </c>
    </row>
    <row r="482" spans="2:14" ht="7.5" customHeight="1">
      <c r="E482" s="4324"/>
      <c r="F482" s="4324"/>
      <c r="G482" s="4324"/>
      <c r="H482" s="4324"/>
      <c r="I482" s="4324"/>
      <c r="J482" s="4324"/>
      <c r="K482" s="4324"/>
      <c r="L482" s="4356"/>
      <c r="M482" s="4324"/>
    </row>
    <row r="483" spans="2:14">
      <c r="B483" s="4309" t="s">
        <v>2025</v>
      </c>
      <c r="E483" s="4324"/>
      <c r="F483" s="4324"/>
      <c r="G483" s="4324"/>
      <c r="H483" s="4324"/>
      <c r="I483" s="4324"/>
      <c r="J483" s="4324"/>
      <c r="K483" s="4324"/>
      <c r="L483" s="4356"/>
      <c r="M483" s="4324"/>
    </row>
    <row r="484" spans="2:14">
      <c r="B484" s="4309" t="s">
        <v>2008</v>
      </c>
      <c r="E484" s="4324"/>
      <c r="F484" s="4324"/>
      <c r="G484" s="4324"/>
      <c r="H484" s="4324"/>
      <c r="I484" s="4324"/>
      <c r="J484" s="4324"/>
      <c r="K484" s="4324"/>
      <c r="L484" s="4356"/>
      <c r="M484" s="4324"/>
    </row>
    <row r="485" spans="2:14">
      <c r="B485" s="4309" t="str">
        <f>B37</f>
        <v xml:space="preserve">     (7-1-2016 to 12-31-2017) (Line 3 x 75%)</v>
      </c>
      <c r="E485" s="4325">
        <f>SUM(E466*0.75)</f>
        <v>0</v>
      </c>
      <c r="F485" s="4328"/>
      <c r="G485" s="4325">
        <f>SUM(G466*0.75)</f>
        <v>0</v>
      </c>
      <c r="H485" s="4328"/>
      <c r="I485" s="4325">
        <f>SUM(I466*0.75)</f>
        <v>0</v>
      </c>
      <c r="J485" s="4328"/>
      <c r="K485" s="4325">
        <f>SUM(K466*0.75)</f>
        <v>0</v>
      </c>
      <c r="L485" s="4356"/>
      <c r="M485" s="4325">
        <f>SUM(M466*0.75)</f>
        <v>0</v>
      </c>
    </row>
    <row r="486" spans="2:14" ht="9" customHeight="1">
      <c r="E486" s="4356"/>
      <c r="F486" s="4356"/>
      <c r="G486" s="4356"/>
      <c r="H486" s="4356"/>
      <c r="I486" s="4356"/>
      <c r="J486" s="4356"/>
      <c r="K486" s="4356"/>
      <c r="L486" s="4356"/>
      <c r="M486" s="4356"/>
    </row>
    <row r="487" spans="2:14" ht="15">
      <c r="B487" s="4350" t="str">
        <f>B39</f>
        <v>Tax Collection Ratio (Jan, Mar, June)</v>
      </c>
      <c r="E487" s="4379">
        <f>IF(E464&lt;&gt;0,(E468+E470+E472+E474+E476)/E464*100,0)</f>
        <v>0</v>
      </c>
      <c r="F487" s="4335" t="s">
        <v>1124</v>
      </c>
      <c r="G487" s="4379">
        <f>IF(G464&lt;&gt;0,(G468+G470+G472+G474+G476)/G464*100,0)</f>
        <v>0</v>
      </c>
      <c r="H487" s="4335" t="s">
        <v>1124</v>
      </c>
      <c r="I487" s="4379">
        <f>IF(I464&lt;&gt;0,(I468+I470+I472+I474+I476)/I464*100,0)</f>
        <v>0</v>
      </c>
      <c r="J487" s="4335" t="s">
        <v>1124</v>
      </c>
      <c r="K487" s="4379">
        <f>IF(K464&lt;&gt;0,(K468+K470+K472+K474+K476)/K464*100,0)</f>
        <v>0</v>
      </c>
      <c r="L487" s="4335" t="s">
        <v>1124</v>
      </c>
      <c r="M487" s="4379">
        <f>IF(M464&lt;&gt;0,(M468+M470+M472+M474+M476)/M464*100,0)</f>
        <v>0</v>
      </c>
      <c r="N487" s="4333" t="s">
        <v>1124</v>
      </c>
    </row>
    <row r="488" spans="2:14" ht="11.25" customHeight="1"/>
    <row r="489" spans="2:14">
      <c r="B489" s="4351" t="str">
        <f>B97</f>
        <v>*Amounts are available from the County Treasurer.       **These Jan.-June, 2016 amounts are available from the County Treasurer.  (Should correspond to school</v>
      </c>
    </row>
    <row r="490" spans="2:14">
      <c r="B490" s="4351" t="str">
        <f>B98</f>
        <v xml:space="preserve"> records and does not include MVPT.)   Include Watercraft Tax if USD received payment direct from county.</v>
      </c>
    </row>
    <row r="491" spans="2:14" ht="15">
      <c r="B491" s="4309" t="s">
        <v>1987</v>
      </c>
      <c r="M491" s="4310" t="s">
        <v>2046</v>
      </c>
    </row>
    <row r="492" spans="2:14">
      <c r="B492" s="4311">
        <f>B2</f>
        <v>42522</v>
      </c>
      <c r="C492" s="4312"/>
      <c r="D492" s="4312"/>
      <c r="G492" s="4314" t="s">
        <v>1989</v>
      </c>
      <c r="H492" s="4314"/>
      <c r="I492" s="4316" t="str">
        <f>I356</f>
        <v>270 - Plainville</v>
      </c>
      <c r="J492" s="4316"/>
      <c r="K492" s="4316"/>
      <c r="L492" s="4314" t="s">
        <v>1990</v>
      </c>
      <c r="M492" s="4317">
        <f>M2</f>
        <v>270</v>
      </c>
    </row>
    <row r="493" spans="2:14">
      <c r="K493" s="4314" t="s">
        <v>1112</v>
      </c>
      <c r="M493" s="4316" t="str">
        <f>M357</f>
        <v>Ellis</v>
      </c>
    </row>
    <row r="494" spans="2:14" ht="6.75" customHeight="1">
      <c r="E494" s="4320"/>
      <c r="F494" s="4320"/>
      <c r="G494" s="4320"/>
      <c r="H494" s="4320"/>
      <c r="I494" s="4320"/>
      <c r="J494" s="4320"/>
      <c r="K494" s="4321"/>
      <c r="L494" s="4321"/>
      <c r="M494" s="4320"/>
    </row>
    <row r="495" spans="2:14">
      <c r="B495" s="4320" t="str">
        <f>B5</f>
        <v>2016-2017</v>
      </c>
      <c r="C495" s="4320"/>
      <c r="D495" s="4320"/>
      <c r="E495" s="4320"/>
      <c r="F495" s="4320"/>
      <c r="G495" s="4320"/>
      <c r="H495" s="4320"/>
      <c r="I495" s="4320"/>
      <c r="J495" s="4320"/>
      <c r="K495" s="4320"/>
      <c r="L495" s="4320"/>
      <c r="M495" s="4320"/>
    </row>
    <row r="496" spans="2:14">
      <c r="B496" s="4320" t="s">
        <v>1993</v>
      </c>
      <c r="C496" s="4320"/>
      <c r="D496" s="4320"/>
      <c r="E496" s="4320"/>
      <c r="F496" s="4320"/>
      <c r="G496" s="4320"/>
      <c r="H496" s="4320"/>
      <c r="I496" s="4320"/>
      <c r="J496" s="4320"/>
      <c r="K496" s="4320"/>
      <c r="L496" s="4320"/>
      <c r="M496" s="4320"/>
    </row>
    <row r="497" spans="2:15">
      <c r="B497" s="4320" t="s">
        <v>1994</v>
      </c>
      <c r="C497" s="4320"/>
      <c r="D497" s="4320"/>
      <c r="E497" s="4320"/>
      <c r="F497" s="4320"/>
      <c r="G497" s="4320"/>
      <c r="H497" s="4320"/>
      <c r="I497" s="4320"/>
      <c r="J497" s="4320"/>
      <c r="K497" s="4320"/>
      <c r="L497" s="4320"/>
      <c r="M497" s="4320"/>
    </row>
    <row r="498" spans="2:15" ht="15">
      <c r="B498" s="4322" t="s">
        <v>1995</v>
      </c>
      <c r="C498" s="4322"/>
      <c r="D498" s="4322"/>
      <c r="E498" s="4320"/>
      <c r="F498" s="4320"/>
      <c r="G498" s="4320"/>
      <c r="H498" s="4320"/>
      <c r="I498" s="4320"/>
      <c r="J498" s="4320"/>
      <c r="K498" s="4320"/>
      <c r="L498" s="4320"/>
      <c r="M498" s="4320"/>
    </row>
    <row r="499" spans="2:15" ht="6.75" customHeight="1">
      <c r="E499" s="4318"/>
      <c r="F499" s="4318"/>
      <c r="G499" s="4318"/>
      <c r="H499" s="4318"/>
      <c r="I499" s="4318"/>
      <c r="J499" s="4318"/>
      <c r="K499" s="4318"/>
      <c r="L499" s="4318"/>
      <c r="M499" s="4318"/>
    </row>
    <row r="500" spans="2:15" ht="15">
      <c r="E500" s="4380"/>
      <c r="F500" s="4318"/>
      <c r="G500" s="4318" t="str">
        <f>G149</f>
        <v>Rec. Comm</v>
      </c>
      <c r="H500" s="4318"/>
      <c r="I500" s="4318" t="s">
        <v>2047</v>
      </c>
      <c r="J500" s="4318"/>
      <c r="K500" s="4350" t="s">
        <v>2048</v>
      </c>
      <c r="L500" s="4318"/>
      <c r="M500" s="4356"/>
    </row>
    <row r="501" spans="2:15" ht="15">
      <c r="E501" s="4380" t="s">
        <v>2049</v>
      </c>
      <c r="F501" s="4318"/>
      <c r="G501" s="4318" t="str">
        <f>G150</f>
        <v>Emp Benef</v>
      </c>
      <c r="H501" s="4318"/>
      <c r="I501" s="4318" t="s">
        <v>2050</v>
      </c>
      <c r="J501" s="4318"/>
      <c r="K501" s="4318" t="s">
        <v>2051</v>
      </c>
      <c r="L501" s="4318"/>
      <c r="M501" s="4380" t="s">
        <v>2052</v>
      </c>
    </row>
    <row r="502" spans="2:15" ht="15">
      <c r="E502" s="4380" t="s">
        <v>2053</v>
      </c>
      <c r="G502" s="4318" t="str">
        <f>G151</f>
        <v>&amp; Spec Liab</v>
      </c>
      <c r="I502" s="4318" t="s">
        <v>2054</v>
      </c>
      <c r="K502" s="4318" t="s">
        <v>2055</v>
      </c>
      <c r="M502" s="4380" t="s">
        <v>2056</v>
      </c>
    </row>
    <row r="503" spans="2:15" ht="6" customHeight="1">
      <c r="G503" s="4350"/>
    </row>
    <row r="504" spans="2:15">
      <c r="B504" s="4309" t="str">
        <f>B14</f>
        <v>1.  County Treasurer Balance 6/30/2016 *</v>
      </c>
      <c r="E504" s="4388"/>
      <c r="F504" s="4383"/>
      <c r="G504" s="4384"/>
      <c r="H504" s="4383"/>
      <c r="I504" s="4384"/>
      <c r="J504" s="4383"/>
      <c r="K504" s="4384"/>
      <c r="M504" s="4388"/>
    </row>
    <row r="505" spans="2:15" ht="7.5" customHeight="1">
      <c r="B505" s="4326"/>
      <c r="C505" s="4326"/>
      <c r="D505" s="4326"/>
      <c r="E505" s="4385"/>
      <c r="F505" s="4385"/>
      <c r="G505" s="4385"/>
      <c r="H505" s="4385"/>
      <c r="I505" s="4385"/>
      <c r="J505" s="4385"/>
      <c r="K505" s="4385"/>
      <c r="M505" s="4385"/>
    </row>
    <row r="506" spans="2:15">
      <c r="B506" s="4309" t="str">
        <f>B16</f>
        <v>2.  2015 Actual Taxes Levied*</v>
      </c>
      <c r="E506" s="4388"/>
      <c r="F506" s="4383"/>
      <c r="G506" s="4384"/>
      <c r="H506" s="4383"/>
      <c r="I506" s="4384"/>
      <c r="J506" s="4383"/>
      <c r="K506" s="4384"/>
      <c r="M506" s="4388"/>
    </row>
    <row r="507" spans="2:15" ht="7.5" customHeight="1">
      <c r="E507" s="4383"/>
      <c r="F507" s="4383"/>
      <c r="G507" s="4383"/>
      <c r="H507" s="4383"/>
      <c r="I507" s="4383"/>
      <c r="J507" s="4383"/>
      <c r="K507" s="4383"/>
      <c r="M507" s="4383"/>
      <c r="O507" s="4393"/>
    </row>
    <row r="508" spans="2:15">
      <c r="B508" s="4309" t="s">
        <v>2023</v>
      </c>
      <c r="C508" s="4347">
        <f>C373</f>
        <v>4</v>
      </c>
      <c r="D508" s="4356"/>
      <c r="E508" s="4381">
        <f>E506*$C$508/100</f>
        <v>0</v>
      </c>
      <c r="F508" s="4328"/>
      <c r="G508" s="4325">
        <f>G506*$C$508/100</f>
        <v>0</v>
      </c>
      <c r="H508" s="4328"/>
      <c r="I508" s="4325">
        <f>I506*$C$508/100</f>
        <v>0</v>
      </c>
      <c r="J508" s="4328"/>
      <c r="K508" s="4325">
        <f>K506*$C$508/100</f>
        <v>0</v>
      </c>
      <c r="L508" s="4328"/>
      <c r="M508" s="4325">
        <f>M506*$C$508/100</f>
        <v>0</v>
      </c>
    </row>
    <row r="509" spans="2:15" ht="7.5" customHeight="1">
      <c r="E509" s="4383"/>
      <c r="F509" s="4383"/>
      <c r="G509" s="4383"/>
      <c r="H509" s="4383"/>
      <c r="I509" s="4383"/>
      <c r="J509" s="4383"/>
      <c r="K509" s="4383"/>
      <c r="M509" s="4383"/>
    </row>
    <row r="510" spans="2:15">
      <c r="B510" s="4309" t="str">
        <f>B20</f>
        <v>4.  Less:  Jan. 20, 2016 Taxes received**</v>
      </c>
      <c r="E510" s="4388"/>
      <c r="F510" s="4383"/>
      <c r="G510" s="4384"/>
      <c r="H510" s="4383"/>
      <c r="I510" s="4384"/>
      <c r="J510" s="4383"/>
      <c r="K510" s="4384"/>
      <c r="M510" s="4388"/>
    </row>
    <row r="511" spans="2:15" ht="8.25" customHeight="1">
      <c r="E511" s="4383"/>
      <c r="F511" s="4383"/>
      <c r="G511" s="4383"/>
      <c r="H511" s="4383"/>
      <c r="I511" s="4383"/>
      <c r="J511" s="4383"/>
      <c r="K511" s="4383"/>
      <c r="M511" s="4383"/>
    </row>
    <row r="512" spans="2:15">
      <c r="B512" s="4309" t="str">
        <f>B22</f>
        <v>5.  Less:  Mar. 20, 2016  Taxes received**</v>
      </c>
      <c r="E512" s="4388"/>
      <c r="F512" s="4383"/>
      <c r="G512" s="4384"/>
      <c r="H512" s="4383"/>
      <c r="I512" s="4384"/>
      <c r="J512" s="4383"/>
      <c r="K512" s="4384"/>
      <c r="M512" s="4388"/>
    </row>
    <row r="513" spans="2:13" ht="8.25" customHeight="1">
      <c r="E513" s="4376"/>
      <c r="F513" s="4383"/>
      <c r="G513" s="4376"/>
      <c r="H513" s="4383"/>
      <c r="I513" s="4376"/>
      <c r="J513" s="4383"/>
      <c r="K513" s="4376"/>
      <c r="M513" s="4376"/>
    </row>
    <row r="514" spans="2:13">
      <c r="B514" s="4309" t="str">
        <f>B24</f>
        <v>6.  Less:  June 5,  2016 Taxes received**</v>
      </c>
      <c r="E514" s="4388"/>
      <c r="F514" s="4383"/>
      <c r="G514" s="4384"/>
      <c r="H514" s="4383"/>
      <c r="I514" s="4384"/>
      <c r="J514" s="4383"/>
      <c r="K514" s="4384"/>
      <c r="M514" s="4388"/>
    </row>
    <row r="515" spans="2:13" ht="8.25" customHeight="1">
      <c r="E515" s="4328"/>
      <c r="F515" s="4383"/>
      <c r="G515" s="4328"/>
      <c r="H515" s="4383"/>
      <c r="I515" s="4376"/>
      <c r="J515" s="4383"/>
      <c r="K515" s="4376"/>
      <c r="M515" s="4376"/>
    </row>
    <row r="516" spans="2:13">
      <c r="B516" s="4309" t="s">
        <v>2003</v>
      </c>
      <c r="E516" s="4388"/>
      <c r="F516" s="4383"/>
      <c r="G516" s="4384"/>
      <c r="H516" s="4383"/>
      <c r="I516" s="4384"/>
      <c r="J516" s="4383"/>
      <c r="K516" s="4384"/>
      <c r="M516" s="4388"/>
    </row>
    <row r="517" spans="2:13" ht="8.25" customHeight="1">
      <c r="E517" s="4383"/>
      <c r="F517" s="4383"/>
      <c r="G517" s="4383"/>
      <c r="H517" s="4383"/>
      <c r="I517" s="4383"/>
      <c r="J517" s="4383"/>
      <c r="K517" s="4383"/>
      <c r="M517" s="4383"/>
    </row>
    <row r="518" spans="2:13">
      <c r="B518" s="4309" t="s">
        <v>2004</v>
      </c>
      <c r="E518" s="4388"/>
      <c r="F518" s="4383"/>
      <c r="G518" s="4384"/>
      <c r="H518" s="4383"/>
      <c r="I518" s="4384"/>
      <c r="J518" s="4383"/>
      <c r="K518" s="4384"/>
      <c r="M518" s="4388"/>
    </row>
    <row r="519" spans="2:13">
      <c r="B519" s="4309" t="s">
        <v>2005</v>
      </c>
      <c r="E519" s="4389"/>
      <c r="F519" s="4383"/>
      <c r="G519" s="4386"/>
      <c r="H519" s="4383"/>
      <c r="I519" s="4386"/>
      <c r="J519" s="4383"/>
      <c r="K519" s="4386"/>
      <c r="M519" s="4389"/>
    </row>
    <row r="520" spans="2:13">
      <c r="B520" s="4309" t="s">
        <v>2024</v>
      </c>
      <c r="E520" s="4381">
        <f>SUM(E508:E519)</f>
        <v>0</v>
      </c>
      <c r="F520" s="4328"/>
      <c r="G520" s="4325">
        <f>SUM(G508:G519)</f>
        <v>0</v>
      </c>
      <c r="H520" s="4328"/>
      <c r="I520" s="4325">
        <f>SUM(I508:I519)</f>
        <v>0</v>
      </c>
      <c r="J520" s="4328"/>
      <c r="K520" s="4325">
        <f>SUM(K508:K519)</f>
        <v>0</v>
      </c>
      <c r="L520" s="4356"/>
      <c r="M520" s="4325">
        <f>SUM(M508:M519)</f>
        <v>0</v>
      </c>
    </row>
    <row r="521" spans="2:13" ht="7.5" customHeight="1">
      <c r="E521" s="4324"/>
      <c r="F521" s="4324"/>
      <c r="G521" s="4324"/>
      <c r="H521" s="4324"/>
      <c r="I521" s="4324"/>
      <c r="J521" s="4324"/>
      <c r="K521" s="4324"/>
      <c r="L521" s="4356"/>
      <c r="M521" s="4324"/>
    </row>
    <row r="522" spans="2:13">
      <c r="B522" s="4309" t="str">
        <f>B32</f>
        <v>11. 2015 taxes receivable (taxes in process</v>
      </c>
      <c r="E522" s="4324"/>
      <c r="F522" s="4324"/>
      <c r="G522" s="4324"/>
      <c r="H522" s="4324"/>
      <c r="I522" s="4324"/>
      <c r="J522" s="4324"/>
      <c r="K522" s="4324"/>
      <c r="L522" s="4356"/>
      <c r="M522" s="4324"/>
    </row>
    <row r="523" spans="2:13">
      <c r="B523" s="4309" t="str">
        <f>B33</f>
        <v xml:space="preserve">     of collection 6/30/2016)(Line 2 less Line 10)</v>
      </c>
      <c r="E523" s="4381">
        <f>IF(E520&lt;=0,0,E506-E520)</f>
        <v>0</v>
      </c>
      <c r="F523" s="4328"/>
      <c r="G523" s="4325">
        <f>IF(G520&lt;=0,0,G506-G520)</f>
        <v>0</v>
      </c>
      <c r="H523" s="4328"/>
      <c r="I523" s="4325">
        <f>IF(I520&lt;=0,0,I506-I520)</f>
        <v>0</v>
      </c>
      <c r="J523" s="4328"/>
      <c r="K523" s="4325">
        <f>IF(K520&lt;=0,0,K506-K520)</f>
        <v>0</v>
      </c>
      <c r="L523" s="4328"/>
      <c r="M523" s="4325">
        <f>IF(M520&lt;=0,0,M506-M520)</f>
        <v>0</v>
      </c>
    </row>
    <row r="524" spans="2:13" ht="7.5" customHeight="1">
      <c r="E524" s="4324"/>
      <c r="F524" s="4324"/>
      <c r="G524" s="4324"/>
      <c r="H524" s="4324"/>
      <c r="I524" s="4324"/>
      <c r="J524" s="4324"/>
      <c r="K524" s="4324"/>
      <c r="L524" s="4356"/>
      <c r="M524" s="4324"/>
    </row>
    <row r="525" spans="2:13">
      <c r="B525" s="4309" t="s">
        <v>2025</v>
      </c>
      <c r="E525" s="4324"/>
      <c r="F525" s="4324"/>
      <c r="G525" s="4324"/>
      <c r="H525" s="4324"/>
      <c r="I525" s="4324"/>
      <c r="J525" s="4324"/>
      <c r="K525" s="4324"/>
      <c r="L525" s="4356"/>
      <c r="M525" s="4324"/>
    </row>
    <row r="526" spans="2:13">
      <c r="B526" s="4309" t="s">
        <v>2008</v>
      </c>
      <c r="E526" s="4324"/>
      <c r="F526" s="4324"/>
      <c r="G526" s="4324"/>
      <c r="H526" s="4324"/>
      <c r="I526" s="4324"/>
      <c r="J526" s="4324"/>
      <c r="K526" s="4324"/>
      <c r="L526" s="4356"/>
      <c r="M526" s="4324"/>
    </row>
    <row r="527" spans="2:13">
      <c r="B527" s="4309" t="str">
        <f>B37</f>
        <v xml:space="preserve">     (7-1-2016 to 12-31-2017) (Line 3 x 75%)</v>
      </c>
      <c r="E527" s="4381">
        <f>SUM(E508*0.75)</f>
        <v>0</v>
      </c>
      <c r="F527" s="4328"/>
      <c r="G527" s="4325">
        <f>SUM(G508*0.75)</f>
        <v>0</v>
      </c>
      <c r="H527" s="4328"/>
      <c r="I527" s="4325">
        <f>SUM(I508*0.75)</f>
        <v>0</v>
      </c>
      <c r="J527" s="4328"/>
      <c r="K527" s="4325">
        <f>SUM(K508*0.75)</f>
        <v>0</v>
      </c>
      <c r="L527" s="4356"/>
      <c r="M527" s="4325">
        <f>SUM(M508*0.75)</f>
        <v>0</v>
      </c>
    </row>
    <row r="528" spans="2:13" ht="7.5" customHeight="1">
      <c r="E528" s="4356"/>
      <c r="F528" s="4356"/>
      <c r="G528" s="4356"/>
      <c r="H528" s="4356"/>
      <c r="I528" s="4356"/>
      <c r="J528" s="4356"/>
      <c r="K528" s="4356"/>
      <c r="L528" s="4356"/>
      <c r="M528" s="4356"/>
    </row>
    <row r="529" spans="2:14" ht="15">
      <c r="B529" s="4350" t="str">
        <f>B39</f>
        <v>Tax Collection Ratio (Jan, Mar, June)</v>
      </c>
      <c r="E529" s="4379">
        <f>IF(E506&lt;&gt;0,(E510+E512+E514+E516+E518)/E506*100,0)</f>
        <v>0</v>
      </c>
      <c r="F529" s="4335" t="s">
        <v>1124</v>
      </c>
      <c r="G529" s="4379">
        <f>IF(G506&lt;&gt;0,(G510+G512+G514+G516+G518)/G506*100,0)</f>
        <v>0</v>
      </c>
      <c r="H529" s="4335" t="s">
        <v>1124</v>
      </c>
      <c r="I529" s="4379">
        <f>IF(I506&lt;&gt;0,(I510+I512+I514+I516+I518)/I506*100,0)</f>
        <v>0</v>
      </c>
      <c r="J529" s="4335" t="s">
        <v>1124</v>
      </c>
      <c r="K529" s="4379">
        <f>IF(K506&lt;&gt;0,(K510+K512+K514+K516+K518)/K506*100,0)</f>
        <v>0</v>
      </c>
      <c r="L529" s="4335" t="s">
        <v>1124</v>
      </c>
      <c r="M529" s="4379">
        <f>IF(M506&lt;&gt;0,(M510+M512+M514+M516+M518)/M506*100,0)</f>
        <v>0</v>
      </c>
      <c r="N529" s="4333" t="s">
        <v>1124</v>
      </c>
    </row>
    <row r="530" spans="2:14" ht="6" customHeight="1"/>
    <row r="531" spans="2:14">
      <c r="B531" s="4351" t="str">
        <f>B97</f>
        <v>*Amounts are available from the County Treasurer.       **These Jan.-June, 2016 amounts are available from the County Treasurer.  (Should correspond to school</v>
      </c>
    </row>
    <row r="532" spans="2:14">
      <c r="B532" s="4351" t="str">
        <f>B98</f>
        <v xml:space="preserve"> records and does not include MVPT.)   Include Watercraft Tax if USD received payment direct from county.</v>
      </c>
    </row>
    <row r="533" spans="2:14" ht="15">
      <c r="B533" s="4309" t="s">
        <v>1987</v>
      </c>
      <c r="M533" s="4310" t="s">
        <v>1988</v>
      </c>
    </row>
    <row r="534" spans="2:14">
      <c r="B534" s="4311">
        <f>B2</f>
        <v>42522</v>
      </c>
      <c r="C534" s="4312"/>
      <c r="D534" s="4312"/>
      <c r="F534" s="4314"/>
      <c r="G534" s="4314" t="s">
        <v>1989</v>
      </c>
      <c r="H534" s="4314"/>
      <c r="I534" s="4315" t="str">
        <f>I2</f>
        <v>270 - Plainville</v>
      </c>
      <c r="J534" s="4316"/>
      <c r="K534" s="4316"/>
      <c r="L534" s="4314" t="s">
        <v>1990</v>
      </c>
      <c r="M534" s="4317">
        <f>M2</f>
        <v>270</v>
      </c>
    </row>
    <row r="535" spans="2:14">
      <c r="K535" s="4314" t="s">
        <v>1112</v>
      </c>
      <c r="M535" s="4390">
        <v>0</v>
      </c>
    </row>
    <row r="536" spans="2:14">
      <c r="E536" s="4320"/>
      <c r="F536" s="4320"/>
      <c r="G536" s="4320"/>
      <c r="H536" s="4320"/>
      <c r="I536" s="4320"/>
      <c r="J536" s="4320"/>
      <c r="K536" s="4321"/>
      <c r="L536" s="4321"/>
      <c r="M536" s="4320"/>
    </row>
    <row r="537" spans="2:14" ht="7.5" customHeight="1">
      <c r="E537" s="4320"/>
      <c r="F537" s="4320"/>
      <c r="G537" s="4320"/>
      <c r="H537" s="4320"/>
      <c r="I537" s="4320"/>
      <c r="J537" s="4320"/>
      <c r="K537" s="4321"/>
      <c r="L537" s="4321"/>
      <c r="M537" s="4320"/>
    </row>
    <row r="538" spans="2:14">
      <c r="B538" s="4320" t="str">
        <f>B5</f>
        <v>2016-2017</v>
      </c>
      <c r="C538" s="4320"/>
      <c r="D538" s="4320"/>
      <c r="E538" s="4320"/>
      <c r="F538" s="4320"/>
      <c r="G538" s="4320"/>
      <c r="H538" s="4320"/>
      <c r="I538" s="4320"/>
      <c r="J538" s="4320"/>
      <c r="K538" s="4320"/>
      <c r="L538" s="4320"/>
      <c r="M538" s="4320"/>
    </row>
    <row r="539" spans="2:14">
      <c r="B539" s="4320" t="s">
        <v>1993</v>
      </c>
      <c r="C539" s="4320"/>
      <c r="D539" s="4320"/>
      <c r="E539" s="4320"/>
      <c r="F539" s="4320"/>
      <c r="G539" s="4320"/>
      <c r="H539" s="4320"/>
      <c r="I539" s="4320"/>
      <c r="J539" s="4320"/>
      <c r="K539" s="4320"/>
      <c r="L539" s="4320"/>
      <c r="M539" s="4320"/>
    </row>
    <row r="540" spans="2:14">
      <c r="B540" s="4320" t="s">
        <v>1994</v>
      </c>
      <c r="C540" s="4320"/>
      <c r="D540" s="4320"/>
      <c r="E540" s="4320"/>
      <c r="F540" s="4320"/>
      <c r="G540" s="4320"/>
      <c r="H540" s="4320"/>
      <c r="I540" s="4320"/>
      <c r="J540" s="4320"/>
      <c r="K540" s="4320"/>
      <c r="L540" s="4320"/>
      <c r="M540" s="4320"/>
    </row>
    <row r="541" spans="2:14" ht="15">
      <c r="B541" s="4322" t="s">
        <v>1995</v>
      </c>
      <c r="C541" s="4322"/>
      <c r="D541" s="4322"/>
      <c r="E541" s="4320"/>
      <c r="F541" s="4320"/>
      <c r="G541" s="4320"/>
      <c r="H541" s="4320"/>
      <c r="I541" s="4320"/>
      <c r="J541" s="4320"/>
      <c r="K541" s="4320"/>
      <c r="L541" s="4320"/>
      <c r="M541" s="4320"/>
    </row>
    <row r="542" spans="2:14" ht="6.75" customHeight="1"/>
    <row r="543" spans="2:14" ht="15">
      <c r="E543" s="4318"/>
      <c r="F543" s="4318"/>
      <c r="G543" s="4318" t="s">
        <v>1996</v>
      </c>
      <c r="H543" s="4318"/>
      <c r="I543" s="4318" t="s">
        <v>1997</v>
      </c>
      <c r="J543" s="4318"/>
      <c r="K543" s="4318" t="s">
        <v>1998</v>
      </c>
      <c r="L543" s="4318"/>
      <c r="M543" s="4318"/>
    </row>
    <row r="544" spans="2:14" ht="15">
      <c r="E544" s="4318" t="s">
        <v>993</v>
      </c>
      <c r="F544" s="4318"/>
      <c r="G544" s="4318" t="s">
        <v>993</v>
      </c>
      <c r="H544" s="4318"/>
      <c r="I544" s="4318" t="s">
        <v>1999</v>
      </c>
      <c r="J544" s="4318"/>
      <c r="K544" s="4318" t="s">
        <v>2000</v>
      </c>
      <c r="L544" s="4318"/>
      <c r="M544" s="4318" t="s">
        <v>2001</v>
      </c>
    </row>
    <row r="545" spans="2:13" ht="15">
      <c r="E545" s="4318" t="s">
        <v>1152</v>
      </c>
      <c r="F545" s="4318"/>
      <c r="G545" s="4318" t="s">
        <v>1152</v>
      </c>
      <c r="H545" s="4318"/>
      <c r="I545" s="4318" t="s">
        <v>1152</v>
      </c>
      <c r="J545" s="4318"/>
      <c r="K545" s="4318" t="str">
        <f>K12</f>
        <v>Fund #1</v>
      </c>
      <c r="L545" s="4318"/>
      <c r="M545" s="4318" t="str">
        <f>M12</f>
        <v>Fund</v>
      </c>
    </row>
    <row r="546" spans="2:13" ht="7.5" customHeight="1"/>
    <row r="547" spans="2:13">
      <c r="B547" s="4309" t="str">
        <f>B14</f>
        <v>1.  County Treasurer Balance 6/30/2016 *</v>
      </c>
      <c r="E547" s="4382"/>
      <c r="F547" s="4383"/>
      <c r="G547" s="4384"/>
      <c r="H547" s="4383"/>
      <c r="I547" s="4384"/>
      <c r="J547" s="4383"/>
      <c r="K547" s="4384"/>
      <c r="L547" s="4383"/>
      <c r="M547" s="4384"/>
    </row>
    <row r="548" spans="2:13" ht="7.5" customHeight="1">
      <c r="B548" s="4326"/>
      <c r="C548" s="4326"/>
      <c r="D548" s="4326"/>
      <c r="E548" s="4385"/>
      <c r="F548" s="4385"/>
      <c r="G548" s="4385"/>
      <c r="H548" s="4385"/>
      <c r="I548" s="4385"/>
      <c r="J548" s="4385"/>
      <c r="K548" s="4385"/>
      <c r="L548" s="4385"/>
      <c r="M548" s="4385"/>
    </row>
    <row r="549" spans="2:13">
      <c r="B549" s="4309" t="str">
        <f>B16</f>
        <v>2.  2015 Actual Taxes Levied*</v>
      </c>
      <c r="E549" s="4382"/>
      <c r="F549" s="4383"/>
      <c r="G549" s="4384"/>
      <c r="H549" s="4383"/>
      <c r="I549" s="4384"/>
      <c r="J549" s="4383"/>
      <c r="K549" s="4384"/>
      <c r="L549" s="4383"/>
      <c r="M549" s="4384"/>
    </row>
    <row r="550" spans="2:13" ht="8.25" customHeight="1">
      <c r="E550" s="4376"/>
      <c r="F550" s="4383"/>
      <c r="G550" s="4383"/>
      <c r="H550" s="4383"/>
      <c r="I550" s="4383"/>
      <c r="J550" s="4383"/>
      <c r="K550" s="4383"/>
      <c r="L550" s="4383"/>
      <c r="M550" s="4383"/>
    </row>
    <row r="551" spans="2:13">
      <c r="B551" s="4309" t="s">
        <v>2002</v>
      </c>
      <c r="C551" s="4329"/>
      <c r="E551" s="4328"/>
      <c r="F551" s="4328"/>
      <c r="G551" s="4325">
        <f>SUM(G549*$C$551/100)</f>
        <v>0</v>
      </c>
      <c r="H551" s="4328"/>
      <c r="I551" s="4325">
        <f>SUM(I549*$C$551/100)</f>
        <v>0</v>
      </c>
      <c r="J551" s="4328"/>
      <c r="K551" s="4325">
        <f>SUM(K549*$C$551/100)</f>
        <v>0</v>
      </c>
      <c r="L551" s="4328"/>
      <c r="M551" s="4325">
        <f>SUM(M549*$C$551/100)</f>
        <v>0</v>
      </c>
    </row>
    <row r="552" spans="2:13" ht="8.25" customHeight="1">
      <c r="E552" s="4376"/>
      <c r="F552" s="4383"/>
      <c r="G552" s="4383"/>
      <c r="H552" s="4383"/>
      <c r="I552" s="4383"/>
      <c r="J552" s="4383"/>
      <c r="K552" s="4383"/>
      <c r="L552" s="4383"/>
      <c r="M552" s="4383"/>
    </row>
    <row r="553" spans="2:13">
      <c r="B553" s="4309" t="str">
        <f>B20</f>
        <v>4.  Less:  Jan. 20, 2016 Taxes received**</v>
      </c>
      <c r="C553" s="4314"/>
      <c r="E553" s="4382"/>
      <c r="F553" s="4383"/>
      <c r="G553" s="4384"/>
      <c r="H553" s="4383"/>
      <c r="I553" s="4384"/>
      <c r="J553" s="4383"/>
      <c r="K553" s="4384"/>
      <c r="L553" s="4383"/>
      <c r="M553" s="4384"/>
    </row>
    <row r="554" spans="2:13" ht="9" customHeight="1">
      <c r="E554" s="4376"/>
      <c r="F554" s="4383"/>
      <c r="G554" s="4383"/>
      <c r="H554" s="4383"/>
      <c r="I554" s="4383"/>
      <c r="J554" s="4383"/>
      <c r="K554" s="4383"/>
      <c r="L554" s="4383"/>
      <c r="M554" s="4383"/>
    </row>
    <row r="555" spans="2:13">
      <c r="B555" s="4309" t="str">
        <f>B22</f>
        <v>5.  Less:  Mar. 20, 2016  Taxes received**</v>
      </c>
      <c r="E555" s="4382"/>
      <c r="F555" s="4383"/>
      <c r="G555" s="4384"/>
      <c r="H555" s="4383"/>
      <c r="I555" s="4384"/>
      <c r="J555" s="4383"/>
      <c r="K555" s="4384"/>
      <c r="L555" s="4383"/>
      <c r="M555" s="4384"/>
    </row>
    <row r="556" spans="2:13" ht="7.5" customHeight="1">
      <c r="E556" s="4376"/>
      <c r="F556" s="4383"/>
      <c r="G556" s="4383"/>
      <c r="H556" s="4383"/>
      <c r="I556" s="4383"/>
      <c r="J556" s="4383"/>
      <c r="K556" s="4383"/>
      <c r="L556" s="4383"/>
      <c r="M556" s="4383"/>
    </row>
    <row r="557" spans="2:13">
      <c r="B557" s="4309" t="str">
        <f>B24</f>
        <v>6.  Less:  June 5,  2016 Taxes received**</v>
      </c>
      <c r="E557" s="4382"/>
      <c r="F557" s="4383"/>
      <c r="G557" s="4384"/>
      <c r="H557" s="4383"/>
      <c r="I557" s="4384"/>
      <c r="J557" s="4383"/>
      <c r="K557" s="4384"/>
      <c r="L557" s="4383"/>
      <c r="M557" s="4384"/>
    </row>
    <row r="558" spans="2:13" ht="8.25" customHeight="1">
      <c r="E558" s="4376"/>
      <c r="F558" s="4383"/>
      <c r="G558" s="4383"/>
      <c r="H558" s="4383"/>
      <c r="I558" s="4383"/>
      <c r="J558" s="4383"/>
      <c r="K558" s="4383"/>
      <c r="L558" s="4383"/>
      <c r="M558" s="4383"/>
    </row>
    <row r="559" spans="2:13">
      <c r="B559" s="4309" t="s">
        <v>2003</v>
      </c>
      <c r="E559" s="4382"/>
      <c r="F559" s="4383"/>
      <c r="G559" s="4384"/>
      <c r="H559" s="4383"/>
      <c r="I559" s="4384"/>
      <c r="J559" s="4383"/>
      <c r="K559" s="4384"/>
      <c r="L559" s="4383"/>
      <c r="M559" s="4384"/>
    </row>
    <row r="560" spans="2:13" ht="6.75" customHeight="1">
      <c r="E560" s="4376"/>
      <c r="F560" s="4383"/>
      <c r="G560" s="4383"/>
      <c r="H560" s="4383"/>
      <c r="I560" s="4383"/>
      <c r="J560" s="4383"/>
      <c r="K560" s="4383"/>
      <c r="L560" s="4383"/>
      <c r="M560" s="4383"/>
    </row>
    <row r="561" spans="2:14">
      <c r="B561" s="4309" t="s">
        <v>2004</v>
      </c>
      <c r="E561" s="4382"/>
      <c r="F561" s="4383"/>
      <c r="G561" s="4384"/>
      <c r="H561" s="4383"/>
      <c r="I561" s="4384"/>
      <c r="J561" s="4383"/>
      <c r="K561" s="4384"/>
      <c r="L561" s="4383"/>
      <c r="M561" s="4384"/>
    </row>
    <row r="562" spans="2:14">
      <c r="B562" s="4309" t="s">
        <v>2005</v>
      </c>
      <c r="E562" s="4382"/>
      <c r="F562" s="4383"/>
      <c r="G562" s="4386"/>
      <c r="H562" s="4383"/>
      <c r="I562" s="4386"/>
      <c r="J562" s="4383"/>
      <c r="K562" s="4386"/>
      <c r="L562" s="4383"/>
      <c r="M562" s="4386"/>
    </row>
    <row r="563" spans="2:14">
      <c r="B563" s="4309" t="s">
        <v>2006</v>
      </c>
      <c r="E563" s="4328"/>
      <c r="F563" s="4324"/>
      <c r="G563" s="4325">
        <f>SUM(G551:G562)</f>
        <v>0</v>
      </c>
      <c r="H563" s="4324"/>
      <c r="I563" s="4325">
        <f>SUM(I551:I562)</f>
        <v>0</v>
      </c>
      <c r="J563" s="4324"/>
      <c r="K563" s="4325">
        <f>SUM(K551:K562)</f>
        <v>0</v>
      </c>
      <c r="L563" s="4324"/>
      <c r="M563" s="4325">
        <f>SUM(M551:M562)</f>
        <v>0</v>
      </c>
    </row>
    <row r="564" spans="2:14" ht="7.5" customHeight="1">
      <c r="E564" s="4328"/>
      <c r="F564" s="4324"/>
      <c r="G564" s="4324"/>
      <c r="H564" s="4324"/>
      <c r="I564" s="4324"/>
      <c r="J564" s="4324"/>
      <c r="K564" s="4324"/>
      <c r="L564" s="4324"/>
      <c r="M564" s="4324"/>
    </row>
    <row r="565" spans="2:14">
      <c r="B565" s="4309" t="str">
        <f>B32</f>
        <v>11. 2015 taxes receivable (taxes in process</v>
      </c>
      <c r="E565" s="4328"/>
      <c r="F565" s="4324"/>
      <c r="G565" s="4324"/>
      <c r="H565" s="4324"/>
      <c r="I565" s="4324"/>
      <c r="J565" s="4324"/>
      <c r="K565" s="4324"/>
      <c r="L565" s="4324"/>
      <c r="M565" s="4324"/>
    </row>
    <row r="566" spans="2:14">
      <c r="B566" s="4309" t="str">
        <f>B33</f>
        <v xml:space="preserve">     of collection 6/30/2016)(Line 2 less Line 10)</v>
      </c>
      <c r="E566" s="4328"/>
      <c r="F566" s="4324"/>
      <c r="G566" s="4325">
        <f>IF(G563&lt;=0,0,G549-G563)</f>
        <v>0</v>
      </c>
      <c r="H566" s="4324"/>
      <c r="I566" s="4325">
        <f>IF(I563&lt;=0,0,I549-I563)</f>
        <v>0</v>
      </c>
      <c r="J566" s="4324"/>
      <c r="K566" s="4325">
        <f>IF(K563&lt;=0,0,(K549-K563))</f>
        <v>0</v>
      </c>
      <c r="L566" s="4324"/>
      <c r="M566" s="4325">
        <f>IF(M563&lt;=0,0,M549-M563)</f>
        <v>0</v>
      </c>
    </row>
    <row r="567" spans="2:14" ht="7.5" customHeight="1">
      <c r="E567" s="4328"/>
      <c r="F567" s="4324"/>
      <c r="G567" s="4328"/>
      <c r="H567" s="4324"/>
      <c r="I567" s="4328"/>
      <c r="J567" s="4324"/>
      <c r="K567" s="4328"/>
      <c r="L567" s="4324"/>
      <c r="M567" s="4328"/>
    </row>
    <row r="568" spans="2:14">
      <c r="B568" s="4309" t="s">
        <v>2007</v>
      </c>
      <c r="E568" s="4328"/>
      <c r="F568" s="4324"/>
      <c r="G568" s="4324"/>
      <c r="H568" s="4324"/>
      <c r="I568" s="4324"/>
      <c r="J568" s="4324"/>
      <c r="K568" s="4324"/>
      <c r="L568" s="4324"/>
      <c r="M568" s="4324"/>
    </row>
    <row r="569" spans="2:14">
      <c r="B569" s="4309" t="s">
        <v>2008</v>
      </c>
      <c r="E569" s="4328"/>
      <c r="F569" s="4324"/>
      <c r="G569" s="4324"/>
      <c r="H569" s="4324"/>
      <c r="I569" s="4324"/>
      <c r="J569" s="4324"/>
      <c r="K569" s="4324"/>
      <c r="L569" s="4324"/>
      <c r="M569" s="4324"/>
    </row>
    <row r="570" spans="2:14">
      <c r="B570" s="4309" t="str">
        <f>B37</f>
        <v xml:space="preserve">     (7-1-2016 to 12-31-2017) (Line 3 x 75%)</v>
      </c>
      <c r="E570" s="4328"/>
      <c r="F570" s="4324"/>
      <c r="G570" s="4325">
        <f>SUM(G551*0.75)</f>
        <v>0</v>
      </c>
      <c r="H570" s="4324"/>
      <c r="I570" s="4325">
        <f>SUM(I551*0.75)</f>
        <v>0</v>
      </c>
      <c r="J570" s="4324"/>
      <c r="K570" s="4325">
        <f>SUM(K551*0.75)</f>
        <v>0</v>
      </c>
      <c r="L570" s="4324"/>
      <c r="M570" s="4325">
        <f>SUM(M551*0.75)</f>
        <v>0</v>
      </c>
    </row>
    <row r="571" spans="2:14" ht="15">
      <c r="B571" s="4357" t="str">
        <f>B39</f>
        <v>Tax Collection Ratio (Jan, Mar, June)</v>
      </c>
      <c r="C571" s="4326"/>
      <c r="D571" s="4326"/>
      <c r="E571" s="4358">
        <f>IF(E549&lt;&gt;0,(E553+E555+E557+E559+E561)/E549*100,0)</f>
        <v>0</v>
      </c>
      <c r="F571" s="4335" t="s">
        <v>1124</v>
      </c>
      <c r="G571" s="4358">
        <f>IF(G549&lt;&gt;0,(G553+G555+G557+G559+G561)/G549*100,0)</f>
        <v>0</v>
      </c>
      <c r="H571" s="4335" t="s">
        <v>1124</v>
      </c>
      <c r="I571" s="4358">
        <f>IF(I549&lt;&gt;0,(I553+I555+I557+I559+I561)/I549*100,0)</f>
        <v>0</v>
      </c>
      <c r="J571" s="4335" t="s">
        <v>1124</v>
      </c>
      <c r="K571" s="4358">
        <f>IF(K549&lt;&gt;0,(K553+K555+K557+K559+K561)/K549*100,0)</f>
        <v>0</v>
      </c>
      <c r="L571" s="4335" t="s">
        <v>1124</v>
      </c>
      <c r="M571" s="4358">
        <f>IF(M549&lt;&gt;0,(M553+M555+M557+M559+M561)/M549*100,0)</f>
        <v>0</v>
      </c>
      <c r="N571" s="4333" t="s">
        <v>1124</v>
      </c>
    </row>
    <row r="572" spans="2:14" ht="3" customHeight="1">
      <c r="B572" s="4336"/>
      <c r="C572" s="4333"/>
      <c r="D572" s="4333"/>
      <c r="E572" s="4333"/>
      <c r="F572" s="4333"/>
      <c r="G572" s="4333"/>
      <c r="H572" s="4333"/>
      <c r="I572" s="4333"/>
      <c r="J572" s="4333"/>
      <c r="K572" s="4333"/>
      <c r="L572" s="4333"/>
      <c r="M572" s="4333"/>
    </row>
    <row r="573" spans="2:14" ht="3" hidden="1" customHeight="1">
      <c r="B573" s="4348"/>
      <c r="C573" s="4348"/>
      <c r="D573" s="4348"/>
      <c r="E573" s="4348"/>
      <c r="F573" s="4348"/>
      <c r="G573" s="4348"/>
      <c r="H573" s="4348"/>
      <c r="I573" s="4391"/>
      <c r="J573" s="4348"/>
      <c r="K573" s="4348"/>
      <c r="L573" s="4348"/>
      <c r="M573" s="4348"/>
    </row>
    <row r="574" spans="2:14" ht="3" hidden="1" customHeight="1">
      <c r="B574" s="4353"/>
      <c r="C574" s="4353"/>
      <c r="D574" s="4353"/>
      <c r="E574" s="4353"/>
      <c r="F574" s="4353"/>
      <c r="G574" s="4353"/>
      <c r="H574" s="4353"/>
      <c r="I574" s="4353"/>
      <c r="J574" s="4353"/>
      <c r="K574" s="4353"/>
      <c r="L574" s="4353"/>
      <c r="M574" s="4353"/>
    </row>
    <row r="575" spans="2:14" ht="2.25" hidden="1" customHeight="1">
      <c r="B575" s="4353"/>
      <c r="C575" s="4353"/>
      <c r="D575" s="4353"/>
      <c r="E575" s="4353"/>
      <c r="F575" s="4353"/>
      <c r="G575" s="4353"/>
      <c r="H575" s="4353"/>
      <c r="I575" s="4353"/>
      <c r="J575" s="4353"/>
      <c r="K575" s="4353"/>
      <c r="L575" s="4353"/>
      <c r="M575" s="4353"/>
    </row>
    <row r="576" spans="2:14" ht="3" hidden="1" customHeight="1">
      <c r="B576" s="4353"/>
      <c r="C576" s="4353"/>
      <c r="D576" s="4353"/>
      <c r="E576" s="4353"/>
      <c r="F576" s="4353"/>
      <c r="G576" s="4353"/>
      <c r="H576" s="4353"/>
      <c r="I576" s="4353"/>
      <c r="J576" s="4353"/>
      <c r="K576" s="4353"/>
      <c r="L576" s="4353"/>
      <c r="M576" s="4353"/>
    </row>
    <row r="577" spans="2:14" ht="2.25" hidden="1" customHeight="1">
      <c r="B577" s="4353"/>
      <c r="C577" s="4353"/>
      <c r="D577" s="4353"/>
      <c r="E577" s="4353"/>
      <c r="F577" s="4353"/>
      <c r="G577" s="4353"/>
      <c r="H577" s="4353"/>
      <c r="I577" s="4353"/>
      <c r="J577" s="4353"/>
      <c r="K577" s="4353"/>
      <c r="L577" s="4353"/>
      <c r="M577" s="4353"/>
    </row>
    <row r="578" spans="2:14" ht="3" hidden="1" customHeight="1">
      <c r="B578" s="4353"/>
      <c r="C578" s="4353"/>
      <c r="D578" s="4353"/>
      <c r="E578" s="4353"/>
      <c r="F578" s="4353"/>
      <c r="G578" s="4353"/>
      <c r="H578" s="4353"/>
      <c r="I578" s="4353"/>
      <c r="J578" s="4353"/>
      <c r="K578" s="4353"/>
      <c r="L578" s="4353"/>
      <c r="M578" s="4353"/>
    </row>
    <row r="579" spans="2:14" ht="0.75" hidden="1" customHeight="1">
      <c r="B579" s="4353"/>
      <c r="C579" s="4353"/>
      <c r="D579" s="4353"/>
      <c r="E579" s="4353"/>
      <c r="F579" s="4353"/>
      <c r="G579" s="4353"/>
      <c r="H579" s="4353"/>
      <c r="I579" s="4353"/>
      <c r="J579" s="4353"/>
      <c r="K579" s="4353"/>
      <c r="L579" s="4353"/>
      <c r="M579" s="4353"/>
    </row>
    <row r="580" spans="2:14" ht="12.75" customHeight="1">
      <c r="B580" s="4351" t="str">
        <f>B97</f>
        <v>*Amounts are available from the County Treasurer.       **These Jan.-June, 2016 amounts are available from the County Treasurer.  (Should correspond to school</v>
      </c>
      <c r="C580" s="4353"/>
      <c r="D580" s="4353"/>
      <c r="E580" s="4353"/>
      <c r="F580" s="4353"/>
      <c r="G580" s="4353"/>
      <c r="H580" s="4353"/>
      <c r="I580" s="4353"/>
      <c r="J580" s="4353"/>
      <c r="K580" s="4353"/>
      <c r="L580" s="4353"/>
      <c r="M580" s="4353"/>
    </row>
    <row r="581" spans="2:14">
      <c r="B581" s="4351" t="str">
        <f>B98</f>
        <v xml:space="preserve"> records and does not include MVPT.)   Include Watercraft Tax if USD received payment direct from county.</v>
      </c>
    </row>
    <row r="582" spans="2:14">
      <c r="B582" s="4309" t="s">
        <v>2057</v>
      </c>
    </row>
    <row r="583" spans="2:14" ht="15">
      <c r="B583" s="4309" t="s">
        <v>1987</v>
      </c>
      <c r="M583" s="4310" t="s">
        <v>2015</v>
      </c>
    </row>
    <row r="584" spans="2:14">
      <c r="B584" s="4311">
        <f>B2</f>
        <v>42522</v>
      </c>
      <c r="C584" s="4312"/>
      <c r="D584" s="4312"/>
      <c r="F584" s="4314"/>
      <c r="G584" s="4314" t="s">
        <v>1989</v>
      </c>
      <c r="H584" s="4314"/>
      <c r="I584" s="4316" t="str">
        <f>I534</f>
        <v>270 - Plainville</v>
      </c>
      <c r="J584" s="4316"/>
      <c r="K584" s="4354" t="s">
        <v>1990</v>
      </c>
      <c r="L584" s="4353"/>
      <c r="M584" s="4317">
        <f>M534</f>
        <v>270</v>
      </c>
    </row>
    <row r="585" spans="2:14">
      <c r="K585" s="4314" t="s">
        <v>1112</v>
      </c>
      <c r="M585" s="4316">
        <f>M535</f>
        <v>0</v>
      </c>
    </row>
    <row r="586" spans="2:14" ht="8.25" customHeight="1">
      <c r="E586" s="4320"/>
      <c r="F586" s="4320"/>
      <c r="G586" s="4320"/>
      <c r="H586" s="4320"/>
      <c r="I586" s="4320"/>
      <c r="J586" s="4320"/>
      <c r="K586" s="4321"/>
      <c r="L586" s="4321"/>
      <c r="M586" s="4320"/>
    </row>
    <row r="587" spans="2:14">
      <c r="B587" s="4320" t="str">
        <f>B5</f>
        <v>2016-2017</v>
      </c>
      <c r="C587" s="4320"/>
      <c r="D587" s="4320"/>
      <c r="E587" s="4320"/>
      <c r="F587" s="4320"/>
      <c r="G587" s="4320"/>
      <c r="H587" s="4320"/>
      <c r="I587" s="4320"/>
      <c r="J587" s="4320"/>
      <c r="K587" s="4320"/>
      <c r="L587" s="4320"/>
      <c r="M587" s="4320"/>
    </row>
    <row r="588" spans="2:14">
      <c r="B588" s="4320" t="s">
        <v>1993</v>
      </c>
      <c r="C588" s="4320"/>
      <c r="D588" s="4320"/>
      <c r="E588" s="4320"/>
      <c r="F588" s="4320"/>
      <c r="G588" s="4320"/>
      <c r="H588" s="4320"/>
      <c r="I588" s="4320"/>
      <c r="J588" s="4320"/>
      <c r="K588" s="4320"/>
      <c r="L588" s="4320"/>
      <c r="M588" s="4320"/>
    </row>
    <row r="589" spans="2:14">
      <c r="B589" s="4320" t="s">
        <v>1994</v>
      </c>
      <c r="C589" s="4320"/>
      <c r="D589" s="4320"/>
      <c r="E589" s="4320"/>
      <c r="F589" s="4320"/>
      <c r="G589" s="4320"/>
      <c r="H589" s="4320"/>
      <c r="I589" s="4320"/>
      <c r="J589" s="4320"/>
      <c r="K589" s="4320"/>
      <c r="L589" s="4320"/>
      <c r="M589" s="4320"/>
    </row>
    <row r="590" spans="2:14" ht="15">
      <c r="B590" s="4322" t="s">
        <v>1995</v>
      </c>
      <c r="C590" s="4322"/>
      <c r="D590" s="4322"/>
      <c r="E590" s="4320"/>
      <c r="F590" s="4320"/>
      <c r="G590" s="4320"/>
      <c r="H590" s="4320"/>
      <c r="I590" s="4320"/>
      <c r="J590" s="4320"/>
      <c r="K590" s="4320"/>
      <c r="L590" s="4320"/>
      <c r="M590" s="4320"/>
    </row>
    <row r="591" spans="2:14" ht="8.25" customHeight="1">
      <c r="E591" s="4318"/>
      <c r="F591" s="4318"/>
      <c r="G591" s="4318"/>
      <c r="H591" s="4318"/>
      <c r="I591" s="4318"/>
      <c r="J591" s="4318"/>
      <c r="K591" s="4318"/>
      <c r="L591" s="4318"/>
      <c r="M591" s="4318"/>
    </row>
    <row r="592" spans="2:14" ht="15">
      <c r="E592" s="4318" t="s">
        <v>2016</v>
      </c>
      <c r="F592" s="4318"/>
      <c r="G592" s="4318" t="s">
        <v>2017</v>
      </c>
      <c r="H592" s="4318"/>
      <c r="I592" s="4318" t="s">
        <v>2058</v>
      </c>
      <c r="J592" s="4318"/>
      <c r="K592" s="4318" t="s">
        <v>2019</v>
      </c>
      <c r="M592" s="4287"/>
      <c r="N592" s="4287"/>
    </row>
    <row r="593" spans="2:14" ht="15">
      <c r="E593" s="4318" t="s">
        <v>2020</v>
      </c>
      <c r="F593" s="4318"/>
      <c r="G593" s="4318" t="s">
        <v>2021</v>
      </c>
      <c r="H593" s="4318"/>
      <c r="I593" s="4318" t="s">
        <v>2022</v>
      </c>
      <c r="J593" s="4318"/>
      <c r="K593" s="4318" t="str">
        <f>K60</f>
        <v>Interest #2</v>
      </c>
      <c r="M593" s="4287"/>
      <c r="N593" s="4287"/>
    </row>
    <row r="594" spans="2:14" ht="7.5" customHeight="1">
      <c r="M594" s="4287"/>
      <c r="N594" s="4287"/>
    </row>
    <row r="595" spans="2:14">
      <c r="B595" s="4309" t="str">
        <f>B14</f>
        <v>1.  County Treasurer Balance 6/30/2016 *</v>
      </c>
      <c r="E595" s="4384"/>
      <c r="F595" s="4383"/>
      <c r="G595" s="4384"/>
      <c r="H595" s="4383"/>
      <c r="I595" s="4384"/>
      <c r="J595" s="4383"/>
      <c r="K595" s="4384"/>
      <c r="M595" s="4287"/>
      <c r="N595" s="4287"/>
    </row>
    <row r="596" spans="2:14" ht="7.5" customHeight="1">
      <c r="B596" s="4326"/>
      <c r="C596" s="4326"/>
      <c r="D596" s="4326"/>
      <c r="E596" s="4385"/>
      <c r="F596" s="4385"/>
      <c r="G596" s="4385"/>
      <c r="H596" s="4385"/>
      <c r="I596" s="4385"/>
      <c r="J596" s="4385"/>
      <c r="K596" s="4385"/>
      <c r="M596" s="4287"/>
      <c r="N596" s="4287"/>
    </row>
    <row r="597" spans="2:14">
      <c r="B597" s="4309" t="str">
        <f>B16</f>
        <v>2.  2015 Actual Taxes Levied*</v>
      </c>
      <c r="E597" s="4384"/>
      <c r="F597" s="4383"/>
      <c r="G597" s="4384"/>
      <c r="H597" s="4383"/>
      <c r="I597" s="4384"/>
      <c r="J597" s="4383"/>
      <c r="K597" s="4384"/>
      <c r="M597" s="4287"/>
      <c r="N597" s="4287"/>
    </row>
    <row r="598" spans="2:14" ht="8.25" customHeight="1">
      <c r="E598" s="4383"/>
      <c r="F598" s="4383"/>
      <c r="G598" s="4383"/>
      <c r="H598" s="4383"/>
      <c r="I598" s="4383"/>
      <c r="J598" s="4383"/>
      <c r="K598" s="4383"/>
      <c r="M598" s="4287"/>
      <c r="N598" s="4287"/>
    </row>
    <row r="599" spans="2:14">
      <c r="B599" s="4309" t="s">
        <v>2023</v>
      </c>
      <c r="C599" s="4347">
        <f>C551</f>
        <v>0</v>
      </c>
      <c r="D599" s="4356"/>
      <c r="E599" s="4325">
        <f>E597*$C$599/100</f>
        <v>0</v>
      </c>
      <c r="F599" s="4325"/>
      <c r="G599" s="4325">
        <f>G597*$C$599/100</f>
        <v>0</v>
      </c>
      <c r="H599" s="4325"/>
      <c r="I599" s="4325">
        <f>I597*$C$599/100</f>
        <v>0</v>
      </c>
      <c r="J599" s="4325"/>
      <c r="K599" s="4325">
        <f>K597*$C$599/100</f>
        <v>0</v>
      </c>
      <c r="L599" s="4325"/>
      <c r="M599" s="4287"/>
      <c r="N599" s="4287"/>
    </row>
    <row r="600" spans="2:14" ht="6" customHeight="1">
      <c r="E600" s="4383"/>
      <c r="F600" s="4383"/>
      <c r="G600" s="4383"/>
      <c r="H600" s="4383"/>
      <c r="I600" s="4383"/>
      <c r="J600" s="4383"/>
      <c r="K600" s="4383"/>
      <c r="M600" s="4287"/>
      <c r="N600" s="4287"/>
    </row>
    <row r="601" spans="2:14">
      <c r="B601" s="4309" t="str">
        <f>B20</f>
        <v>4.  Less:  Jan. 20, 2016 Taxes received**</v>
      </c>
      <c r="E601" s="4384"/>
      <c r="F601" s="4383"/>
      <c r="G601" s="4384"/>
      <c r="H601" s="4383"/>
      <c r="I601" s="4384"/>
      <c r="J601" s="4383"/>
      <c r="K601" s="4384"/>
      <c r="M601" s="4287"/>
      <c r="N601" s="4287"/>
    </row>
    <row r="602" spans="2:14" ht="9" customHeight="1">
      <c r="E602" s="4383"/>
      <c r="F602" s="4383"/>
      <c r="G602" s="4383"/>
      <c r="H602" s="4383"/>
      <c r="I602" s="4383"/>
      <c r="J602" s="4383"/>
      <c r="K602" s="4383"/>
      <c r="M602" s="4287"/>
      <c r="N602" s="4287"/>
    </row>
    <row r="603" spans="2:14">
      <c r="B603" s="4309" t="str">
        <f>B22</f>
        <v>5.  Less:  Mar. 20, 2016  Taxes received**</v>
      </c>
      <c r="E603" s="4384"/>
      <c r="F603" s="4383"/>
      <c r="G603" s="4384"/>
      <c r="H603" s="4383"/>
      <c r="I603" s="4384"/>
      <c r="J603" s="4383"/>
      <c r="K603" s="4384"/>
      <c r="M603" s="4287"/>
      <c r="N603" s="4287"/>
    </row>
    <row r="604" spans="2:14" ht="6.75" customHeight="1">
      <c r="E604" s="4376"/>
      <c r="F604" s="4383"/>
      <c r="G604" s="4376"/>
      <c r="H604" s="4383"/>
      <c r="I604" s="4376"/>
      <c r="J604" s="4383"/>
      <c r="K604" s="4376"/>
      <c r="M604" s="4287"/>
      <c r="N604" s="4287"/>
    </row>
    <row r="605" spans="2:14">
      <c r="B605" s="4309" t="str">
        <f>B24</f>
        <v>6.  Less:  June 5,  2016 Taxes received**</v>
      </c>
      <c r="E605" s="4384"/>
      <c r="F605" s="4383"/>
      <c r="G605" s="4384"/>
      <c r="H605" s="4383"/>
      <c r="I605" s="4384"/>
      <c r="J605" s="4383"/>
      <c r="K605" s="4384"/>
      <c r="M605" s="4287"/>
      <c r="N605" s="4287"/>
    </row>
    <row r="606" spans="2:14" ht="8.25" customHeight="1">
      <c r="E606" s="4376"/>
      <c r="F606" s="4383"/>
      <c r="G606" s="4376"/>
      <c r="H606" s="4383"/>
      <c r="I606" s="4376"/>
      <c r="J606" s="4383"/>
      <c r="K606" s="4328"/>
      <c r="M606" s="4287"/>
      <c r="N606" s="4287"/>
    </row>
    <row r="607" spans="2:14">
      <c r="B607" s="4309" t="s">
        <v>2060</v>
      </c>
      <c r="E607" s="4384"/>
      <c r="F607" s="4383"/>
      <c r="G607" s="4384"/>
      <c r="H607" s="4383"/>
      <c r="I607" s="4384"/>
      <c r="J607" s="4383"/>
      <c r="K607" s="4384"/>
      <c r="M607" s="4287"/>
      <c r="N607" s="4287"/>
    </row>
    <row r="608" spans="2:14" ht="7.5" customHeight="1">
      <c r="E608" s="4383"/>
      <c r="F608" s="4383"/>
      <c r="G608" s="4383"/>
      <c r="H608" s="4383"/>
      <c r="I608" s="4383"/>
      <c r="J608" s="4383"/>
      <c r="K608" s="4383"/>
      <c r="M608" s="4287"/>
      <c r="N608" s="4287"/>
    </row>
    <row r="609" spans="2:14">
      <c r="B609" s="4309" t="s">
        <v>2061</v>
      </c>
      <c r="E609" s="4384"/>
      <c r="F609" s="4383"/>
      <c r="G609" s="4384"/>
      <c r="H609" s="4383"/>
      <c r="I609" s="4384"/>
      <c r="J609" s="4383"/>
      <c r="K609" s="4384"/>
      <c r="M609" s="4287"/>
      <c r="N609" s="4287"/>
    </row>
    <row r="610" spans="2:14">
      <c r="B610" s="4309" t="s">
        <v>2005</v>
      </c>
      <c r="E610" s="4386"/>
      <c r="F610" s="4383"/>
      <c r="G610" s="4386"/>
      <c r="H610" s="4383"/>
      <c r="I610" s="4386"/>
      <c r="J610" s="4383"/>
      <c r="K610" s="4386"/>
      <c r="M610" s="4287"/>
      <c r="N610" s="4287"/>
    </row>
    <row r="611" spans="2:14">
      <c r="B611" s="4309" t="s">
        <v>2024</v>
      </c>
      <c r="E611" s="4325">
        <f>SUM(E599:E610)</f>
        <v>0</v>
      </c>
      <c r="F611" s="4328"/>
      <c r="G611" s="4325">
        <f>SUM(G599:G610)</f>
        <v>0</v>
      </c>
      <c r="H611" s="4328"/>
      <c r="I611" s="4325">
        <f>SUM(I599:I610)</f>
        <v>0</v>
      </c>
      <c r="J611" s="4328"/>
      <c r="K611" s="4325">
        <f>SUM(K599:K610)</f>
        <v>0</v>
      </c>
      <c r="L611" s="4356"/>
      <c r="M611" s="4287"/>
      <c r="N611" s="4287"/>
    </row>
    <row r="612" spans="2:14" ht="6.75" customHeight="1">
      <c r="E612" s="4324"/>
      <c r="F612" s="4324"/>
      <c r="G612" s="4324"/>
      <c r="H612" s="4324"/>
      <c r="I612" s="4324"/>
      <c r="J612" s="4324"/>
      <c r="K612" s="4324"/>
      <c r="L612" s="4356"/>
      <c r="M612" s="4287"/>
      <c r="N612" s="4287"/>
    </row>
    <row r="613" spans="2:14">
      <c r="B613" s="4309" t="str">
        <f>B32</f>
        <v>11. 2015 taxes receivable (taxes in process</v>
      </c>
      <c r="E613" s="4324"/>
      <c r="F613" s="4324"/>
      <c r="G613" s="4324"/>
      <c r="H613" s="4324"/>
      <c r="I613" s="4324"/>
      <c r="J613" s="4324"/>
      <c r="K613" s="4324"/>
      <c r="L613" s="4356"/>
      <c r="M613" s="4287"/>
      <c r="N613" s="4287"/>
    </row>
    <row r="614" spans="2:14">
      <c r="B614" s="4309" t="str">
        <f>B33</f>
        <v xml:space="preserve">     of collection 6/30/2016)(Line 2 less Line 10)</v>
      </c>
      <c r="E614" s="4325">
        <f>IF(E611&lt;=0,0,E597-E611)</f>
        <v>0</v>
      </c>
      <c r="F614" s="4328"/>
      <c r="G614" s="4325">
        <f>IF(G611&lt;=0,0,G597-G611)</f>
        <v>0</v>
      </c>
      <c r="H614" s="4328"/>
      <c r="I614" s="4325">
        <f>IF(I611&lt;=0,0,I597-I611)</f>
        <v>0</v>
      </c>
      <c r="J614" s="4328"/>
      <c r="K614" s="4325">
        <f>IF(K611&lt;=0,0,K597-K611)</f>
        <v>0</v>
      </c>
      <c r="L614" s="4325"/>
      <c r="M614" s="4287"/>
      <c r="N614" s="4287"/>
    </row>
    <row r="615" spans="2:14" ht="7.5" customHeight="1">
      <c r="E615" s="4324"/>
      <c r="F615" s="4324"/>
      <c r="G615" s="4324"/>
      <c r="H615" s="4324"/>
      <c r="I615" s="4324"/>
      <c r="J615" s="4324"/>
      <c r="K615" s="4324"/>
      <c r="L615" s="4356"/>
      <c r="M615" s="4287"/>
      <c r="N615" s="4287"/>
    </row>
    <row r="616" spans="2:14">
      <c r="B616" s="4309" t="s">
        <v>2025</v>
      </c>
      <c r="E616" s="4324"/>
      <c r="F616" s="4324"/>
      <c r="G616" s="4324"/>
      <c r="H616" s="4324"/>
      <c r="I616" s="4324"/>
      <c r="J616" s="4324"/>
      <c r="K616" s="4324"/>
      <c r="L616" s="4356"/>
      <c r="M616" s="4287"/>
      <c r="N616" s="4287"/>
    </row>
    <row r="617" spans="2:14">
      <c r="B617" s="4309" t="s">
        <v>2008</v>
      </c>
      <c r="E617" s="4324"/>
      <c r="F617" s="4324"/>
      <c r="G617" s="4324"/>
      <c r="H617" s="4324"/>
      <c r="I617" s="4324"/>
      <c r="J617" s="4324"/>
      <c r="K617" s="4324"/>
      <c r="L617" s="4356"/>
      <c r="M617" s="4287"/>
      <c r="N617" s="4287"/>
    </row>
    <row r="618" spans="2:14">
      <c r="B618" s="4309" t="str">
        <f>B37</f>
        <v xml:space="preserve">     (7-1-2016 to 12-31-2017) (Line 3 x 75%)</v>
      </c>
      <c r="E618" s="4325">
        <f>SUM(E599*0.75)</f>
        <v>0</v>
      </c>
      <c r="F618" s="4328"/>
      <c r="G618" s="4325">
        <f>SUM(G599*0.75)</f>
        <v>0</v>
      </c>
      <c r="H618" s="4328"/>
      <c r="I618" s="4325">
        <f>SUM(I599*0.75)</f>
        <v>0</v>
      </c>
      <c r="J618" s="4328"/>
      <c r="K618" s="4325">
        <f>SUM(K599*0.75)</f>
        <v>0</v>
      </c>
      <c r="L618" s="4356"/>
      <c r="M618" s="4287"/>
      <c r="N618" s="4287"/>
    </row>
    <row r="619" spans="2:14" ht="15">
      <c r="B619" s="4350" t="str">
        <f>B39</f>
        <v>Tax Collection Ratio (Jan, Mar, June)</v>
      </c>
      <c r="E619" s="4379">
        <f>IF(E597&lt;&gt;0,(E601+E603+E605+E607+E609)/E597*100,0)</f>
        <v>0</v>
      </c>
      <c r="F619" s="4335" t="s">
        <v>1124</v>
      </c>
      <c r="G619" s="4379">
        <f>IF(G597&lt;&gt;0,(G601+G603+G605+G607+G609)/G597*100,0)</f>
        <v>0</v>
      </c>
      <c r="H619" s="4335" t="s">
        <v>1124</v>
      </c>
      <c r="I619" s="4379">
        <f>IF(I597&lt;&gt;0,(I601+I603+I605+I607+I609)/I597*100,0)</f>
        <v>0</v>
      </c>
      <c r="J619" s="4335" t="s">
        <v>1124</v>
      </c>
      <c r="K619" s="4379">
        <f>IF(K597&lt;&gt;0,(K601+K603+K605+K607+K609)/K597*100,0)</f>
        <v>0</v>
      </c>
      <c r="L619" s="4335" t="s">
        <v>1124</v>
      </c>
      <c r="M619" s="4287"/>
      <c r="N619" s="4287"/>
    </row>
    <row r="620" spans="2:14" ht="5.0999999999999996" customHeight="1">
      <c r="B620" s="4326"/>
      <c r="C620" s="4326"/>
      <c r="D620" s="4326"/>
      <c r="E620" s="4326"/>
      <c r="F620" s="4326"/>
      <c r="G620" s="4326"/>
      <c r="H620" s="4326"/>
      <c r="I620" s="4326"/>
      <c r="J620" s="4326"/>
      <c r="K620" s="4326"/>
      <c r="L620" s="4326"/>
      <c r="M620" s="4326"/>
    </row>
    <row r="621" spans="2:14" ht="12" customHeight="1">
      <c r="B621" s="4351" t="str">
        <f>B97</f>
        <v>*Amounts are available from the County Treasurer.       **These Jan.-June, 2016 amounts are available from the County Treasurer.  (Should correspond to school</v>
      </c>
      <c r="C621" s="4353"/>
      <c r="D621" s="4353"/>
      <c r="E621" s="4353"/>
      <c r="F621" s="4353"/>
      <c r="G621" s="4353"/>
      <c r="H621" s="4353"/>
      <c r="I621" s="4353"/>
      <c r="J621" s="4353"/>
      <c r="K621" s="4353"/>
    </row>
    <row r="622" spans="2:14">
      <c r="B622" s="4351" t="str">
        <f>B98</f>
        <v xml:space="preserve"> records and does not include MVPT.)   Include Watercraft Tax if USD received payment direct from county.</v>
      </c>
    </row>
    <row r="623" spans="2:14" ht="15">
      <c r="B623" s="4309" t="s">
        <v>1987</v>
      </c>
      <c r="M623" s="4310" t="s">
        <v>2035</v>
      </c>
    </row>
    <row r="624" spans="2:14">
      <c r="B624" s="4311">
        <f>B2</f>
        <v>42522</v>
      </c>
      <c r="C624" s="4312"/>
      <c r="D624" s="4312"/>
      <c r="G624" s="4314" t="s">
        <v>1989</v>
      </c>
      <c r="H624" s="4314"/>
      <c r="I624" s="4316" t="str">
        <f>I534</f>
        <v>270 - Plainville</v>
      </c>
      <c r="J624" s="4316"/>
      <c r="K624" s="4316"/>
      <c r="L624" s="4314" t="s">
        <v>1990</v>
      </c>
      <c r="M624" s="4317">
        <f>M534</f>
        <v>270</v>
      </c>
    </row>
    <row r="625" spans="2:13">
      <c r="K625" s="4314" t="s">
        <v>1112</v>
      </c>
      <c r="M625" s="4316">
        <f>M535</f>
        <v>0</v>
      </c>
    </row>
    <row r="626" spans="2:13" ht="8.25" customHeight="1">
      <c r="E626" s="4320"/>
      <c r="F626" s="4320"/>
      <c r="G626" s="4320"/>
      <c r="H626" s="4320"/>
      <c r="I626" s="4320"/>
      <c r="J626" s="4320"/>
      <c r="K626" s="4321"/>
      <c r="L626" s="4321"/>
      <c r="M626" s="4320"/>
    </row>
    <row r="627" spans="2:13">
      <c r="B627" s="4320" t="str">
        <f>B5</f>
        <v>2016-2017</v>
      </c>
      <c r="C627" s="4320"/>
      <c r="D627" s="4320"/>
      <c r="E627" s="4320"/>
      <c r="F627" s="4320"/>
      <c r="G627" s="4320"/>
      <c r="H627" s="4320"/>
      <c r="I627" s="4320"/>
      <c r="J627" s="4320"/>
      <c r="K627" s="4320"/>
      <c r="L627" s="4320"/>
      <c r="M627" s="4320"/>
    </row>
    <row r="628" spans="2:13">
      <c r="B628" s="4320" t="s">
        <v>1993</v>
      </c>
      <c r="C628" s="4320"/>
      <c r="D628" s="4320"/>
      <c r="E628" s="4320"/>
      <c r="F628" s="4320"/>
      <c r="G628" s="4320"/>
      <c r="H628" s="4320"/>
      <c r="I628" s="4320"/>
      <c r="J628" s="4320"/>
      <c r="K628" s="4320"/>
      <c r="L628" s="4320"/>
      <c r="M628" s="4320"/>
    </row>
    <row r="629" spans="2:13">
      <c r="B629" s="4320" t="s">
        <v>1994</v>
      </c>
      <c r="C629" s="4320"/>
      <c r="D629" s="4320"/>
      <c r="E629" s="4320"/>
      <c r="F629" s="4320"/>
      <c r="G629" s="4320"/>
      <c r="H629" s="4320"/>
      <c r="I629" s="4320"/>
      <c r="J629" s="4320"/>
      <c r="K629" s="4320"/>
      <c r="L629" s="4320"/>
      <c r="M629" s="4320"/>
    </row>
    <row r="630" spans="2:13" ht="15">
      <c r="B630" s="4322" t="s">
        <v>1995</v>
      </c>
      <c r="C630" s="4322"/>
      <c r="D630" s="4322"/>
      <c r="E630" s="4320"/>
      <c r="F630" s="4320"/>
      <c r="G630" s="4320"/>
      <c r="H630" s="4320"/>
      <c r="I630" s="4320"/>
      <c r="J630" s="4320"/>
      <c r="K630" s="4320"/>
      <c r="L630" s="4320"/>
      <c r="M630" s="4320"/>
    </row>
    <row r="631" spans="2:13" ht="9" customHeight="1">
      <c r="E631" s="4318"/>
      <c r="F631" s="4318"/>
      <c r="G631" s="4318"/>
      <c r="H631" s="4318"/>
      <c r="I631" s="4318"/>
      <c r="J631" s="4318"/>
      <c r="K631" s="4318"/>
      <c r="L631" s="4318"/>
      <c r="M631" s="4318"/>
    </row>
    <row r="632" spans="2:13" ht="15">
      <c r="E632" s="4318" t="s">
        <v>2036</v>
      </c>
      <c r="F632" s="4318"/>
      <c r="G632" s="4318" t="s">
        <v>2037</v>
      </c>
      <c r="H632" s="4318"/>
      <c r="I632" s="4318" t="s">
        <v>2038</v>
      </c>
      <c r="J632" s="4318"/>
      <c r="K632" s="4318" t="s">
        <v>2039</v>
      </c>
      <c r="L632" s="4318"/>
      <c r="M632" s="4318" t="s">
        <v>2040</v>
      </c>
    </row>
    <row r="633" spans="2:13" ht="15">
      <c r="E633" s="4318" t="s">
        <v>2041</v>
      </c>
      <c r="F633" s="4318"/>
      <c r="G633" s="4318" t="s">
        <v>2042</v>
      </c>
      <c r="H633" s="4318"/>
      <c r="I633" s="4318" t="s">
        <v>2043</v>
      </c>
      <c r="J633" s="4318"/>
      <c r="K633" s="4318" t="s">
        <v>2044</v>
      </c>
      <c r="L633" s="4318"/>
      <c r="M633" s="4318" t="s">
        <v>2045</v>
      </c>
    </row>
    <row r="634" spans="2:13" ht="7.5" customHeight="1"/>
    <row r="635" spans="2:13">
      <c r="B635" s="4309" t="str">
        <f>B14</f>
        <v>1.  County Treasurer Balance 6/30/2016 *</v>
      </c>
      <c r="E635" s="4384"/>
      <c r="F635" s="4383"/>
      <c r="G635" s="4384"/>
      <c r="H635" s="4383"/>
      <c r="I635" s="4384"/>
      <c r="J635" s="4383"/>
      <c r="K635" s="4384"/>
      <c r="M635" s="4384"/>
    </row>
    <row r="636" spans="2:13" ht="8.25" customHeight="1">
      <c r="B636" s="4326"/>
      <c r="C636" s="4326"/>
      <c r="D636" s="4326"/>
      <c r="E636" s="4385"/>
      <c r="F636" s="4385"/>
      <c r="G636" s="4385"/>
      <c r="H636" s="4385"/>
      <c r="I636" s="4385"/>
      <c r="J636" s="4385"/>
      <c r="K636" s="4385"/>
      <c r="M636" s="4385"/>
    </row>
    <row r="637" spans="2:13">
      <c r="B637" s="4309" t="str">
        <f>B16</f>
        <v>2.  2015 Actual Taxes Levied*</v>
      </c>
      <c r="E637" s="4384"/>
      <c r="F637" s="4383"/>
      <c r="G637" s="4384"/>
      <c r="H637" s="4383"/>
      <c r="I637" s="4384"/>
      <c r="J637" s="4383"/>
      <c r="K637" s="4384"/>
      <c r="M637" s="4384"/>
    </row>
    <row r="638" spans="2:13" ht="7.5" customHeight="1">
      <c r="E638" s="4383"/>
      <c r="F638" s="4383"/>
      <c r="G638" s="4383"/>
      <c r="H638" s="4383"/>
      <c r="I638" s="4383"/>
      <c r="J638" s="4383"/>
      <c r="K638" s="4383"/>
      <c r="M638" s="4383"/>
    </row>
    <row r="639" spans="2:13">
      <c r="B639" s="4309" t="s">
        <v>2023</v>
      </c>
      <c r="C639" s="4347">
        <f>C551</f>
        <v>0</v>
      </c>
      <c r="D639" s="4356"/>
      <c r="E639" s="4325">
        <f>E637*$C$639/100</f>
        <v>0</v>
      </c>
      <c r="F639" s="4328"/>
      <c r="G639" s="4325">
        <f>G637*$C$639/100</f>
        <v>0</v>
      </c>
      <c r="H639" s="4328"/>
      <c r="I639" s="4325">
        <f>I637*$C$639/100</f>
        <v>0</v>
      </c>
      <c r="J639" s="4328"/>
      <c r="K639" s="4325">
        <f>K637*$C$639/100</f>
        <v>0</v>
      </c>
      <c r="L639" s="4328"/>
      <c r="M639" s="4325">
        <f>M637*$C$639/100</f>
        <v>0</v>
      </c>
    </row>
    <row r="640" spans="2:13" ht="7.5" customHeight="1">
      <c r="E640" s="4383"/>
      <c r="F640" s="4383"/>
      <c r="G640" s="4383"/>
      <c r="H640" s="4383"/>
      <c r="I640" s="4383"/>
      <c r="J640" s="4383"/>
      <c r="K640" s="4383"/>
      <c r="M640" s="4383"/>
    </row>
    <row r="641" spans="2:13">
      <c r="B641" s="4309" t="str">
        <f>B20</f>
        <v>4.  Less:  Jan. 20, 2016 Taxes received**</v>
      </c>
      <c r="E641" s="4384"/>
      <c r="F641" s="4383"/>
      <c r="G641" s="4384"/>
      <c r="H641" s="4383"/>
      <c r="I641" s="4384"/>
      <c r="J641" s="4383"/>
      <c r="K641" s="4384"/>
      <c r="M641" s="4384"/>
    </row>
    <row r="642" spans="2:13" ht="6.75" customHeight="1">
      <c r="E642" s="4324"/>
      <c r="F642" s="4383"/>
      <c r="G642" s="4383"/>
      <c r="H642" s="4383"/>
      <c r="I642" s="4383"/>
      <c r="J642" s="4383"/>
      <c r="K642" s="4383"/>
      <c r="M642" s="4383"/>
    </row>
    <row r="643" spans="2:13">
      <c r="B643" s="4309" t="str">
        <f>B22</f>
        <v>5.  Less:  Mar. 20, 2016  Taxes received**</v>
      </c>
      <c r="E643" s="4384"/>
      <c r="F643" s="4383"/>
      <c r="G643" s="4384"/>
      <c r="H643" s="4383"/>
      <c r="I643" s="4384"/>
      <c r="J643" s="4383"/>
      <c r="K643" s="4384"/>
      <c r="M643" s="4384"/>
    </row>
    <row r="644" spans="2:13" ht="8.25" customHeight="1">
      <c r="E644" s="4376"/>
      <c r="F644" s="4383"/>
      <c r="G644" s="4376"/>
      <c r="H644" s="4383"/>
      <c r="I644" s="4376"/>
      <c r="J644" s="4383"/>
      <c r="K644" s="4376"/>
      <c r="M644" s="4376"/>
    </row>
    <row r="645" spans="2:13">
      <c r="B645" s="4309" t="str">
        <f>B24</f>
        <v>6.  Less:  June 5,  2016 Taxes received**</v>
      </c>
      <c r="E645" s="4384"/>
      <c r="F645" s="4383"/>
      <c r="G645" s="4384"/>
      <c r="H645" s="4383"/>
      <c r="I645" s="4384"/>
      <c r="J645" s="4383"/>
      <c r="K645" s="4384"/>
      <c r="M645" s="4384"/>
    </row>
    <row r="646" spans="2:13" ht="8.25" customHeight="1">
      <c r="E646" s="4376"/>
      <c r="F646" s="4383"/>
      <c r="G646" s="4376"/>
      <c r="H646" s="4383"/>
      <c r="I646" s="4376"/>
      <c r="J646" s="4383"/>
      <c r="K646" s="4376"/>
      <c r="M646" s="4376"/>
    </row>
    <row r="647" spans="2:13">
      <c r="B647" s="4309" t="s">
        <v>2003</v>
      </c>
      <c r="E647" s="4384"/>
      <c r="F647" s="4383"/>
      <c r="G647" s="4384"/>
      <c r="H647" s="4383"/>
      <c r="I647" s="4384"/>
      <c r="J647" s="4383"/>
      <c r="K647" s="4384"/>
      <c r="M647" s="4384"/>
    </row>
    <row r="648" spans="2:13" ht="8.25" customHeight="1">
      <c r="E648" s="4383"/>
      <c r="F648" s="4383"/>
      <c r="G648" s="4383"/>
      <c r="H648" s="4383"/>
      <c r="I648" s="4383"/>
      <c r="J648" s="4383"/>
      <c r="K648" s="4383"/>
      <c r="M648" s="4383"/>
    </row>
    <row r="649" spans="2:13">
      <c r="B649" s="4309" t="s">
        <v>2004</v>
      </c>
      <c r="E649" s="4384"/>
      <c r="F649" s="4383"/>
      <c r="G649" s="4384"/>
      <c r="H649" s="4383"/>
      <c r="I649" s="4384"/>
      <c r="J649" s="4383"/>
      <c r="K649" s="4384"/>
      <c r="M649" s="4384"/>
    </row>
    <row r="650" spans="2:13">
      <c r="B650" s="4309" t="s">
        <v>2005</v>
      </c>
      <c r="E650" s="4386"/>
      <c r="F650" s="4383"/>
      <c r="G650" s="4386"/>
      <c r="H650" s="4383"/>
      <c r="I650" s="4386"/>
      <c r="J650" s="4383"/>
      <c r="K650" s="4386"/>
      <c r="M650" s="4386"/>
    </row>
    <row r="651" spans="2:13">
      <c r="B651" s="4309" t="s">
        <v>2006</v>
      </c>
      <c r="E651" s="4325">
        <f>SUM(E639:E650)</f>
        <v>0</v>
      </c>
      <c r="F651" s="4328"/>
      <c r="G651" s="4325">
        <f>SUM(G639:G650)</f>
        <v>0</v>
      </c>
      <c r="H651" s="4328"/>
      <c r="I651" s="4325">
        <f>SUM(I639:I650)</f>
        <v>0</v>
      </c>
      <c r="J651" s="4328"/>
      <c r="K651" s="4325">
        <f>SUM(K639:K650)</f>
        <v>0</v>
      </c>
      <c r="L651" s="4356"/>
      <c r="M651" s="4325">
        <f>SUM(M639:M650)</f>
        <v>0</v>
      </c>
    </row>
    <row r="652" spans="2:13" ht="8.25" customHeight="1">
      <c r="E652" s="4324"/>
      <c r="F652" s="4324"/>
      <c r="G652" s="4324"/>
      <c r="H652" s="4324"/>
      <c r="I652" s="4324"/>
      <c r="J652" s="4324"/>
      <c r="K652" s="4324"/>
      <c r="L652" s="4356"/>
      <c r="M652" s="4324"/>
    </row>
    <row r="653" spans="2:13">
      <c r="B653" s="4309" t="str">
        <f>B32</f>
        <v>11. 2015 taxes receivable (taxes in process</v>
      </c>
      <c r="E653" s="4324"/>
      <c r="F653" s="4324"/>
      <c r="G653" s="4324"/>
      <c r="H653" s="4324"/>
      <c r="I653" s="4324"/>
      <c r="J653" s="4324"/>
      <c r="K653" s="4324"/>
      <c r="L653" s="4356"/>
      <c r="M653" s="4324"/>
    </row>
    <row r="654" spans="2:13">
      <c r="B654" s="4309" t="str">
        <f>B33</f>
        <v xml:space="preserve">     of collection 6/30/2016)(Line 2 less Line 10)</v>
      </c>
      <c r="E654" s="4325">
        <f>IF(E651&lt;=0,0,E637-E651)</f>
        <v>0</v>
      </c>
      <c r="F654" s="4328"/>
      <c r="G654" s="4325">
        <f>IF(G651&lt;=0,0,G637-G651)</f>
        <v>0</v>
      </c>
      <c r="H654" s="4328"/>
      <c r="I654" s="4325">
        <f>IF(I651&lt;=0,0,I637-I651)</f>
        <v>0</v>
      </c>
      <c r="J654" s="4328"/>
      <c r="K654" s="4325">
        <f>IF(K651&lt;=0,0,K637-K651)</f>
        <v>0</v>
      </c>
      <c r="L654" s="4328"/>
      <c r="M654" s="4325">
        <f>IF(M651&lt;=0,0,M637-M651)</f>
        <v>0</v>
      </c>
    </row>
    <row r="655" spans="2:13" ht="8.25" customHeight="1">
      <c r="E655" s="4324"/>
      <c r="F655" s="4324"/>
      <c r="G655" s="4324"/>
      <c r="H655" s="4324"/>
      <c r="I655" s="4324"/>
      <c r="J655" s="4324"/>
      <c r="K655" s="4324"/>
      <c r="L655" s="4356"/>
      <c r="M655" s="4324"/>
    </row>
    <row r="656" spans="2:13">
      <c r="B656" s="4309" t="s">
        <v>2025</v>
      </c>
      <c r="E656" s="4324"/>
      <c r="F656" s="4324"/>
      <c r="G656" s="4324"/>
      <c r="H656" s="4324"/>
      <c r="I656" s="4324"/>
      <c r="J656" s="4324"/>
      <c r="K656" s="4324"/>
      <c r="L656" s="4356"/>
      <c r="M656" s="4324"/>
    </row>
    <row r="657" spans="2:14">
      <c r="B657" s="4309" t="s">
        <v>2008</v>
      </c>
      <c r="E657" s="4324"/>
      <c r="F657" s="4324"/>
      <c r="G657" s="4324"/>
      <c r="H657" s="4324"/>
      <c r="I657" s="4324"/>
      <c r="J657" s="4324"/>
      <c r="K657" s="4324"/>
      <c r="L657" s="4356"/>
      <c r="M657" s="4324"/>
    </row>
    <row r="658" spans="2:14">
      <c r="B658" s="4309" t="str">
        <f>B37</f>
        <v xml:space="preserve">     (7-1-2016 to 12-31-2017) (Line 3 x 75%)</v>
      </c>
      <c r="E658" s="4325">
        <f>SUM(E639*0.75)</f>
        <v>0</v>
      </c>
      <c r="F658" s="4328"/>
      <c r="G658" s="4325">
        <f>SUM(G639*0.75)</f>
        <v>0</v>
      </c>
      <c r="H658" s="4328"/>
      <c r="I658" s="4325">
        <f>SUM(I639*0.75)</f>
        <v>0</v>
      </c>
      <c r="J658" s="4328"/>
      <c r="K658" s="4325">
        <f>SUM(K639*0.75)</f>
        <v>0</v>
      </c>
      <c r="L658" s="4356"/>
      <c r="M658" s="4325">
        <f>SUM(M639*0.75)</f>
        <v>0</v>
      </c>
    </row>
    <row r="659" spans="2:14" ht="6.75" customHeight="1">
      <c r="E659" s="4356"/>
      <c r="F659" s="4356"/>
      <c r="G659" s="4356"/>
      <c r="H659" s="4356"/>
      <c r="I659" s="4356"/>
      <c r="J659" s="4356"/>
      <c r="K659" s="4356"/>
      <c r="L659" s="4356"/>
      <c r="M659" s="4356"/>
    </row>
    <row r="660" spans="2:14" ht="15">
      <c r="B660" s="4350" t="str">
        <f>B39</f>
        <v>Tax Collection Ratio (Jan, Mar, June)</v>
      </c>
      <c r="E660" s="4379">
        <f>IF(E637&lt;&gt;0,(E641+E643+E645+E647+E649)/E637*100,0)</f>
        <v>0</v>
      </c>
      <c r="F660" s="4335" t="s">
        <v>1124</v>
      </c>
      <c r="G660" s="4379">
        <f>IF(G637&lt;&gt;0,(G641+G643+G645+G647+G649)/G637*100,0)</f>
        <v>0</v>
      </c>
      <c r="H660" s="4335" t="s">
        <v>1124</v>
      </c>
      <c r="I660" s="4379">
        <f>IF(I637&lt;&gt;0,(I641+I643+I645+I647+I649)/I637*100,0)</f>
        <v>0</v>
      </c>
      <c r="J660" s="4335" t="s">
        <v>1124</v>
      </c>
      <c r="K660" s="4379">
        <f>IF(K637&lt;&gt;0,(K641+K643+K645+K647+K649)/K637*100,0)</f>
        <v>0</v>
      </c>
      <c r="L660" s="4335" t="s">
        <v>1124</v>
      </c>
      <c r="M660" s="4379">
        <f>IF(M637&lt;&gt;0,(M641+M643+M645+M647+M649)/M637*100,0)</f>
        <v>0</v>
      </c>
      <c r="N660" s="4333" t="s">
        <v>1124</v>
      </c>
    </row>
    <row r="661" spans="2:14" ht="5.25" customHeight="1"/>
    <row r="662" spans="2:14">
      <c r="B662" s="4351" t="str">
        <f>B97</f>
        <v>*Amounts are available from the County Treasurer.       **These Jan.-June, 2016 amounts are available from the County Treasurer.  (Should correspond to school</v>
      </c>
    </row>
    <row r="663" spans="2:14">
      <c r="B663" s="4351" t="str">
        <f>B98</f>
        <v xml:space="preserve"> records and does not include MVPT.)   Include Watercraft Tax if USD received payment direct from county.</v>
      </c>
    </row>
    <row r="664" spans="2:14" ht="15">
      <c r="B664" s="4309" t="s">
        <v>1987</v>
      </c>
      <c r="M664" s="4310" t="s">
        <v>2046</v>
      </c>
    </row>
    <row r="665" spans="2:14">
      <c r="B665" s="4311">
        <f>B2</f>
        <v>42522</v>
      </c>
      <c r="C665" s="4312"/>
      <c r="D665" s="4312"/>
      <c r="G665" s="4314" t="s">
        <v>1989</v>
      </c>
      <c r="H665" s="4314"/>
      <c r="I665" s="4316" t="str">
        <f>I534</f>
        <v>270 - Plainville</v>
      </c>
      <c r="J665" s="4316"/>
      <c r="K665" s="4316"/>
      <c r="L665" s="4314" t="s">
        <v>1990</v>
      </c>
      <c r="M665" s="4317">
        <f>M534</f>
        <v>270</v>
      </c>
    </row>
    <row r="666" spans="2:14">
      <c r="K666" s="4314" t="s">
        <v>1112</v>
      </c>
      <c r="M666" s="4316">
        <f>M535</f>
        <v>0</v>
      </c>
    </row>
    <row r="667" spans="2:14" ht="8.25" customHeight="1">
      <c r="E667" s="4320"/>
      <c r="F667" s="4320"/>
      <c r="G667" s="4320"/>
      <c r="H667" s="4320"/>
      <c r="I667" s="4320"/>
      <c r="J667" s="4320"/>
      <c r="K667" s="4321"/>
      <c r="L667" s="4321"/>
      <c r="M667" s="4320"/>
    </row>
    <row r="668" spans="2:14">
      <c r="B668" s="4320" t="str">
        <f>B5</f>
        <v>2016-2017</v>
      </c>
      <c r="C668" s="4320"/>
      <c r="D668" s="4320"/>
      <c r="E668" s="4320"/>
      <c r="F668" s="4320"/>
      <c r="G668" s="4320"/>
      <c r="H668" s="4320"/>
      <c r="I668" s="4320"/>
      <c r="J668" s="4320"/>
      <c r="K668" s="4320"/>
      <c r="L668" s="4320"/>
      <c r="M668" s="4320"/>
    </row>
    <row r="669" spans="2:14">
      <c r="B669" s="4320" t="s">
        <v>1993</v>
      </c>
      <c r="C669" s="4320"/>
      <c r="D669" s="4320"/>
      <c r="E669" s="4320"/>
      <c r="F669" s="4320"/>
      <c r="G669" s="4320"/>
      <c r="H669" s="4320"/>
      <c r="I669" s="4320"/>
      <c r="J669" s="4320"/>
      <c r="K669" s="4320"/>
      <c r="L669" s="4320"/>
      <c r="M669" s="4320"/>
    </row>
    <row r="670" spans="2:14">
      <c r="B670" s="4320" t="s">
        <v>1994</v>
      </c>
      <c r="C670" s="4320"/>
      <c r="D670" s="4320"/>
      <c r="E670" s="4320"/>
      <c r="F670" s="4320"/>
      <c r="G670" s="4320"/>
      <c r="H670" s="4320"/>
      <c r="I670" s="4320"/>
      <c r="J670" s="4320"/>
      <c r="K670" s="4320"/>
      <c r="L670" s="4320"/>
      <c r="M670" s="4320"/>
    </row>
    <row r="671" spans="2:14" ht="15">
      <c r="B671" s="4322" t="s">
        <v>1995</v>
      </c>
      <c r="C671" s="4322"/>
      <c r="D671" s="4322"/>
      <c r="E671" s="4320"/>
      <c r="F671" s="4320"/>
      <c r="G671" s="4320"/>
      <c r="H671" s="4320"/>
      <c r="I671" s="4320"/>
      <c r="J671" s="4320"/>
      <c r="K671" s="4320"/>
      <c r="L671" s="4320"/>
      <c r="M671" s="4320"/>
    </row>
    <row r="672" spans="2:14" ht="8.25" customHeight="1">
      <c r="E672" s="4318"/>
      <c r="F672" s="4318"/>
      <c r="G672" s="4318"/>
      <c r="H672" s="4318"/>
      <c r="I672" s="4318"/>
      <c r="J672" s="4318"/>
      <c r="K672" s="4318"/>
      <c r="L672" s="4318"/>
      <c r="M672" s="4318"/>
    </row>
    <row r="673" spans="2:13" ht="15">
      <c r="E673" s="4380"/>
      <c r="F673" s="4318"/>
      <c r="G673" s="4318" t="str">
        <f>G149</f>
        <v>Rec. Comm</v>
      </c>
      <c r="H673" s="4318"/>
      <c r="I673" s="4318" t="s">
        <v>2047</v>
      </c>
      <c r="J673" s="4318"/>
      <c r="K673" s="4350" t="s">
        <v>2048</v>
      </c>
      <c r="L673" s="4318"/>
      <c r="M673" s="4356"/>
    </row>
    <row r="674" spans="2:13" ht="15">
      <c r="E674" s="4380" t="s">
        <v>2049</v>
      </c>
      <c r="F674" s="4318"/>
      <c r="G674" s="4318" t="str">
        <f>G150</f>
        <v>Emp Benef</v>
      </c>
      <c r="H674" s="4318"/>
      <c r="I674" s="4318" t="s">
        <v>2050</v>
      </c>
      <c r="J674" s="4318"/>
      <c r="K674" s="4318" t="s">
        <v>2051</v>
      </c>
      <c r="L674" s="4318"/>
      <c r="M674" s="4380" t="s">
        <v>2052</v>
      </c>
    </row>
    <row r="675" spans="2:13" ht="15">
      <c r="E675" s="4380" t="s">
        <v>2053</v>
      </c>
      <c r="G675" s="4318" t="str">
        <f>G151</f>
        <v>&amp; Spec Liab</v>
      </c>
      <c r="I675" s="4318" t="s">
        <v>2054</v>
      </c>
      <c r="K675" s="4318" t="s">
        <v>2055</v>
      </c>
      <c r="M675" s="4380" t="s">
        <v>2056</v>
      </c>
    </row>
    <row r="676" spans="2:13" ht="7.5" customHeight="1">
      <c r="G676" s="4350"/>
    </row>
    <row r="677" spans="2:13">
      <c r="B677" s="4309" t="str">
        <f>B14</f>
        <v>1.  County Treasurer Balance 6/30/2016 *</v>
      </c>
      <c r="E677" s="4388"/>
      <c r="F677" s="4383"/>
      <c r="G677" s="4384"/>
      <c r="H677" s="4383"/>
      <c r="I677" s="4384"/>
      <c r="J677" s="4383"/>
      <c r="K677" s="4384"/>
      <c r="M677" s="4388"/>
    </row>
    <row r="678" spans="2:13" ht="6.75" customHeight="1">
      <c r="B678" s="4326"/>
      <c r="C678" s="4326"/>
      <c r="D678" s="4326"/>
      <c r="E678" s="4385"/>
      <c r="F678" s="4385"/>
      <c r="G678" s="4385"/>
      <c r="H678" s="4385"/>
      <c r="I678" s="4385"/>
      <c r="J678" s="4385"/>
      <c r="K678" s="4385"/>
      <c r="M678" s="4385"/>
    </row>
    <row r="679" spans="2:13">
      <c r="B679" s="4309" t="str">
        <f>B16</f>
        <v>2.  2015 Actual Taxes Levied*</v>
      </c>
      <c r="E679" s="4388"/>
      <c r="F679" s="4383"/>
      <c r="G679" s="4384"/>
      <c r="H679" s="4383"/>
      <c r="I679" s="4384"/>
      <c r="J679" s="4383"/>
      <c r="K679" s="4384"/>
      <c r="M679" s="4388"/>
    </row>
    <row r="680" spans="2:13" ht="6.75" customHeight="1">
      <c r="E680" s="4383"/>
      <c r="F680" s="4383"/>
      <c r="G680" s="4383"/>
      <c r="H680" s="4383"/>
      <c r="I680" s="4383"/>
      <c r="J680" s="4383"/>
      <c r="K680" s="4383"/>
      <c r="M680" s="4383"/>
    </row>
    <row r="681" spans="2:13">
      <c r="B681" s="4309" t="s">
        <v>2023</v>
      </c>
      <c r="C681" s="4347">
        <f>C551</f>
        <v>0</v>
      </c>
      <c r="D681" s="4356"/>
      <c r="E681" s="4381">
        <f>E679*$C$681/100</f>
        <v>0</v>
      </c>
      <c r="F681" s="4328"/>
      <c r="G681" s="4325">
        <f>G679*$C$681/100</f>
        <v>0</v>
      </c>
      <c r="H681" s="4328"/>
      <c r="I681" s="4325">
        <f>I679*$C$681/100</f>
        <v>0</v>
      </c>
      <c r="J681" s="4328"/>
      <c r="K681" s="4325">
        <f>K679*$C$681/100</f>
        <v>0</v>
      </c>
      <c r="L681" s="4328"/>
      <c r="M681" s="4325">
        <f>M679*$C$681/100</f>
        <v>0</v>
      </c>
    </row>
    <row r="682" spans="2:13" ht="8.25" customHeight="1">
      <c r="E682" s="4383"/>
      <c r="F682" s="4383"/>
      <c r="G682" s="4383"/>
      <c r="H682" s="4383"/>
      <c r="I682" s="4383"/>
      <c r="J682" s="4383"/>
      <c r="K682" s="4383"/>
      <c r="M682" s="4383"/>
    </row>
    <row r="683" spans="2:13">
      <c r="B683" s="4309" t="str">
        <f>B20</f>
        <v>4.  Less:  Jan. 20, 2016 Taxes received**</v>
      </c>
      <c r="E683" s="4388"/>
      <c r="F683" s="4383"/>
      <c r="G683" s="4384"/>
      <c r="H683" s="4383"/>
      <c r="I683" s="4384"/>
      <c r="J683" s="4383"/>
      <c r="K683" s="4384"/>
      <c r="M683" s="4388"/>
    </row>
    <row r="684" spans="2:13" ht="7.5" customHeight="1">
      <c r="E684" s="4383"/>
      <c r="F684" s="4383"/>
      <c r="G684" s="4383"/>
      <c r="H684" s="4383"/>
      <c r="I684" s="4383"/>
      <c r="J684" s="4383"/>
      <c r="K684" s="4383"/>
      <c r="M684" s="4383"/>
    </row>
    <row r="685" spans="2:13">
      <c r="B685" s="4309" t="str">
        <f>B22</f>
        <v>5.  Less:  Mar. 20, 2016  Taxes received**</v>
      </c>
      <c r="E685" s="4388"/>
      <c r="F685" s="4383"/>
      <c r="G685" s="4384"/>
      <c r="H685" s="4383"/>
      <c r="I685" s="4384"/>
      <c r="J685" s="4383"/>
      <c r="K685" s="4384"/>
      <c r="M685" s="4388"/>
    </row>
    <row r="686" spans="2:13" ht="8.25" customHeight="1">
      <c r="E686" s="4376"/>
      <c r="F686" s="4383"/>
      <c r="G686" s="4376"/>
      <c r="H686" s="4383"/>
      <c r="I686" s="4376"/>
      <c r="J686" s="4383"/>
      <c r="K686" s="4376"/>
      <c r="M686" s="4376"/>
    </row>
    <row r="687" spans="2:13">
      <c r="B687" s="4309" t="str">
        <f>B24</f>
        <v>6.  Less:  June 5,  2016 Taxes received**</v>
      </c>
      <c r="E687" s="4388"/>
      <c r="F687" s="4383"/>
      <c r="G687" s="4384"/>
      <c r="H687" s="4383"/>
      <c r="I687" s="4384"/>
      <c r="J687" s="4383"/>
      <c r="K687" s="4384"/>
      <c r="M687" s="4388"/>
    </row>
    <row r="688" spans="2:13" ht="7.5" customHeight="1">
      <c r="E688" s="4376"/>
      <c r="F688" s="4383"/>
      <c r="G688" s="4376"/>
      <c r="H688" s="4383"/>
      <c r="I688" s="4376"/>
      <c r="J688" s="4383"/>
      <c r="K688" s="4376"/>
      <c r="M688" s="4376"/>
    </row>
    <row r="689" spans="2:14">
      <c r="B689" s="4309" t="s">
        <v>2003</v>
      </c>
      <c r="E689" s="4388"/>
      <c r="F689" s="4383"/>
      <c r="G689" s="4384"/>
      <c r="H689" s="4383"/>
      <c r="I689" s="4384"/>
      <c r="J689" s="4383"/>
      <c r="K689" s="4384"/>
      <c r="M689" s="4388"/>
    </row>
    <row r="690" spans="2:14" ht="7.5" customHeight="1">
      <c r="E690" s="4383"/>
      <c r="F690" s="4383"/>
      <c r="G690" s="4383"/>
      <c r="H690" s="4383"/>
      <c r="I690" s="4383"/>
      <c r="J690" s="4383"/>
      <c r="K690" s="4383"/>
      <c r="M690" s="4383"/>
    </row>
    <row r="691" spans="2:14">
      <c r="B691" s="4309" t="s">
        <v>2004</v>
      </c>
      <c r="E691" s="4388"/>
      <c r="F691" s="4383"/>
      <c r="G691" s="4384"/>
      <c r="H691" s="4383"/>
      <c r="I691" s="4384"/>
      <c r="J691" s="4383"/>
      <c r="K691" s="4384"/>
      <c r="M691" s="4388"/>
    </row>
    <row r="692" spans="2:14">
      <c r="B692" s="4309" t="s">
        <v>2005</v>
      </c>
      <c r="E692" s="4389"/>
      <c r="F692" s="4383"/>
      <c r="G692" s="4386"/>
      <c r="H692" s="4383"/>
      <c r="I692" s="4386"/>
      <c r="J692" s="4383"/>
      <c r="K692" s="4386"/>
      <c r="M692" s="4389"/>
    </row>
    <row r="693" spans="2:14">
      <c r="B693" s="4309" t="s">
        <v>2062</v>
      </c>
      <c r="E693" s="4381">
        <f>SUM(E681:E692)</f>
        <v>0</v>
      </c>
      <c r="F693" s="4328"/>
      <c r="G693" s="4325">
        <f>SUM(G681:G692)</f>
        <v>0</v>
      </c>
      <c r="H693" s="4328"/>
      <c r="I693" s="4325">
        <f>SUM(I681:I692)</f>
        <v>0</v>
      </c>
      <c r="J693" s="4328"/>
      <c r="K693" s="4325">
        <f>SUM(K681:K692)</f>
        <v>0</v>
      </c>
      <c r="L693" s="4356"/>
      <c r="M693" s="4325">
        <f>SUM(M681:M692)</f>
        <v>0</v>
      </c>
    </row>
    <row r="694" spans="2:14" ht="8.25" customHeight="1">
      <c r="E694" s="4324"/>
      <c r="F694" s="4324"/>
      <c r="G694" s="4324"/>
      <c r="H694" s="4324"/>
      <c r="I694" s="4324"/>
      <c r="J694" s="4324"/>
      <c r="K694" s="4324"/>
      <c r="L694" s="4356"/>
      <c r="M694" s="4324"/>
    </row>
    <row r="695" spans="2:14">
      <c r="B695" s="4309" t="str">
        <f>B32</f>
        <v>11. 2015 taxes receivable (taxes in process</v>
      </c>
      <c r="E695" s="4324"/>
      <c r="F695" s="4324"/>
      <c r="G695" s="4324"/>
      <c r="H695" s="4324"/>
      <c r="I695" s="4324"/>
      <c r="J695" s="4324"/>
      <c r="K695" s="4324"/>
      <c r="L695" s="4356"/>
      <c r="M695" s="4324"/>
    </row>
    <row r="696" spans="2:14">
      <c r="B696" s="4309" t="str">
        <f>B33</f>
        <v xml:space="preserve">     of collection 6/30/2016)(Line 2 less Line 10)</v>
      </c>
      <c r="E696" s="4381">
        <f>IF(E693&lt;=0,0,E679-E693)</f>
        <v>0</v>
      </c>
      <c r="F696" s="4328"/>
      <c r="G696" s="4325">
        <f>IF(G693&lt;=0,0,G679-G693)</f>
        <v>0</v>
      </c>
      <c r="H696" s="4328"/>
      <c r="I696" s="4325">
        <f>IF(I693&lt;=0,0,I679-I693)</f>
        <v>0</v>
      </c>
      <c r="J696" s="4328"/>
      <c r="K696" s="4325">
        <f>IF(K693&lt;=0,0,K679-K693)</f>
        <v>0</v>
      </c>
      <c r="L696" s="4328"/>
      <c r="M696" s="4325">
        <f>IF(M693&lt;=0,0,M679-M693)</f>
        <v>0</v>
      </c>
    </row>
    <row r="697" spans="2:14" ht="8.25" customHeight="1">
      <c r="E697" s="4324"/>
      <c r="F697" s="4324"/>
      <c r="G697" s="4324"/>
      <c r="H697" s="4324"/>
      <c r="I697" s="4324"/>
      <c r="J697" s="4324"/>
      <c r="K697" s="4324"/>
      <c r="L697" s="4356"/>
      <c r="M697" s="4324"/>
    </row>
    <row r="698" spans="2:14">
      <c r="B698" s="4309" t="s">
        <v>2025</v>
      </c>
      <c r="E698" s="4324"/>
      <c r="F698" s="4324"/>
      <c r="G698" s="4324"/>
      <c r="H698" s="4324"/>
      <c r="I698" s="4324"/>
      <c r="J698" s="4324"/>
      <c r="K698" s="4324"/>
      <c r="L698" s="4356"/>
      <c r="M698" s="4324"/>
    </row>
    <row r="699" spans="2:14">
      <c r="B699" s="4309" t="s">
        <v>2008</v>
      </c>
      <c r="E699" s="4324"/>
      <c r="F699" s="4324"/>
      <c r="G699" s="4324"/>
      <c r="H699" s="4324"/>
      <c r="I699" s="4324"/>
      <c r="J699" s="4324"/>
      <c r="K699" s="4324"/>
      <c r="L699" s="4356"/>
      <c r="M699" s="4324"/>
    </row>
    <row r="700" spans="2:14">
      <c r="B700" s="4309" t="str">
        <f>B37</f>
        <v xml:space="preserve">     (7-1-2016 to 12-31-2017) (Line 3 x 75%)</v>
      </c>
      <c r="E700" s="4381">
        <f>SUM(E681*0.75)</f>
        <v>0</v>
      </c>
      <c r="F700" s="4328"/>
      <c r="G700" s="4325">
        <f>SUM(G681*0.75)</f>
        <v>0</v>
      </c>
      <c r="H700" s="4328"/>
      <c r="I700" s="4325">
        <f>SUM(I681*0.75)</f>
        <v>0</v>
      </c>
      <c r="J700" s="4328"/>
      <c r="K700" s="4325">
        <f>SUM(K681*0.75)</f>
        <v>0</v>
      </c>
      <c r="L700" s="4356"/>
      <c r="M700" s="4325">
        <f>SUM(M681*0.75)</f>
        <v>0</v>
      </c>
    </row>
    <row r="701" spans="2:14" ht="15">
      <c r="B701" s="4350" t="str">
        <f>B39</f>
        <v>Tax Collection Ratio (Jan, Mar, June)</v>
      </c>
      <c r="E701" s="4379">
        <f>IF(E679&lt;&gt;0,(E683+E685+E687+E689+E691)/E679*100,0)</f>
        <v>0</v>
      </c>
      <c r="F701" s="4335" t="s">
        <v>1124</v>
      </c>
      <c r="G701" s="4379">
        <f>IF(G679&lt;&gt;0,(G683+G685+G687+G689+G691)/G679*100,0)</f>
        <v>0</v>
      </c>
      <c r="H701" s="4335" t="s">
        <v>1124</v>
      </c>
      <c r="I701" s="4379">
        <f>IF(I679&lt;&gt;0,(I683+I685+I687+I689+I691)/I679*100,0)</f>
        <v>0</v>
      </c>
      <c r="J701" s="4335" t="s">
        <v>1124</v>
      </c>
      <c r="K701" s="4379">
        <f>IF(K679&lt;&gt;0,(K683+K685+K687+K689+K691)/K679*100,0)</f>
        <v>0</v>
      </c>
      <c r="L701" s="4335" t="s">
        <v>1124</v>
      </c>
      <c r="M701" s="4379">
        <f>IF(M679&lt;&gt;0,(M683+M685+M687+M689+M691)/M679*100,0)</f>
        <v>0</v>
      </c>
      <c r="N701" s="4333" t="s">
        <v>1124</v>
      </c>
    </row>
    <row r="702" spans="2:14" ht="3.75" customHeight="1"/>
    <row r="703" spans="2:14" ht="15" customHeight="1">
      <c r="B703" s="4351" t="str">
        <f>B97</f>
        <v>*Amounts are available from the County Treasurer.       **These Jan.-June, 2016 amounts are available from the County Treasurer.  (Should correspond to school</v>
      </c>
    </row>
    <row r="704" spans="2:14">
      <c r="B704" s="4351" t="str">
        <f>B98</f>
        <v xml:space="preserve"> records and does not include MVPT.)   Include Watercraft Tax if USD received payment direct from county.</v>
      </c>
    </row>
    <row r="705" spans="2:13" ht="15">
      <c r="B705" s="4309" t="s">
        <v>1987</v>
      </c>
      <c r="M705" s="4310" t="s">
        <v>1988</v>
      </c>
    </row>
    <row r="706" spans="2:13">
      <c r="B706" s="4311">
        <f>B2</f>
        <v>42522</v>
      </c>
      <c r="C706" s="4312"/>
      <c r="D706" s="4312"/>
      <c r="F706" s="4314"/>
      <c r="G706" s="4314" t="s">
        <v>1989</v>
      </c>
      <c r="H706" s="4314"/>
      <c r="I706" s="4315" t="str">
        <f>I2</f>
        <v>270 - Plainville</v>
      </c>
      <c r="J706" s="4316"/>
      <c r="K706" s="4316"/>
      <c r="L706" s="4314" t="s">
        <v>1990</v>
      </c>
      <c r="M706" s="4317">
        <f>M2</f>
        <v>270</v>
      </c>
    </row>
    <row r="707" spans="2:13">
      <c r="K707" s="4314" t="s">
        <v>1112</v>
      </c>
      <c r="M707" s="4390">
        <v>0</v>
      </c>
    </row>
    <row r="708" spans="2:13" ht="7.5" customHeight="1">
      <c r="E708" s="4320"/>
      <c r="F708" s="4320"/>
      <c r="G708" s="4320"/>
      <c r="H708" s="4320"/>
      <c r="I708" s="4320"/>
      <c r="J708" s="4320"/>
      <c r="K708" s="4321"/>
      <c r="L708" s="4321"/>
      <c r="M708" s="4320"/>
    </row>
    <row r="709" spans="2:13" ht="9" customHeight="1">
      <c r="E709" s="4320"/>
      <c r="F709" s="4320"/>
      <c r="G709" s="4320"/>
      <c r="H709" s="4320"/>
      <c r="I709" s="4320"/>
      <c r="J709" s="4320"/>
      <c r="K709" s="4321"/>
      <c r="L709" s="4321"/>
      <c r="M709" s="4320"/>
    </row>
    <row r="710" spans="2:13">
      <c r="B710" s="4320" t="str">
        <f>B5</f>
        <v>2016-2017</v>
      </c>
      <c r="C710" s="4320"/>
      <c r="D710" s="4320"/>
      <c r="E710" s="4320"/>
      <c r="F710" s="4320"/>
      <c r="G710" s="4320"/>
      <c r="H710" s="4320"/>
      <c r="I710" s="4320"/>
      <c r="J710" s="4320"/>
      <c r="K710" s="4320"/>
      <c r="L710" s="4320"/>
      <c r="M710" s="4320"/>
    </row>
    <row r="711" spans="2:13">
      <c r="B711" s="4320" t="s">
        <v>1993</v>
      </c>
      <c r="C711" s="4320"/>
      <c r="D711" s="4320"/>
      <c r="E711" s="4320"/>
      <c r="F711" s="4320"/>
      <c r="G711" s="4320"/>
      <c r="H711" s="4320"/>
      <c r="I711" s="4320"/>
      <c r="J711" s="4320"/>
      <c r="K711" s="4320"/>
      <c r="L711" s="4320"/>
      <c r="M711" s="4320"/>
    </row>
    <row r="712" spans="2:13">
      <c r="B712" s="4320" t="s">
        <v>1994</v>
      </c>
      <c r="C712" s="4320"/>
      <c r="D712" s="4320"/>
      <c r="E712" s="4320"/>
      <c r="F712" s="4320"/>
      <c r="G712" s="4320"/>
      <c r="H712" s="4320"/>
      <c r="I712" s="4320"/>
      <c r="J712" s="4320"/>
      <c r="K712" s="4320"/>
      <c r="L712" s="4320"/>
      <c r="M712" s="4320"/>
    </row>
    <row r="713" spans="2:13" ht="15">
      <c r="B713" s="4322" t="s">
        <v>1995</v>
      </c>
      <c r="C713" s="4322"/>
      <c r="D713" s="4322"/>
      <c r="E713" s="4320"/>
      <c r="F713" s="4320"/>
      <c r="G713" s="4320"/>
      <c r="H713" s="4320"/>
      <c r="I713" s="4320"/>
      <c r="J713" s="4320"/>
      <c r="K713" s="4320"/>
      <c r="L713" s="4320"/>
      <c r="M713" s="4320"/>
    </row>
    <row r="714" spans="2:13" ht="8.25" customHeight="1"/>
    <row r="715" spans="2:13" ht="15">
      <c r="E715" s="4318"/>
      <c r="F715" s="4318"/>
      <c r="G715" s="4318" t="s">
        <v>1996</v>
      </c>
      <c r="H715" s="4318"/>
      <c r="I715" s="4318" t="s">
        <v>1997</v>
      </c>
      <c r="J715" s="4318"/>
      <c r="K715" s="4318" t="s">
        <v>1998</v>
      </c>
      <c r="L715" s="4318"/>
      <c r="M715" s="4318"/>
    </row>
    <row r="716" spans="2:13" ht="15">
      <c r="E716" s="4318" t="s">
        <v>993</v>
      </c>
      <c r="F716" s="4318"/>
      <c r="G716" s="4318" t="s">
        <v>993</v>
      </c>
      <c r="H716" s="4318"/>
      <c r="I716" s="4318" t="s">
        <v>1999</v>
      </c>
      <c r="J716" s="4318"/>
      <c r="K716" s="4318" t="s">
        <v>2000</v>
      </c>
      <c r="L716" s="4318"/>
      <c r="M716" s="4318" t="s">
        <v>2001</v>
      </c>
    </row>
    <row r="717" spans="2:13" ht="15">
      <c r="E717" s="4318" t="s">
        <v>1152</v>
      </c>
      <c r="F717" s="4318"/>
      <c r="G717" s="4318" t="s">
        <v>1152</v>
      </c>
      <c r="H717" s="4318"/>
      <c r="I717" s="4318" t="s">
        <v>1152</v>
      </c>
      <c r="J717" s="4318"/>
      <c r="K717" s="4318" t="str">
        <f>K12</f>
        <v>Fund #1</v>
      </c>
      <c r="L717" s="4318"/>
      <c r="M717" s="4318" t="str">
        <f>M12</f>
        <v>Fund</v>
      </c>
    </row>
    <row r="718" spans="2:13" ht="8.25" customHeight="1"/>
    <row r="719" spans="2:13">
      <c r="B719" s="4309" t="str">
        <f>B14</f>
        <v>1.  County Treasurer Balance 6/30/2016 *</v>
      </c>
      <c r="E719" s="4382"/>
      <c r="F719" s="4383"/>
      <c r="G719" s="4384"/>
      <c r="H719" s="4383"/>
      <c r="I719" s="4384"/>
      <c r="J719" s="4383"/>
      <c r="K719" s="4384"/>
      <c r="L719" s="4383"/>
      <c r="M719" s="4384"/>
    </row>
    <row r="720" spans="2:13" ht="7.5" customHeight="1">
      <c r="B720" s="4326"/>
      <c r="C720" s="4326"/>
      <c r="D720" s="4326"/>
      <c r="E720" s="4385"/>
      <c r="F720" s="4385"/>
      <c r="G720" s="4385"/>
      <c r="H720" s="4385"/>
      <c r="I720" s="4385"/>
      <c r="J720" s="4385"/>
      <c r="K720" s="4385"/>
      <c r="L720" s="4385"/>
      <c r="M720" s="4385"/>
    </row>
    <row r="721" spans="2:13">
      <c r="B721" s="4309" t="str">
        <f>B16</f>
        <v>2.  2015 Actual Taxes Levied*</v>
      </c>
      <c r="E721" s="4382"/>
      <c r="F721" s="4383"/>
      <c r="G721" s="4384"/>
      <c r="H721" s="4383"/>
      <c r="I721" s="4384"/>
      <c r="J721" s="4383"/>
      <c r="K721" s="4384"/>
      <c r="L721" s="4383"/>
      <c r="M721" s="4384"/>
    </row>
    <row r="722" spans="2:13" ht="8.25" customHeight="1">
      <c r="E722" s="4376"/>
      <c r="F722" s="4383"/>
      <c r="G722" s="4383"/>
      <c r="H722" s="4383"/>
      <c r="I722" s="4383"/>
      <c r="J722" s="4383"/>
      <c r="K722" s="4383"/>
      <c r="L722" s="4383"/>
      <c r="M722" s="4383"/>
    </row>
    <row r="723" spans="2:13">
      <c r="B723" s="4309" t="s">
        <v>2002</v>
      </c>
      <c r="C723" s="4329"/>
      <c r="E723" s="4328"/>
      <c r="F723" s="4328"/>
      <c r="G723" s="4325">
        <f>SUM(G721*$C$723/100)</f>
        <v>0</v>
      </c>
      <c r="H723" s="4328"/>
      <c r="I723" s="4325">
        <f>SUM(I721*$C$723/100)</f>
        <v>0</v>
      </c>
      <c r="J723" s="4328"/>
      <c r="K723" s="4325">
        <f>SUM(K721*$C$723/100)</f>
        <v>0</v>
      </c>
      <c r="L723" s="4328"/>
      <c r="M723" s="4325">
        <f>SUM(M721*$C$723/100)</f>
        <v>0</v>
      </c>
    </row>
    <row r="724" spans="2:13" ht="7.5" customHeight="1">
      <c r="E724" s="4376"/>
      <c r="F724" s="4383"/>
      <c r="G724" s="4383"/>
      <c r="H724" s="4383"/>
      <c r="I724" s="4383"/>
      <c r="J724" s="4383"/>
      <c r="K724" s="4383"/>
      <c r="L724" s="4383"/>
      <c r="M724" s="4383"/>
    </row>
    <row r="725" spans="2:13">
      <c r="B725" s="4309" t="str">
        <f>B20</f>
        <v>4.  Less:  Jan. 20, 2016 Taxes received**</v>
      </c>
      <c r="C725" s="4314"/>
      <c r="E725" s="4382"/>
      <c r="F725" s="4383"/>
      <c r="G725" s="4384"/>
      <c r="H725" s="4383"/>
      <c r="I725" s="4384"/>
      <c r="J725" s="4383"/>
      <c r="K725" s="4384"/>
      <c r="L725" s="4383"/>
      <c r="M725" s="4384"/>
    </row>
    <row r="726" spans="2:13" ht="7.5" customHeight="1">
      <c r="E726" s="4376"/>
      <c r="F726" s="4383"/>
      <c r="G726" s="4383"/>
      <c r="H726" s="4383"/>
      <c r="I726" s="4324"/>
      <c r="J726" s="4383"/>
      <c r="K726" s="4383"/>
      <c r="L726" s="4383"/>
      <c r="M726" s="4383"/>
    </row>
    <row r="727" spans="2:13">
      <c r="B727" s="4309" t="str">
        <f>B22</f>
        <v>5.  Less:  Mar. 20, 2016  Taxes received**</v>
      </c>
      <c r="E727" s="4382"/>
      <c r="F727" s="4383"/>
      <c r="G727" s="4384"/>
      <c r="H727" s="4383"/>
      <c r="I727" s="4384"/>
      <c r="J727" s="4383"/>
      <c r="K727" s="4384"/>
      <c r="L727" s="4383"/>
      <c r="M727" s="4384"/>
    </row>
    <row r="728" spans="2:13" ht="8.25" customHeight="1">
      <c r="E728" s="4376"/>
      <c r="F728" s="4383"/>
      <c r="G728" s="4383"/>
      <c r="H728" s="4383"/>
      <c r="I728" s="4383"/>
      <c r="J728" s="4383"/>
      <c r="K728" s="4383"/>
      <c r="L728" s="4383"/>
      <c r="M728" s="4383"/>
    </row>
    <row r="729" spans="2:13">
      <c r="B729" s="4309" t="str">
        <f>B24</f>
        <v>6.  Less:  June 5,  2016 Taxes received**</v>
      </c>
      <c r="E729" s="4382"/>
      <c r="F729" s="4383"/>
      <c r="G729" s="4384"/>
      <c r="H729" s="4383"/>
      <c r="I729" s="4384"/>
      <c r="J729" s="4383"/>
      <c r="K729" s="4384"/>
      <c r="L729" s="4383"/>
      <c r="M729" s="4384"/>
    </row>
    <row r="730" spans="2:13" ht="7.5" customHeight="1">
      <c r="E730" s="4376"/>
      <c r="F730" s="4383"/>
      <c r="G730" s="4383"/>
      <c r="H730" s="4383"/>
      <c r="I730" s="4383"/>
      <c r="J730" s="4383"/>
      <c r="K730" s="4383"/>
      <c r="L730" s="4383"/>
      <c r="M730" s="4324"/>
    </row>
    <row r="731" spans="2:13">
      <c r="B731" s="4309" t="s">
        <v>2003</v>
      </c>
      <c r="E731" s="4382"/>
      <c r="F731" s="4383"/>
      <c r="G731" s="4384"/>
      <c r="H731" s="4383"/>
      <c r="I731" s="4384"/>
      <c r="J731" s="4383"/>
      <c r="K731" s="4384"/>
      <c r="L731" s="4383"/>
      <c r="M731" s="4384"/>
    </row>
    <row r="732" spans="2:13" ht="7.5" customHeight="1">
      <c r="E732" s="4376"/>
      <c r="F732" s="4383"/>
      <c r="G732" s="4383"/>
      <c r="H732" s="4383"/>
      <c r="I732" s="4383"/>
      <c r="J732" s="4383"/>
      <c r="K732" s="4383"/>
      <c r="L732" s="4383"/>
      <c r="M732" s="4383"/>
    </row>
    <row r="733" spans="2:13">
      <c r="B733" s="4309" t="s">
        <v>2004</v>
      </c>
      <c r="E733" s="4382"/>
      <c r="F733" s="4383"/>
      <c r="G733" s="4384"/>
      <c r="H733" s="4383"/>
      <c r="I733" s="4384"/>
      <c r="J733" s="4324"/>
      <c r="K733" s="4384"/>
      <c r="L733" s="4383"/>
      <c r="M733" s="4384"/>
    </row>
    <row r="734" spans="2:13">
      <c r="B734" s="4309" t="s">
        <v>2005</v>
      </c>
      <c r="E734" s="4382"/>
      <c r="F734" s="4383"/>
      <c r="G734" s="4386"/>
      <c r="H734" s="4383"/>
      <c r="I734" s="4386"/>
      <c r="J734" s="4383"/>
      <c r="K734" s="4386"/>
      <c r="L734" s="4383"/>
      <c r="M734" s="4386"/>
    </row>
    <row r="735" spans="2:13">
      <c r="B735" s="4309" t="s">
        <v>2006</v>
      </c>
      <c r="E735" s="4328"/>
      <c r="F735" s="4324"/>
      <c r="G735" s="4325">
        <f>SUM(G723:G734)</f>
        <v>0</v>
      </c>
      <c r="H735" s="4324"/>
      <c r="I735" s="4325">
        <f>SUM(I723:I734)</f>
        <v>0</v>
      </c>
      <c r="J735" s="4324"/>
      <c r="K735" s="4325">
        <f>SUM(K723:K734)</f>
        <v>0</v>
      </c>
      <c r="L735" s="4324"/>
      <c r="M735" s="4325">
        <f>SUM(M723:M734)</f>
        <v>0</v>
      </c>
    </row>
    <row r="736" spans="2:13" ht="6.75" customHeight="1">
      <c r="E736" s="4328"/>
      <c r="F736" s="4324"/>
      <c r="G736" s="4324"/>
      <c r="H736" s="4324"/>
      <c r="I736" s="4324"/>
      <c r="J736" s="4324"/>
      <c r="K736" s="4324"/>
      <c r="L736" s="4324"/>
      <c r="M736" s="4324"/>
    </row>
    <row r="737" spans="2:14">
      <c r="B737" s="4309" t="str">
        <f>B32</f>
        <v>11. 2015 taxes receivable (taxes in process</v>
      </c>
      <c r="E737" s="4328"/>
      <c r="F737" s="4324"/>
      <c r="G737" s="4324"/>
      <c r="H737" s="4324"/>
      <c r="I737" s="4324"/>
      <c r="J737" s="4324"/>
      <c r="K737" s="4324"/>
      <c r="L737" s="4324"/>
      <c r="M737" s="4324"/>
    </row>
    <row r="738" spans="2:14">
      <c r="B738" s="4309" t="str">
        <f>B33</f>
        <v xml:space="preserve">     of collection 6/30/2016)(Line 2 less Line 10)</v>
      </c>
      <c r="E738" s="4328"/>
      <c r="F738" s="4324"/>
      <c r="G738" s="4325">
        <f>IF(G735&lt;=0,0,G721-G735)</f>
        <v>0</v>
      </c>
      <c r="H738" s="4324"/>
      <c r="I738" s="4325">
        <f>IF(I735&lt;=0,0,I721-I735)</f>
        <v>0</v>
      </c>
      <c r="J738" s="4324"/>
      <c r="K738" s="4325">
        <f>IF(K735&lt;=0,0,(K721-K735))</f>
        <v>0</v>
      </c>
      <c r="L738" s="4324"/>
      <c r="M738" s="4325">
        <f>IF(M735&lt;=0,0,M721-M735)</f>
        <v>0</v>
      </c>
    </row>
    <row r="739" spans="2:14" ht="6.75" customHeight="1">
      <c r="E739" s="4328"/>
      <c r="F739" s="4324"/>
      <c r="G739" s="4328"/>
      <c r="H739" s="4324"/>
      <c r="I739" s="4328"/>
      <c r="J739" s="4324"/>
      <c r="K739" s="4328"/>
      <c r="L739" s="4324"/>
      <c r="M739" s="4328"/>
    </row>
    <row r="740" spans="2:14">
      <c r="B740" s="4309" t="s">
        <v>2007</v>
      </c>
      <c r="E740" s="4328"/>
      <c r="F740" s="4324"/>
      <c r="G740" s="4324"/>
      <c r="H740" s="4324"/>
      <c r="I740" s="4324"/>
      <c r="J740" s="4324"/>
      <c r="K740" s="4324"/>
      <c r="L740" s="4324"/>
      <c r="M740" s="4324"/>
    </row>
    <row r="741" spans="2:14">
      <c r="B741" s="4309" t="s">
        <v>2008</v>
      </c>
      <c r="E741" s="4328"/>
      <c r="F741" s="4324"/>
      <c r="G741" s="4324"/>
      <c r="H741" s="4324"/>
      <c r="I741" s="4324"/>
      <c r="J741" s="4324"/>
      <c r="K741" s="4324"/>
      <c r="L741" s="4324"/>
      <c r="M741" s="4324"/>
    </row>
    <row r="742" spans="2:14">
      <c r="B742" s="4309" t="str">
        <f>B37</f>
        <v xml:space="preserve">     (7-1-2016 to 12-31-2017) (Line 3 x 75%)</v>
      </c>
      <c r="E742" s="4328"/>
      <c r="F742" s="4324"/>
      <c r="G742" s="4325">
        <f>SUM(G723*0.75)</f>
        <v>0</v>
      </c>
      <c r="H742" s="4324"/>
      <c r="I742" s="4325">
        <f>SUM(I723*0.75)</f>
        <v>0</v>
      </c>
      <c r="J742" s="4324"/>
      <c r="K742" s="4325">
        <f>SUM(K723*0.75)</f>
        <v>0</v>
      </c>
      <c r="L742" s="4324"/>
      <c r="M742" s="4325">
        <f>SUM(M723*0.75)</f>
        <v>0</v>
      </c>
    </row>
    <row r="743" spans="2:14" ht="15">
      <c r="B743" s="4357" t="str">
        <f>B39</f>
        <v>Tax Collection Ratio (Jan, Mar, June)</v>
      </c>
      <c r="C743" s="4326"/>
      <c r="D743" s="4326"/>
      <c r="E743" s="4358">
        <f>IF(E721&lt;&gt;0,(E725+E727+E729+E731+E733)/E721*100,0)</f>
        <v>0</v>
      </c>
      <c r="F743" s="4335" t="s">
        <v>1124</v>
      </c>
      <c r="G743" s="4358">
        <f>IF(G721&lt;&gt;0,(G725+G727+G729+G731+G733)/G721*100,0)</f>
        <v>0</v>
      </c>
      <c r="H743" s="4335" t="s">
        <v>1124</v>
      </c>
      <c r="I743" s="4358">
        <f>IF(I721&lt;&gt;0,(I725+I727+I729+I731+I733)/I721*100,0)</f>
        <v>0</v>
      </c>
      <c r="J743" s="4335" t="s">
        <v>1124</v>
      </c>
      <c r="K743" s="4358">
        <f>IF(K721&lt;&gt;0,(K725+K727+K729+K731+K733)/K721*100,0)</f>
        <v>0</v>
      </c>
      <c r="L743" s="4335" t="s">
        <v>1124</v>
      </c>
      <c r="M743" s="4358">
        <f>IF(M721&lt;&gt;0,(M725+M727+M729+M731+M733)/M721*100,0)</f>
        <v>0</v>
      </c>
      <c r="N743" s="4333" t="s">
        <v>1124</v>
      </c>
    </row>
    <row r="744" spans="2:14" ht="3" customHeight="1">
      <c r="B744" s="4336"/>
      <c r="C744" s="4333"/>
      <c r="D744" s="4333"/>
      <c r="E744" s="4333"/>
      <c r="F744" s="4333"/>
      <c r="G744" s="4333"/>
      <c r="H744" s="4333"/>
      <c r="I744" s="4333"/>
      <c r="J744" s="4333"/>
      <c r="K744" s="4333"/>
      <c r="L744" s="4333"/>
      <c r="M744" s="4333"/>
    </row>
    <row r="745" spans="2:14" ht="0.75" customHeight="1">
      <c r="B745" s="4348"/>
      <c r="C745" s="4348"/>
      <c r="D745" s="4348"/>
      <c r="E745" s="4348"/>
      <c r="F745" s="4348"/>
      <c r="G745" s="4348"/>
      <c r="H745" s="4348"/>
      <c r="I745" s="4391"/>
      <c r="J745" s="4348"/>
      <c r="K745" s="4348"/>
      <c r="L745" s="4348"/>
      <c r="M745" s="4348"/>
    </row>
    <row r="746" spans="2:14" ht="3" hidden="1" customHeight="1">
      <c r="G746" s="4314"/>
      <c r="I746" s="4394"/>
      <c r="J746" s="4348"/>
      <c r="K746" s="4395"/>
      <c r="L746" s="4348"/>
      <c r="M746" s="4394"/>
    </row>
    <row r="747" spans="2:14" ht="3" hidden="1" customHeight="1">
      <c r="B747" s="4338"/>
      <c r="C747" s="4338"/>
      <c r="D747" s="4338"/>
      <c r="E747" s="4338"/>
      <c r="F747" s="4338"/>
      <c r="G747" s="4396"/>
      <c r="H747" s="4338"/>
      <c r="I747" s="4394"/>
      <c r="J747" s="4348"/>
      <c r="K747" s="4352"/>
      <c r="L747" s="4348"/>
      <c r="M747" s="4394"/>
    </row>
    <row r="748" spans="2:14" ht="3" hidden="1" customHeight="1">
      <c r="G748" s="4346"/>
      <c r="I748" s="4394"/>
      <c r="J748" s="4348"/>
      <c r="K748" s="4352"/>
      <c r="L748" s="4348"/>
      <c r="M748" s="4394"/>
    </row>
    <row r="749" spans="2:14" ht="3" hidden="1" customHeight="1">
      <c r="G749" s="4346"/>
      <c r="I749" s="4397"/>
      <c r="J749" s="4348"/>
      <c r="K749" s="4352"/>
      <c r="L749" s="4348"/>
      <c r="M749" s="4348"/>
    </row>
    <row r="750" spans="2:14" ht="1.5" hidden="1" customHeight="1">
      <c r="I750" s="4376"/>
      <c r="J750" s="4348"/>
      <c r="K750" s="4348"/>
      <c r="L750" s="4348"/>
      <c r="M750" s="4398"/>
    </row>
    <row r="751" spans="2:14" ht="4.5" hidden="1" customHeight="1">
      <c r="C751" s="4350"/>
      <c r="D751" s="4350"/>
      <c r="I751" s="4376"/>
      <c r="J751" s="4348"/>
      <c r="K751" s="4348"/>
      <c r="L751" s="4348"/>
      <c r="M751" s="4399"/>
    </row>
    <row r="752" spans="2:14" ht="12.75" customHeight="1">
      <c r="B752" s="4351" t="str">
        <f>B97</f>
        <v>*Amounts are available from the County Treasurer.       **These Jan.-June, 2016 amounts are available from the County Treasurer.  (Should correspond to school</v>
      </c>
      <c r="C752" s="4338"/>
      <c r="D752" s="4338"/>
      <c r="E752" s="4338"/>
      <c r="F752" s="4338"/>
      <c r="G752" s="4338"/>
      <c r="H752" s="4338"/>
      <c r="I752" s="4376"/>
      <c r="J752" s="4348"/>
      <c r="K752" s="4348"/>
      <c r="L752" s="4348"/>
      <c r="M752" s="4348"/>
    </row>
    <row r="753" spans="2:14">
      <c r="B753" s="4351" t="str">
        <f>B98</f>
        <v xml:space="preserve"> records and does not include MVPT.)   Include Watercraft Tax if USD received payment direct from county.</v>
      </c>
    </row>
    <row r="754" spans="2:14">
      <c r="B754" s="4309" t="s">
        <v>2057</v>
      </c>
    </row>
    <row r="755" spans="2:14" ht="15">
      <c r="B755" s="4309" t="s">
        <v>1987</v>
      </c>
      <c r="M755" s="4310" t="s">
        <v>2015</v>
      </c>
    </row>
    <row r="756" spans="2:14">
      <c r="B756" s="4311">
        <f>B2</f>
        <v>42522</v>
      </c>
      <c r="C756" s="4312"/>
      <c r="D756" s="4312"/>
      <c r="F756" s="4314"/>
      <c r="G756" s="4314" t="s">
        <v>1989</v>
      </c>
      <c r="H756" s="4314"/>
      <c r="I756" s="4316" t="str">
        <f>I706</f>
        <v>270 - Plainville</v>
      </c>
      <c r="J756" s="4316"/>
      <c r="K756" s="4354" t="s">
        <v>1990</v>
      </c>
      <c r="L756" s="4353"/>
      <c r="M756" s="4317">
        <f>M706</f>
        <v>270</v>
      </c>
    </row>
    <row r="757" spans="2:14">
      <c r="K757" s="4314" t="s">
        <v>1112</v>
      </c>
      <c r="M757" s="4316">
        <f>M707</f>
        <v>0</v>
      </c>
    </row>
    <row r="758" spans="2:14" ht="6.75" customHeight="1">
      <c r="E758" s="4320"/>
      <c r="F758" s="4320"/>
      <c r="G758" s="4320"/>
      <c r="H758" s="4320"/>
      <c r="I758" s="4320"/>
      <c r="J758" s="4320"/>
      <c r="K758" s="4321"/>
      <c r="L758" s="4321"/>
      <c r="M758" s="4320"/>
    </row>
    <row r="759" spans="2:14" ht="15" customHeight="1">
      <c r="B759" s="4320" t="str">
        <f>B5</f>
        <v>2016-2017</v>
      </c>
      <c r="C759" s="4320"/>
      <c r="D759" s="4320"/>
      <c r="E759" s="4320"/>
      <c r="F759" s="4320"/>
      <c r="G759" s="4320"/>
      <c r="H759" s="4320"/>
      <c r="I759" s="4320"/>
      <c r="J759" s="4320"/>
      <c r="K759" s="4320"/>
      <c r="L759" s="4320"/>
      <c r="M759" s="4320"/>
    </row>
    <row r="760" spans="2:14">
      <c r="B760" s="4320" t="s">
        <v>1993</v>
      </c>
      <c r="C760" s="4320"/>
      <c r="D760" s="4320"/>
      <c r="E760" s="4320"/>
      <c r="F760" s="4320"/>
      <c r="G760" s="4320"/>
      <c r="H760" s="4320"/>
      <c r="I760" s="4320"/>
      <c r="J760" s="4320"/>
      <c r="K760" s="4320"/>
      <c r="L760" s="4320"/>
      <c r="M760" s="4320"/>
    </row>
    <row r="761" spans="2:14">
      <c r="B761" s="4320" t="s">
        <v>1994</v>
      </c>
      <c r="C761" s="4320"/>
      <c r="D761" s="4320"/>
      <c r="E761" s="4320"/>
      <c r="F761" s="4320"/>
      <c r="G761" s="4320"/>
      <c r="H761" s="4320"/>
      <c r="I761" s="4320"/>
      <c r="J761" s="4320"/>
      <c r="K761" s="4320"/>
      <c r="L761" s="4320"/>
      <c r="M761" s="4320"/>
    </row>
    <row r="762" spans="2:14" ht="15">
      <c r="B762" s="4322" t="s">
        <v>1995</v>
      </c>
      <c r="C762" s="4322"/>
      <c r="D762" s="4322"/>
      <c r="E762" s="4320"/>
      <c r="F762" s="4320"/>
      <c r="G762" s="4320"/>
      <c r="H762" s="4320"/>
      <c r="I762" s="4320"/>
      <c r="J762" s="4320"/>
      <c r="K762" s="4320"/>
      <c r="L762" s="4320"/>
      <c r="M762" s="4320"/>
    </row>
    <row r="763" spans="2:14" ht="7.5" customHeight="1">
      <c r="E763" s="4318"/>
      <c r="F763" s="4318"/>
      <c r="G763" s="4318"/>
      <c r="H763" s="4318"/>
      <c r="I763" s="4318"/>
      <c r="J763" s="4318"/>
      <c r="K763" s="4318"/>
      <c r="L763" s="4318"/>
      <c r="M763" s="4318"/>
    </row>
    <row r="764" spans="2:14" ht="15">
      <c r="E764" s="4318" t="s">
        <v>2016</v>
      </c>
      <c r="F764" s="4318"/>
      <c r="G764" s="4318" t="s">
        <v>2017</v>
      </c>
      <c r="H764" s="4318"/>
      <c r="I764" s="4318" t="s">
        <v>2058</v>
      </c>
      <c r="J764" s="4318"/>
      <c r="K764" s="4318" t="s">
        <v>2019</v>
      </c>
      <c r="M764" s="4287"/>
      <c r="N764" s="4287"/>
    </row>
    <row r="765" spans="2:14" ht="15">
      <c r="E765" s="4318" t="s">
        <v>2020</v>
      </c>
      <c r="F765" s="4318"/>
      <c r="G765" s="4318" t="s">
        <v>2021</v>
      </c>
      <c r="H765" s="4318"/>
      <c r="I765" s="4318" t="s">
        <v>2022</v>
      </c>
      <c r="J765" s="4318"/>
      <c r="K765" s="4318" t="str">
        <f>K60</f>
        <v>Interest #2</v>
      </c>
      <c r="M765" s="4287"/>
      <c r="N765" s="4287"/>
    </row>
    <row r="766" spans="2:14" ht="8.25" customHeight="1">
      <c r="M766" s="4287"/>
      <c r="N766" s="4287"/>
    </row>
    <row r="767" spans="2:14">
      <c r="B767" s="4309" t="str">
        <f>B14</f>
        <v>1.  County Treasurer Balance 6/30/2016 *</v>
      </c>
      <c r="E767" s="4384"/>
      <c r="F767" s="4383"/>
      <c r="G767" s="4384"/>
      <c r="H767" s="4383"/>
      <c r="I767" s="4384"/>
      <c r="J767" s="4383"/>
      <c r="K767" s="4384"/>
      <c r="M767" s="4287"/>
      <c r="N767" s="4287"/>
    </row>
    <row r="768" spans="2:14" ht="8.25" customHeight="1">
      <c r="B768" s="4326"/>
      <c r="C768" s="4326"/>
      <c r="D768" s="4326"/>
      <c r="E768" s="4385"/>
      <c r="F768" s="4385"/>
      <c r="G768" s="4385"/>
      <c r="H768" s="4385"/>
      <c r="I768" s="4385"/>
      <c r="J768" s="4385"/>
      <c r="K768" s="4385"/>
      <c r="M768" s="4287"/>
      <c r="N768" s="4287"/>
    </row>
    <row r="769" spans="2:14">
      <c r="B769" s="4309" t="str">
        <f>B16</f>
        <v>2.  2015 Actual Taxes Levied*</v>
      </c>
      <c r="E769" s="4384"/>
      <c r="F769" s="4383"/>
      <c r="G769" s="4384"/>
      <c r="H769" s="4383"/>
      <c r="I769" s="4384"/>
      <c r="J769" s="4383"/>
      <c r="K769" s="4384"/>
      <c r="M769" s="4287"/>
      <c r="N769" s="4287"/>
    </row>
    <row r="770" spans="2:14" ht="8.25" customHeight="1">
      <c r="E770" s="4383"/>
      <c r="F770" s="4383"/>
      <c r="G770" s="4383"/>
      <c r="H770" s="4383"/>
      <c r="I770" s="4383"/>
      <c r="J770" s="4383"/>
      <c r="K770" s="4383"/>
      <c r="M770" s="4287"/>
      <c r="N770" s="4287"/>
    </row>
    <row r="771" spans="2:14">
      <c r="B771" s="4309" t="s">
        <v>2023</v>
      </c>
      <c r="C771" s="4347">
        <f>C723</f>
        <v>0</v>
      </c>
      <c r="D771" s="4356"/>
      <c r="E771" s="4325">
        <f>E769*$C$771/100</f>
        <v>0</v>
      </c>
      <c r="F771" s="4328"/>
      <c r="G771" s="4325">
        <f>G769*$C$771/100</f>
        <v>0</v>
      </c>
      <c r="H771" s="4328"/>
      <c r="I771" s="4325">
        <f>I769*$C$771/100</f>
        <v>0</v>
      </c>
      <c r="J771" s="4328"/>
      <c r="K771" s="4325">
        <f>K769*$C$771/100</f>
        <v>0</v>
      </c>
      <c r="L771" s="4328"/>
      <c r="M771" s="4287"/>
      <c r="N771" s="4287"/>
    </row>
    <row r="772" spans="2:14" ht="8.25" customHeight="1">
      <c r="E772" s="4383"/>
      <c r="F772" s="4383"/>
      <c r="G772" s="4383"/>
      <c r="H772" s="4383"/>
      <c r="I772" s="4383"/>
      <c r="J772" s="4383"/>
      <c r="K772" s="4383"/>
      <c r="M772" s="4287"/>
      <c r="N772" s="4287"/>
    </row>
    <row r="773" spans="2:14">
      <c r="B773" s="4309" t="str">
        <f>B20</f>
        <v>4.  Less:  Jan. 20, 2016 Taxes received**</v>
      </c>
      <c r="E773" s="4384"/>
      <c r="F773" s="4383"/>
      <c r="G773" s="4384"/>
      <c r="H773" s="4383"/>
      <c r="I773" s="4384"/>
      <c r="J773" s="4383"/>
      <c r="K773" s="4384"/>
      <c r="M773" s="4287"/>
      <c r="N773" s="4287"/>
    </row>
    <row r="774" spans="2:14" ht="9" customHeight="1">
      <c r="E774" s="4383"/>
      <c r="F774" s="4383"/>
      <c r="G774" s="4383"/>
      <c r="H774" s="4383"/>
      <c r="I774" s="4383"/>
      <c r="J774" s="4383"/>
      <c r="K774" s="4383"/>
      <c r="M774" s="4287"/>
      <c r="N774" s="4287"/>
    </row>
    <row r="775" spans="2:14">
      <c r="B775" s="4309" t="str">
        <f>B22</f>
        <v>5.  Less:  Mar. 20, 2016  Taxes received**</v>
      </c>
      <c r="E775" s="4384"/>
      <c r="F775" s="4383"/>
      <c r="G775" s="4384"/>
      <c r="H775" s="4383"/>
      <c r="I775" s="4384"/>
      <c r="J775" s="4383"/>
      <c r="K775" s="4384"/>
      <c r="M775" s="4287"/>
      <c r="N775" s="4287"/>
    </row>
    <row r="776" spans="2:14" ht="8.25" customHeight="1">
      <c r="E776" s="4376"/>
      <c r="F776" s="4383"/>
      <c r="G776" s="4376"/>
      <c r="H776" s="4383"/>
      <c r="I776" s="4376"/>
      <c r="J776" s="4383"/>
      <c r="K776" s="4376"/>
      <c r="M776" s="4287"/>
      <c r="N776" s="4287"/>
    </row>
    <row r="777" spans="2:14">
      <c r="B777" s="4309" t="str">
        <f>B24</f>
        <v>6.  Less:  June 5,  2016 Taxes received**</v>
      </c>
      <c r="E777" s="4384"/>
      <c r="F777" s="4383"/>
      <c r="G777" s="4384"/>
      <c r="H777" s="4383"/>
      <c r="I777" s="4384"/>
      <c r="J777" s="4383"/>
      <c r="K777" s="4384"/>
      <c r="M777" s="4287"/>
      <c r="N777" s="4287"/>
    </row>
    <row r="778" spans="2:14" ht="7.5" customHeight="1">
      <c r="E778" s="4376"/>
      <c r="F778" s="4383"/>
      <c r="G778" s="4376"/>
      <c r="H778" s="4383"/>
      <c r="I778" s="4376"/>
      <c r="J778" s="4383"/>
      <c r="K778" s="4376"/>
      <c r="M778" s="4287"/>
      <c r="N778" s="4287"/>
    </row>
    <row r="779" spans="2:14">
      <c r="B779" s="4309" t="s">
        <v>2003</v>
      </c>
      <c r="E779" s="4384"/>
      <c r="F779" s="4383"/>
      <c r="G779" s="4384"/>
      <c r="H779" s="4383"/>
      <c r="I779" s="4384"/>
      <c r="J779" s="4383"/>
      <c r="K779" s="4384"/>
      <c r="M779" s="4287"/>
      <c r="N779" s="4287"/>
    </row>
    <row r="780" spans="2:14" ht="8.25" customHeight="1">
      <c r="E780" s="4383"/>
      <c r="F780" s="4383"/>
      <c r="G780" s="4383"/>
      <c r="H780" s="4383"/>
      <c r="I780" s="4383"/>
      <c r="J780" s="4383"/>
      <c r="K780" s="4383"/>
      <c r="M780" s="4287"/>
      <c r="N780" s="4287"/>
    </row>
    <row r="781" spans="2:14">
      <c r="B781" s="4309" t="s">
        <v>2004</v>
      </c>
      <c r="E781" s="4384"/>
      <c r="F781" s="4383"/>
      <c r="G781" s="4384"/>
      <c r="H781" s="4383"/>
      <c r="I781" s="4384"/>
      <c r="J781" s="4383"/>
      <c r="K781" s="4384"/>
      <c r="M781" s="4287"/>
      <c r="N781" s="4287"/>
    </row>
    <row r="782" spans="2:14">
      <c r="B782" s="4309" t="s">
        <v>2005</v>
      </c>
      <c r="E782" s="4386"/>
      <c r="F782" s="4383"/>
      <c r="G782" s="4386"/>
      <c r="H782" s="4383"/>
      <c r="I782" s="4386"/>
      <c r="J782" s="4383"/>
      <c r="K782" s="4386"/>
      <c r="M782" s="4287"/>
      <c r="N782" s="4287"/>
    </row>
    <row r="783" spans="2:14">
      <c r="B783" s="4309" t="s">
        <v>2024</v>
      </c>
      <c r="E783" s="4325">
        <f>SUM(E771:E782)</f>
        <v>0</v>
      </c>
      <c r="F783" s="4328"/>
      <c r="G783" s="4325">
        <f>SUM(G771:G782)</f>
        <v>0</v>
      </c>
      <c r="H783" s="4328"/>
      <c r="I783" s="4325">
        <f>SUM(I771:I782)</f>
        <v>0</v>
      </c>
      <c r="J783" s="4328"/>
      <c r="K783" s="4325">
        <f>SUM(K771:K782)</f>
        <v>0</v>
      </c>
      <c r="L783" s="4356"/>
      <c r="M783" s="4287"/>
      <c r="N783" s="4287"/>
    </row>
    <row r="784" spans="2:14" ht="9" customHeight="1">
      <c r="E784" s="4324"/>
      <c r="F784" s="4324"/>
      <c r="G784" s="4324"/>
      <c r="H784" s="4324"/>
      <c r="I784" s="4324"/>
      <c r="J784" s="4324"/>
      <c r="K784" s="4324"/>
      <c r="L784" s="4356"/>
      <c r="M784" s="4287"/>
      <c r="N784" s="4287"/>
    </row>
    <row r="785" spans="2:14">
      <c r="B785" s="4309" t="str">
        <f>B32</f>
        <v>11. 2015 taxes receivable (taxes in process</v>
      </c>
      <c r="E785" s="4324"/>
      <c r="F785" s="4324"/>
      <c r="G785" s="4324"/>
      <c r="H785" s="4324"/>
      <c r="I785" s="4324"/>
      <c r="J785" s="4324"/>
      <c r="K785" s="4324"/>
      <c r="L785" s="4356"/>
      <c r="M785" s="4287"/>
      <c r="N785" s="4287"/>
    </row>
    <row r="786" spans="2:14">
      <c r="B786" s="4309" t="str">
        <f>B33</f>
        <v xml:space="preserve">     of collection 6/30/2016)(Line 2 less Line 10)</v>
      </c>
      <c r="E786" s="4325">
        <f>IF(E783&lt;=0,0,E769-E783)</f>
        <v>0</v>
      </c>
      <c r="F786" s="4328"/>
      <c r="G786" s="4325">
        <f>IF(G783&lt;=0,0,G769-G783)</f>
        <v>0</v>
      </c>
      <c r="H786" s="4328"/>
      <c r="I786" s="4325">
        <f>IF(I783&lt;=0,0,I769-I783)</f>
        <v>0</v>
      </c>
      <c r="J786" s="4328"/>
      <c r="K786" s="4325">
        <f>IF(K783&lt;=0,0,K769-K783)</f>
        <v>0</v>
      </c>
      <c r="L786" s="4325"/>
      <c r="M786" s="4287"/>
      <c r="N786" s="4287"/>
    </row>
    <row r="787" spans="2:14" ht="8.25" customHeight="1">
      <c r="E787" s="4324"/>
      <c r="F787" s="4324"/>
      <c r="G787" s="4324"/>
      <c r="H787" s="4324"/>
      <c r="I787" s="4324"/>
      <c r="J787" s="4324"/>
      <c r="K787" s="4324"/>
      <c r="L787" s="4356"/>
      <c r="M787" s="4287"/>
      <c r="N787" s="4287"/>
    </row>
    <row r="788" spans="2:14">
      <c r="B788" s="4309" t="s">
        <v>2025</v>
      </c>
      <c r="E788" s="4324"/>
      <c r="F788" s="4324"/>
      <c r="G788" s="4324"/>
      <c r="H788" s="4324"/>
      <c r="I788" s="4324"/>
      <c r="J788" s="4324"/>
      <c r="K788" s="4324"/>
      <c r="L788" s="4356"/>
      <c r="M788" s="4287"/>
      <c r="N788" s="4287"/>
    </row>
    <row r="789" spans="2:14">
      <c r="B789" s="4309" t="s">
        <v>2008</v>
      </c>
      <c r="E789" s="4324"/>
      <c r="F789" s="4324"/>
      <c r="G789" s="4324"/>
      <c r="H789" s="4324"/>
      <c r="I789" s="4324"/>
      <c r="J789" s="4324"/>
      <c r="K789" s="4324"/>
      <c r="L789" s="4356"/>
      <c r="M789" s="4287"/>
      <c r="N789" s="4287"/>
    </row>
    <row r="790" spans="2:14">
      <c r="B790" s="4309" t="str">
        <f>B37</f>
        <v xml:space="preserve">     (7-1-2016 to 12-31-2017) (Line 3 x 75%)</v>
      </c>
      <c r="E790" s="4325">
        <f>SUM(E771*0.75)</f>
        <v>0</v>
      </c>
      <c r="F790" s="4328"/>
      <c r="G790" s="4325">
        <f>SUM(G771*0.75)</f>
        <v>0</v>
      </c>
      <c r="H790" s="4328"/>
      <c r="I790" s="4325">
        <f>SUM(I771*0.75)</f>
        <v>0</v>
      </c>
      <c r="J790" s="4328"/>
      <c r="K790" s="4325">
        <f>SUM(K771*0.75)</f>
        <v>0</v>
      </c>
      <c r="L790" s="4356"/>
      <c r="M790" s="4287"/>
      <c r="N790" s="4287"/>
    </row>
    <row r="791" spans="2:14" ht="15">
      <c r="B791" s="4350" t="str">
        <f>B39</f>
        <v>Tax Collection Ratio (Jan, Mar, June)</v>
      </c>
      <c r="E791" s="4379">
        <f>IF(E769&lt;&gt;0,(E773+E775+E777+E779+E781)/E769*100,0)</f>
        <v>0</v>
      </c>
      <c r="F791" s="4335" t="s">
        <v>1124</v>
      </c>
      <c r="G791" s="4379">
        <f>IF(G769&lt;&gt;0,(G773+G775+G777+G779+G781)/G769*100,0)</f>
        <v>0</v>
      </c>
      <c r="H791" s="4335" t="s">
        <v>1124</v>
      </c>
      <c r="I791" s="4379">
        <f>IF(I769&lt;&gt;0,(I773+I775+I777+I779+I781)/I769*100,0)</f>
        <v>0</v>
      </c>
      <c r="J791" s="4335" t="s">
        <v>1124</v>
      </c>
      <c r="K791" s="4379">
        <f>IF(K769&lt;&gt;0,(K773+K775+K777+K779+K781)/K769*100,0)</f>
        <v>0</v>
      </c>
      <c r="L791" s="4335" t="s">
        <v>1124</v>
      </c>
      <c r="M791" s="4287"/>
      <c r="N791" s="4287"/>
    </row>
    <row r="792" spans="2:14" ht="5.0999999999999996" customHeight="1">
      <c r="B792" s="4326"/>
      <c r="C792" s="4326"/>
      <c r="D792" s="4326"/>
      <c r="E792" s="4326"/>
      <c r="F792" s="4326"/>
      <c r="G792" s="4326"/>
      <c r="H792" s="4326"/>
      <c r="I792" s="4326"/>
      <c r="J792" s="4326"/>
      <c r="K792" s="4326"/>
      <c r="L792" s="4326"/>
      <c r="M792" s="4326"/>
    </row>
    <row r="793" spans="2:14">
      <c r="B793" s="4351" t="str">
        <f>B97</f>
        <v>*Amounts are available from the County Treasurer.       **These Jan.-June, 2016 amounts are available from the County Treasurer.  (Should correspond to school</v>
      </c>
    </row>
    <row r="794" spans="2:14">
      <c r="B794" s="4351" t="str">
        <f>B98</f>
        <v xml:space="preserve"> records and does not include MVPT.)   Include Watercraft Tax if USD received payment direct from county.</v>
      </c>
    </row>
    <row r="795" spans="2:14" ht="3" customHeight="1"/>
    <row r="796" spans="2:14" ht="15">
      <c r="B796" s="4309" t="s">
        <v>1987</v>
      </c>
      <c r="M796" s="4310" t="s">
        <v>2035</v>
      </c>
    </row>
    <row r="797" spans="2:14">
      <c r="B797" s="4311">
        <f>B2</f>
        <v>42522</v>
      </c>
      <c r="C797" s="4312"/>
      <c r="D797" s="4312"/>
      <c r="G797" s="4314" t="s">
        <v>1989</v>
      </c>
      <c r="H797" s="4314"/>
      <c r="I797" s="4316" t="str">
        <f>I706</f>
        <v>270 - Plainville</v>
      </c>
      <c r="J797" s="4316"/>
      <c r="K797" s="4316"/>
      <c r="L797" s="4314" t="s">
        <v>1990</v>
      </c>
      <c r="M797" s="4317">
        <f>M706</f>
        <v>270</v>
      </c>
    </row>
    <row r="798" spans="2:14">
      <c r="K798" s="4314" t="s">
        <v>1112</v>
      </c>
      <c r="M798" s="4316">
        <f>M707</f>
        <v>0</v>
      </c>
    </row>
    <row r="799" spans="2:14" ht="7.5" customHeight="1">
      <c r="E799" s="4320"/>
      <c r="F799" s="4320"/>
      <c r="G799" s="4320"/>
      <c r="H799" s="4320"/>
      <c r="I799" s="4320"/>
      <c r="J799" s="4320"/>
      <c r="K799" s="4321"/>
      <c r="L799" s="4321"/>
      <c r="M799" s="4320"/>
    </row>
    <row r="800" spans="2:14">
      <c r="B800" s="4320" t="str">
        <f>B5</f>
        <v>2016-2017</v>
      </c>
      <c r="C800" s="4320"/>
      <c r="D800" s="4320"/>
      <c r="E800" s="4320"/>
      <c r="F800" s="4320"/>
      <c r="G800" s="4320"/>
      <c r="H800" s="4320"/>
      <c r="I800" s="4320"/>
      <c r="J800" s="4320"/>
      <c r="K800" s="4320"/>
      <c r="L800" s="4320"/>
      <c r="M800" s="4320"/>
    </row>
    <row r="801" spans="2:13">
      <c r="B801" s="4320" t="s">
        <v>1993</v>
      </c>
      <c r="C801" s="4320"/>
      <c r="D801" s="4320"/>
      <c r="E801" s="4320"/>
      <c r="F801" s="4320"/>
      <c r="G801" s="4320"/>
      <c r="H801" s="4320"/>
      <c r="I801" s="4320"/>
      <c r="J801" s="4320"/>
      <c r="K801" s="4320"/>
      <c r="L801" s="4320"/>
      <c r="M801" s="4320"/>
    </row>
    <row r="802" spans="2:13">
      <c r="B802" s="4320" t="s">
        <v>1994</v>
      </c>
      <c r="C802" s="4320"/>
      <c r="D802" s="4320"/>
      <c r="E802" s="4320"/>
      <c r="F802" s="4320"/>
      <c r="G802" s="4320"/>
      <c r="H802" s="4320"/>
      <c r="I802" s="4320"/>
      <c r="J802" s="4320"/>
      <c r="K802" s="4320"/>
      <c r="L802" s="4320"/>
      <c r="M802" s="4320"/>
    </row>
    <row r="803" spans="2:13" ht="15">
      <c r="B803" s="4322" t="s">
        <v>1995</v>
      </c>
      <c r="C803" s="4322"/>
      <c r="D803" s="4322"/>
      <c r="E803" s="4320"/>
      <c r="F803" s="4320"/>
      <c r="G803" s="4320"/>
      <c r="H803" s="4320"/>
      <c r="I803" s="4320"/>
      <c r="J803" s="4320"/>
      <c r="K803" s="4320"/>
      <c r="L803" s="4320"/>
      <c r="M803" s="4320"/>
    </row>
    <row r="804" spans="2:13" ht="8.25" customHeight="1">
      <c r="E804" s="4318"/>
      <c r="F804" s="4318"/>
      <c r="G804" s="4318"/>
      <c r="H804" s="4318"/>
      <c r="I804" s="4318"/>
      <c r="J804" s="4318"/>
      <c r="K804" s="4318"/>
      <c r="L804" s="4318"/>
      <c r="M804" s="4318"/>
    </row>
    <row r="805" spans="2:13" ht="15">
      <c r="E805" s="4318" t="s">
        <v>2036</v>
      </c>
      <c r="F805" s="4318"/>
      <c r="G805" s="4318" t="s">
        <v>2037</v>
      </c>
      <c r="H805" s="4318"/>
      <c r="I805" s="4318" t="s">
        <v>2038</v>
      </c>
      <c r="J805" s="4318"/>
      <c r="K805" s="4318" t="s">
        <v>2039</v>
      </c>
      <c r="L805" s="4318"/>
      <c r="M805" s="4318" t="s">
        <v>2040</v>
      </c>
    </row>
    <row r="806" spans="2:13" ht="15">
      <c r="E806" s="4318" t="s">
        <v>2041</v>
      </c>
      <c r="F806" s="4318"/>
      <c r="G806" s="4318" t="s">
        <v>2042</v>
      </c>
      <c r="H806" s="4318"/>
      <c r="I806" s="4318" t="s">
        <v>2043</v>
      </c>
      <c r="J806" s="4318"/>
      <c r="K806" s="4318" t="s">
        <v>2044</v>
      </c>
      <c r="L806" s="4318"/>
      <c r="M806" s="4318" t="s">
        <v>2045</v>
      </c>
    </row>
    <row r="807" spans="2:13" ht="7.5" customHeight="1"/>
    <row r="808" spans="2:13">
      <c r="B808" s="4309" t="str">
        <f>B14</f>
        <v>1.  County Treasurer Balance 6/30/2016 *</v>
      </c>
      <c r="E808" s="4384"/>
      <c r="F808" s="4383"/>
      <c r="G808" s="4384"/>
      <c r="H808" s="4383"/>
      <c r="I808" s="4384"/>
      <c r="J808" s="4383"/>
      <c r="K808" s="4384"/>
      <c r="M808" s="4384"/>
    </row>
    <row r="809" spans="2:13" ht="7.5" customHeight="1">
      <c r="B809" s="4326"/>
      <c r="C809" s="4326"/>
      <c r="D809" s="4326"/>
      <c r="E809" s="4385"/>
      <c r="F809" s="4385"/>
      <c r="G809" s="4385"/>
      <c r="H809" s="4385"/>
      <c r="I809" s="4385"/>
      <c r="J809" s="4385"/>
      <c r="K809" s="4385"/>
      <c r="M809" s="4327"/>
    </row>
    <row r="810" spans="2:13">
      <c r="B810" s="4309" t="str">
        <f>B16</f>
        <v>2.  2015 Actual Taxes Levied*</v>
      </c>
      <c r="E810" s="4384"/>
      <c r="F810" s="4383"/>
      <c r="G810" s="4384"/>
      <c r="H810" s="4383"/>
      <c r="I810" s="4384"/>
      <c r="J810" s="4383"/>
      <c r="K810" s="4384"/>
      <c r="M810" s="4384"/>
    </row>
    <row r="811" spans="2:13" ht="8.25" customHeight="1">
      <c r="E811" s="4383"/>
      <c r="F811" s="4383"/>
      <c r="G811" s="4383"/>
      <c r="H811" s="4383"/>
      <c r="I811" s="4383"/>
      <c r="J811" s="4383"/>
      <c r="K811" s="4383"/>
      <c r="M811" s="4383"/>
    </row>
    <row r="812" spans="2:13">
      <c r="B812" s="4309" t="s">
        <v>2023</v>
      </c>
      <c r="C812" s="4347">
        <f>C723</f>
        <v>0</v>
      </c>
      <c r="D812" s="4356"/>
      <c r="E812" s="4325">
        <f>E810*$C$812/100</f>
        <v>0</v>
      </c>
      <c r="F812" s="4328"/>
      <c r="G812" s="4325">
        <f>G810*$C$812/100</f>
        <v>0</v>
      </c>
      <c r="H812" s="4328"/>
      <c r="I812" s="4325">
        <f>I810*$C$812/100</f>
        <v>0</v>
      </c>
      <c r="J812" s="4328"/>
      <c r="K812" s="4325">
        <f>K810*$C$812/100</f>
        <v>0</v>
      </c>
      <c r="L812" s="4328"/>
      <c r="M812" s="4325">
        <f>M810*$C$812/100</f>
        <v>0</v>
      </c>
    </row>
    <row r="813" spans="2:13" ht="8.25" customHeight="1">
      <c r="E813" s="4383"/>
      <c r="F813" s="4383"/>
      <c r="G813" s="4383"/>
      <c r="H813" s="4383"/>
      <c r="I813" s="4383"/>
      <c r="J813" s="4383"/>
      <c r="K813" s="4383"/>
      <c r="M813" s="4383"/>
    </row>
    <row r="814" spans="2:13">
      <c r="B814" s="4309" t="str">
        <f>B20</f>
        <v>4.  Less:  Jan. 20, 2016 Taxes received**</v>
      </c>
      <c r="E814" s="4384"/>
      <c r="F814" s="4383"/>
      <c r="G814" s="4384"/>
      <c r="H814" s="4383"/>
      <c r="I814" s="4384"/>
      <c r="J814" s="4383"/>
      <c r="K814" s="4384"/>
      <c r="M814" s="4384"/>
    </row>
    <row r="815" spans="2:13" ht="8.25" customHeight="1">
      <c r="E815" s="4383"/>
      <c r="F815" s="4383"/>
      <c r="G815" s="4383"/>
      <c r="H815" s="4383"/>
      <c r="I815" s="4383"/>
      <c r="J815" s="4383"/>
      <c r="K815" s="4383"/>
      <c r="M815" s="4383"/>
    </row>
    <row r="816" spans="2:13">
      <c r="B816" s="4309" t="str">
        <f>B22</f>
        <v>5.  Less:  Mar. 20, 2016  Taxes received**</v>
      </c>
      <c r="E816" s="4384"/>
      <c r="F816" s="4383"/>
      <c r="G816" s="4384"/>
      <c r="H816" s="4383"/>
      <c r="I816" s="4384"/>
      <c r="J816" s="4383"/>
      <c r="K816" s="4384"/>
      <c r="M816" s="4384"/>
    </row>
    <row r="817" spans="2:14" ht="9" customHeight="1">
      <c r="E817" s="4376"/>
      <c r="F817" s="4383"/>
      <c r="G817" s="4376"/>
      <c r="H817" s="4383"/>
      <c r="I817" s="4376"/>
      <c r="J817" s="4383"/>
      <c r="K817" s="4376"/>
      <c r="M817" s="4376"/>
    </row>
    <row r="818" spans="2:14">
      <c r="B818" s="4309" t="str">
        <f>B24</f>
        <v>6.  Less:  June 5,  2016 Taxes received**</v>
      </c>
      <c r="E818" s="4384"/>
      <c r="F818" s="4383"/>
      <c r="G818" s="4384"/>
      <c r="H818" s="4383"/>
      <c r="I818" s="4384"/>
      <c r="J818" s="4383"/>
      <c r="K818" s="4384"/>
      <c r="M818" s="4384"/>
    </row>
    <row r="819" spans="2:14" ht="7.5" customHeight="1">
      <c r="E819" s="4376"/>
      <c r="F819" s="4383"/>
      <c r="G819" s="4376"/>
      <c r="H819" s="4383"/>
      <c r="I819" s="4376"/>
      <c r="J819" s="4383"/>
      <c r="K819" s="4376"/>
      <c r="M819" s="4376"/>
    </row>
    <row r="820" spans="2:14">
      <c r="B820" s="4309" t="s">
        <v>2003</v>
      </c>
      <c r="E820" s="4384"/>
      <c r="F820" s="4383"/>
      <c r="G820" s="4384"/>
      <c r="H820" s="4383"/>
      <c r="I820" s="4384"/>
      <c r="J820" s="4383"/>
      <c r="K820" s="4384"/>
      <c r="M820" s="4384"/>
    </row>
    <row r="821" spans="2:14" ht="9" customHeight="1">
      <c r="E821" s="4383"/>
      <c r="F821" s="4383"/>
      <c r="G821" s="4383"/>
      <c r="H821" s="4383"/>
      <c r="I821" s="4383"/>
      <c r="J821" s="4383"/>
      <c r="K821" s="4383"/>
      <c r="M821" s="4383"/>
    </row>
    <row r="822" spans="2:14">
      <c r="B822" s="4309" t="s">
        <v>2004</v>
      </c>
      <c r="E822" s="4384"/>
      <c r="F822" s="4383"/>
      <c r="G822" s="4384"/>
      <c r="H822" s="4383"/>
      <c r="I822" s="4384"/>
      <c r="J822" s="4383"/>
      <c r="K822" s="4384"/>
      <c r="M822" s="4384"/>
    </row>
    <row r="823" spans="2:14">
      <c r="B823" s="4309" t="s">
        <v>2005</v>
      </c>
      <c r="E823" s="4386"/>
      <c r="F823" s="4383"/>
      <c r="G823" s="4386"/>
      <c r="H823" s="4383"/>
      <c r="I823" s="4386"/>
      <c r="J823" s="4383"/>
      <c r="K823" s="4386"/>
      <c r="M823" s="4386"/>
    </row>
    <row r="824" spans="2:14">
      <c r="B824" s="4309" t="s">
        <v>2024</v>
      </c>
      <c r="E824" s="4325">
        <f>SUM(E812:E823)</f>
        <v>0</v>
      </c>
      <c r="F824" s="4328"/>
      <c r="G824" s="4325">
        <f>SUM(G812:G823)</f>
        <v>0</v>
      </c>
      <c r="H824" s="4328"/>
      <c r="I824" s="4325">
        <f>SUM(I812:I823)</f>
        <v>0</v>
      </c>
      <c r="J824" s="4328"/>
      <c r="K824" s="4325">
        <f>SUM(K812:K823)</f>
        <v>0</v>
      </c>
      <c r="L824" s="4356"/>
      <c r="M824" s="4325">
        <f>SUM(M812:M823)</f>
        <v>0</v>
      </c>
    </row>
    <row r="825" spans="2:14" ht="8.25" customHeight="1">
      <c r="E825" s="4324"/>
      <c r="F825" s="4324"/>
      <c r="G825" s="4324"/>
      <c r="H825" s="4324"/>
      <c r="I825" s="4324"/>
      <c r="J825" s="4324"/>
      <c r="K825" s="4324"/>
      <c r="L825" s="4356"/>
      <c r="M825" s="4324"/>
    </row>
    <row r="826" spans="2:14">
      <c r="B826" s="4309" t="str">
        <f>B32</f>
        <v>11. 2015 taxes receivable (taxes in process</v>
      </c>
      <c r="E826" s="4324"/>
      <c r="F826" s="4324"/>
      <c r="G826" s="4324"/>
      <c r="H826" s="4324"/>
      <c r="I826" s="4324"/>
      <c r="J826" s="4324"/>
      <c r="K826" s="4324"/>
      <c r="L826" s="4356"/>
      <c r="M826" s="4324"/>
    </row>
    <row r="827" spans="2:14">
      <c r="B827" s="4309" t="str">
        <f>B33</f>
        <v xml:space="preserve">     of collection 6/30/2016)(Line 2 less Line 10)</v>
      </c>
      <c r="E827" s="4325">
        <f>IF(E824&lt;=0,0,E810-E824)</f>
        <v>0</v>
      </c>
      <c r="F827" s="4328"/>
      <c r="G827" s="4325">
        <f>IF(G824&lt;=0,0,G810-G824)</f>
        <v>0</v>
      </c>
      <c r="H827" s="4328"/>
      <c r="I827" s="4325">
        <f>IF(I824&lt;=0,0,I810-I824)</f>
        <v>0</v>
      </c>
      <c r="J827" s="4328"/>
      <c r="K827" s="4325">
        <f>IF(K824&lt;=0,0,K810-K824)</f>
        <v>0</v>
      </c>
      <c r="L827" s="4328"/>
      <c r="M827" s="4325">
        <f>IF(M824&lt;=0,0,M810-M824)</f>
        <v>0</v>
      </c>
    </row>
    <row r="828" spans="2:14" ht="8.25" customHeight="1">
      <c r="E828" s="4324"/>
      <c r="F828" s="4324"/>
      <c r="G828" s="4324"/>
      <c r="H828" s="4324"/>
      <c r="I828" s="4324"/>
      <c r="J828" s="4324"/>
      <c r="K828" s="4324"/>
      <c r="L828" s="4356"/>
      <c r="M828" s="4324"/>
    </row>
    <row r="829" spans="2:14">
      <c r="B829" s="4309" t="s">
        <v>2025</v>
      </c>
      <c r="E829" s="4324"/>
      <c r="F829" s="4324"/>
      <c r="G829" s="4324"/>
      <c r="H829" s="4324"/>
      <c r="I829" s="4324"/>
      <c r="J829" s="4324"/>
      <c r="K829" s="4324"/>
      <c r="L829" s="4356"/>
      <c r="M829" s="4324"/>
    </row>
    <row r="830" spans="2:14">
      <c r="B830" s="4309" t="s">
        <v>2008</v>
      </c>
      <c r="E830" s="4324"/>
      <c r="F830" s="4324"/>
      <c r="G830" s="4324"/>
      <c r="H830" s="4324"/>
      <c r="I830" s="4324"/>
      <c r="J830" s="4324"/>
      <c r="K830" s="4324"/>
      <c r="L830" s="4356"/>
      <c r="M830" s="4324"/>
    </row>
    <row r="831" spans="2:14">
      <c r="B831" s="4309" t="str">
        <f>B37</f>
        <v xml:space="preserve">     (7-1-2016 to 12-31-2017) (Line 3 x 75%)</v>
      </c>
      <c r="E831" s="4325">
        <f>SUM(E812*0.75)</f>
        <v>0</v>
      </c>
      <c r="F831" s="4328"/>
      <c r="G831" s="4325">
        <f>SUM(G812*0.75)</f>
        <v>0</v>
      </c>
      <c r="H831" s="4328"/>
      <c r="I831" s="4325">
        <f>SUM(I812*0.75)</f>
        <v>0</v>
      </c>
      <c r="J831" s="4328"/>
      <c r="K831" s="4325">
        <f>SUM(K812*0.75)</f>
        <v>0</v>
      </c>
      <c r="L831" s="4356"/>
      <c r="M831" s="4325">
        <f>SUM(M812*0.75)</f>
        <v>0</v>
      </c>
    </row>
    <row r="832" spans="2:14" ht="15">
      <c r="B832" s="4350" t="str">
        <f>B39</f>
        <v>Tax Collection Ratio (Jan, Mar, June)</v>
      </c>
      <c r="E832" s="4379">
        <f>IF(E810&lt;&gt;0,(E814+E816+E818+E820+E822)/E810*100,0)</f>
        <v>0</v>
      </c>
      <c r="F832" s="4335" t="s">
        <v>1124</v>
      </c>
      <c r="G832" s="4379">
        <f>IF(G810&lt;&gt;0,(G814+G816+G818+G820+G822)/G810*100,0)</f>
        <v>0</v>
      </c>
      <c r="H832" s="4335" t="s">
        <v>1124</v>
      </c>
      <c r="I832" s="4379">
        <f>IF(I810&lt;&gt;0,(I814+I816+I818+I820+I822)/I810*100,0)</f>
        <v>0</v>
      </c>
      <c r="J832" s="4335" t="s">
        <v>1124</v>
      </c>
      <c r="K832" s="4379">
        <f>IF(K810&lt;&gt;0,(K814+K816+K818+K820+K822)/K810*100,0)</f>
        <v>0</v>
      </c>
      <c r="L832" s="4335" t="s">
        <v>1124</v>
      </c>
      <c r="M832" s="4379">
        <f>IF(M810&lt;&gt;0,(M814+M816+M818+M820+M822)/M810*100,0)</f>
        <v>0</v>
      </c>
      <c r="N832" s="4333" t="s">
        <v>1124</v>
      </c>
    </row>
    <row r="833" spans="2:13" ht="3.75" customHeight="1"/>
    <row r="834" spans="2:13">
      <c r="B834" s="4351" t="str">
        <f>B97</f>
        <v>*Amounts are available from the County Treasurer.       **These Jan.-June, 2016 amounts are available from the County Treasurer.  (Should correspond to school</v>
      </c>
    </row>
    <row r="835" spans="2:13">
      <c r="B835" s="4351" t="str">
        <f>B98</f>
        <v xml:space="preserve"> records and does not include MVPT.)   Include Watercraft Tax if USD received payment direct from county.</v>
      </c>
    </row>
    <row r="836" spans="2:13" ht="15">
      <c r="B836" s="4309" t="s">
        <v>1987</v>
      </c>
      <c r="M836" s="4310" t="s">
        <v>2046</v>
      </c>
    </row>
    <row r="837" spans="2:13">
      <c r="B837" s="4311">
        <f>B2</f>
        <v>42522</v>
      </c>
      <c r="C837" s="4312"/>
      <c r="D837" s="4312"/>
      <c r="G837" s="4314" t="s">
        <v>1989</v>
      </c>
      <c r="H837" s="4314"/>
      <c r="I837" s="4316" t="str">
        <f>I706</f>
        <v>270 - Plainville</v>
      </c>
      <c r="J837" s="4316"/>
      <c r="K837" s="4316"/>
      <c r="L837" s="4314" t="s">
        <v>1990</v>
      </c>
      <c r="M837" s="4317">
        <f>M706</f>
        <v>270</v>
      </c>
    </row>
    <row r="838" spans="2:13">
      <c r="K838" s="4314" t="s">
        <v>1112</v>
      </c>
      <c r="M838" s="4316">
        <f>M707</f>
        <v>0</v>
      </c>
    </row>
    <row r="839" spans="2:13" ht="9" customHeight="1">
      <c r="E839" s="4320"/>
      <c r="F839" s="4320"/>
      <c r="G839" s="4320"/>
      <c r="H839" s="4320"/>
      <c r="I839" s="4320"/>
      <c r="J839" s="4320"/>
      <c r="K839" s="4321"/>
      <c r="L839" s="4321"/>
      <c r="M839" s="4320"/>
    </row>
    <row r="840" spans="2:13">
      <c r="B840" s="4320" t="str">
        <f>B5</f>
        <v>2016-2017</v>
      </c>
      <c r="C840" s="4320"/>
      <c r="D840" s="4320"/>
      <c r="E840" s="4320"/>
      <c r="F840" s="4320"/>
      <c r="G840" s="4320"/>
      <c r="H840" s="4320"/>
      <c r="I840" s="4320"/>
      <c r="J840" s="4320"/>
      <c r="K840" s="4320"/>
      <c r="L840" s="4320"/>
      <c r="M840" s="4320"/>
    </row>
    <row r="841" spans="2:13">
      <c r="B841" s="4320" t="s">
        <v>1993</v>
      </c>
      <c r="C841" s="4320"/>
      <c r="D841" s="4320"/>
      <c r="E841" s="4320"/>
      <c r="F841" s="4320"/>
      <c r="G841" s="4320"/>
      <c r="H841" s="4320"/>
      <c r="I841" s="4320"/>
      <c r="J841" s="4320"/>
      <c r="K841" s="4320"/>
      <c r="L841" s="4320"/>
      <c r="M841" s="4320"/>
    </row>
    <row r="842" spans="2:13">
      <c r="B842" s="4320" t="s">
        <v>1994</v>
      </c>
      <c r="C842" s="4320"/>
      <c r="D842" s="4320"/>
      <c r="E842" s="4320"/>
      <c r="F842" s="4320"/>
      <c r="G842" s="4320"/>
      <c r="H842" s="4320"/>
      <c r="I842" s="4320"/>
      <c r="J842" s="4320"/>
      <c r="K842" s="4320"/>
      <c r="L842" s="4320"/>
      <c r="M842" s="4320"/>
    </row>
    <row r="843" spans="2:13" ht="15">
      <c r="B843" s="4322" t="s">
        <v>1995</v>
      </c>
      <c r="C843" s="4322"/>
      <c r="D843" s="4322"/>
      <c r="E843" s="4320"/>
      <c r="F843" s="4320"/>
      <c r="G843" s="4320"/>
      <c r="H843" s="4320"/>
      <c r="I843" s="4320"/>
      <c r="J843" s="4320"/>
      <c r="K843" s="4320"/>
      <c r="L843" s="4320"/>
      <c r="M843" s="4320"/>
    </row>
    <row r="844" spans="2:13" ht="8.25" customHeight="1">
      <c r="E844" s="4318"/>
      <c r="F844" s="4318"/>
      <c r="G844" s="4318"/>
      <c r="H844" s="4318"/>
      <c r="I844" s="4318"/>
      <c r="J844" s="4318"/>
      <c r="K844" s="4318"/>
      <c r="L844" s="4318"/>
      <c r="M844" s="4318"/>
    </row>
    <row r="845" spans="2:13" ht="15">
      <c r="E845" s="4380"/>
      <c r="F845" s="4318"/>
      <c r="G845" s="4318" t="str">
        <f>G149</f>
        <v>Rec. Comm</v>
      </c>
      <c r="H845" s="4318"/>
      <c r="I845" s="4318" t="s">
        <v>2047</v>
      </c>
      <c r="J845" s="4318"/>
      <c r="K845" s="4350" t="s">
        <v>2048</v>
      </c>
      <c r="L845" s="4318"/>
      <c r="M845" s="4356"/>
    </row>
    <row r="846" spans="2:13" ht="15">
      <c r="E846" s="4380" t="s">
        <v>2049</v>
      </c>
      <c r="F846" s="4318"/>
      <c r="G846" s="4318" t="str">
        <f>G150</f>
        <v>Emp Benef</v>
      </c>
      <c r="H846" s="4318"/>
      <c r="I846" s="4318" t="s">
        <v>2050</v>
      </c>
      <c r="J846" s="4318"/>
      <c r="K846" s="4318" t="s">
        <v>2051</v>
      </c>
      <c r="L846" s="4318"/>
      <c r="M846" s="4380" t="s">
        <v>2063</v>
      </c>
    </row>
    <row r="847" spans="2:13" ht="15">
      <c r="E847" s="4380" t="s">
        <v>2053</v>
      </c>
      <c r="G847" s="4318" t="str">
        <f>G151</f>
        <v>&amp; Spec Liab</v>
      </c>
      <c r="I847" s="4318" t="s">
        <v>2054</v>
      </c>
      <c r="K847" s="4318" t="s">
        <v>2055</v>
      </c>
      <c r="M847" s="4380" t="s">
        <v>2056</v>
      </c>
    </row>
    <row r="848" spans="2:13" ht="8.25" customHeight="1">
      <c r="G848" s="4350"/>
    </row>
    <row r="849" spans="2:13">
      <c r="B849" s="4309" t="str">
        <f>B14</f>
        <v>1.  County Treasurer Balance 6/30/2016 *</v>
      </c>
      <c r="E849" s="4388"/>
      <c r="F849" s="4383"/>
      <c r="G849" s="4384"/>
      <c r="H849" s="4383"/>
      <c r="I849" s="4384"/>
      <c r="J849" s="4383"/>
      <c r="K849" s="4384"/>
      <c r="M849" s="4388"/>
    </row>
    <row r="850" spans="2:13" ht="7.5" customHeight="1">
      <c r="B850" s="4326"/>
      <c r="C850" s="4326"/>
      <c r="D850" s="4326"/>
      <c r="E850" s="4385"/>
      <c r="F850" s="4385"/>
      <c r="G850" s="4385"/>
      <c r="H850" s="4385"/>
      <c r="I850" s="4385"/>
      <c r="J850" s="4385"/>
      <c r="K850" s="4385"/>
      <c r="M850" s="4385"/>
    </row>
    <row r="851" spans="2:13">
      <c r="B851" s="4309" t="str">
        <f>B16</f>
        <v>2.  2015 Actual Taxes Levied*</v>
      </c>
      <c r="E851" s="4388"/>
      <c r="F851" s="4383"/>
      <c r="G851" s="4384"/>
      <c r="H851" s="4383"/>
      <c r="I851" s="4384"/>
      <c r="J851" s="4383"/>
      <c r="K851" s="4384"/>
      <c r="M851" s="4388"/>
    </row>
    <row r="852" spans="2:13" ht="8.25" customHeight="1">
      <c r="E852" s="4383"/>
      <c r="F852" s="4383"/>
      <c r="G852" s="4383"/>
      <c r="H852" s="4383"/>
      <c r="I852" s="4383"/>
      <c r="J852" s="4383"/>
      <c r="K852" s="4383"/>
      <c r="M852" s="4383"/>
    </row>
    <row r="853" spans="2:13">
      <c r="B853" s="4309" t="s">
        <v>2023</v>
      </c>
      <c r="C853" s="4347">
        <f>C723</f>
        <v>0</v>
      </c>
      <c r="D853" s="4356"/>
      <c r="E853" s="4381">
        <f>E851*$C$853/100</f>
        <v>0</v>
      </c>
      <c r="F853" s="4328"/>
      <c r="G853" s="4325">
        <f>G851*$C$853/100</f>
        <v>0</v>
      </c>
      <c r="H853" s="4328"/>
      <c r="I853" s="4325">
        <f>I851*$C$853/100</f>
        <v>0</v>
      </c>
      <c r="J853" s="4328"/>
      <c r="K853" s="4325">
        <f>K851*$C$853/100</f>
        <v>0</v>
      </c>
      <c r="L853" s="4328"/>
      <c r="M853" s="4325">
        <f>M851*$C$853/100</f>
        <v>0</v>
      </c>
    </row>
    <row r="854" spans="2:13" ht="8.25" customHeight="1">
      <c r="E854" s="4383"/>
      <c r="F854" s="4383"/>
      <c r="G854" s="4383"/>
      <c r="H854" s="4383"/>
      <c r="I854" s="4383"/>
      <c r="J854" s="4383"/>
      <c r="K854" s="4383"/>
      <c r="M854" s="4383"/>
    </row>
    <row r="855" spans="2:13">
      <c r="B855" s="4309" t="str">
        <f>B20</f>
        <v>4.  Less:  Jan. 20, 2016 Taxes received**</v>
      </c>
      <c r="E855" s="4388"/>
      <c r="F855" s="4383"/>
      <c r="G855" s="4384"/>
      <c r="H855" s="4383"/>
      <c r="I855" s="4384"/>
      <c r="J855" s="4383"/>
      <c r="K855" s="4384"/>
      <c r="M855" s="4388"/>
    </row>
    <row r="856" spans="2:13" ht="8.25" customHeight="1">
      <c r="E856" s="4383"/>
      <c r="F856" s="4383"/>
      <c r="G856" s="4383"/>
      <c r="H856" s="4383"/>
      <c r="I856" s="4383"/>
      <c r="J856" s="4383"/>
      <c r="K856" s="4383"/>
      <c r="M856" s="4383"/>
    </row>
    <row r="857" spans="2:13">
      <c r="B857" s="4309" t="str">
        <f>B22</f>
        <v>5.  Less:  Mar. 20, 2016  Taxes received**</v>
      </c>
      <c r="E857" s="4388"/>
      <c r="F857" s="4383"/>
      <c r="G857" s="4384"/>
      <c r="H857" s="4383"/>
      <c r="I857" s="4384"/>
      <c r="J857" s="4383"/>
      <c r="K857" s="4384"/>
      <c r="M857" s="4388"/>
    </row>
    <row r="858" spans="2:13" ht="8.25" customHeight="1">
      <c r="E858" s="4376"/>
      <c r="F858" s="4383"/>
      <c r="G858" s="4376"/>
      <c r="H858" s="4383"/>
      <c r="I858" s="4376"/>
      <c r="J858" s="4383"/>
      <c r="K858" s="4376"/>
      <c r="M858" s="4376"/>
    </row>
    <row r="859" spans="2:13">
      <c r="B859" s="4309" t="str">
        <f>B24</f>
        <v>6.  Less:  June 5,  2016 Taxes received**</v>
      </c>
      <c r="E859" s="4388"/>
      <c r="F859" s="4383"/>
      <c r="G859" s="4384"/>
      <c r="H859" s="4383"/>
      <c r="I859" s="4384"/>
      <c r="J859" s="4383"/>
      <c r="K859" s="4384"/>
      <c r="M859" s="4388"/>
    </row>
    <row r="860" spans="2:13" ht="8.25" customHeight="1">
      <c r="E860" s="4376"/>
      <c r="F860" s="4383"/>
      <c r="G860" s="4376"/>
      <c r="H860" s="4383"/>
      <c r="I860" s="4376"/>
      <c r="J860" s="4383"/>
      <c r="K860" s="4376"/>
      <c r="M860" s="4376"/>
    </row>
    <row r="861" spans="2:13">
      <c r="B861" s="4309" t="s">
        <v>2003</v>
      </c>
      <c r="E861" s="4388"/>
      <c r="F861" s="4383"/>
      <c r="G861" s="4384"/>
      <c r="H861" s="4383"/>
      <c r="I861" s="4384"/>
      <c r="J861" s="4383"/>
      <c r="K861" s="4384"/>
      <c r="M861" s="4388"/>
    </row>
    <row r="862" spans="2:13" ht="6.75" customHeight="1">
      <c r="E862" s="4383"/>
      <c r="F862" s="4383"/>
      <c r="G862" s="4383"/>
      <c r="H862" s="4383"/>
      <c r="I862" s="4383"/>
      <c r="J862" s="4383"/>
      <c r="K862" s="4383"/>
      <c r="M862" s="4383"/>
    </row>
    <row r="863" spans="2:13">
      <c r="B863" s="4309" t="s">
        <v>2004</v>
      </c>
      <c r="E863" s="4388"/>
      <c r="F863" s="4383"/>
      <c r="G863" s="4384"/>
      <c r="H863" s="4383"/>
      <c r="I863" s="4384"/>
      <c r="J863" s="4383"/>
      <c r="K863" s="4384"/>
      <c r="M863" s="4388"/>
    </row>
    <row r="864" spans="2:13">
      <c r="B864" s="4309" t="s">
        <v>2005</v>
      </c>
      <c r="E864" s="4389"/>
      <c r="F864" s="4383"/>
      <c r="G864" s="4386"/>
      <c r="H864" s="4383"/>
      <c r="I864" s="4386"/>
      <c r="J864" s="4383"/>
      <c r="K864" s="4386"/>
      <c r="M864" s="4389"/>
    </row>
    <row r="865" spans="2:14">
      <c r="B865" s="4309" t="s">
        <v>2062</v>
      </c>
      <c r="E865" s="4381">
        <f>SUM(E853:E864)</f>
        <v>0</v>
      </c>
      <c r="F865" s="4328"/>
      <c r="G865" s="4325">
        <f>SUM(G853:G864)</f>
        <v>0</v>
      </c>
      <c r="H865" s="4328"/>
      <c r="I865" s="4325">
        <f>SUM(I853:I864)</f>
        <v>0</v>
      </c>
      <c r="J865" s="4328"/>
      <c r="K865" s="4325">
        <f>SUM(K853:K864)</f>
        <v>0</v>
      </c>
      <c r="L865" s="4356"/>
      <c r="M865" s="4325">
        <f>SUM(M853:M864)</f>
        <v>0</v>
      </c>
    </row>
    <row r="866" spans="2:14" ht="6.75" customHeight="1">
      <c r="E866" s="4324"/>
      <c r="F866" s="4324"/>
      <c r="G866" s="4324"/>
      <c r="H866" s="4324"/>
      <c r="I866" s="4324"/>
      <c r="J866" s="4324"/>
      <c r="K866" s="4324"/>
      <c r="L866" s="4356"/>
      <c r="M866" s="4324"/>
    </row>
    <row r="867" spans="2:14">
      <c r="B867" s="4309" t="str">
        <f>B32</f>
        <v>11. 2015 taxes receivable (taxes in process</v>
      </c>
      <c r="E867" s="4324"/>
      <c r="F867" s="4324"/>
      <c r="G867" s="4324"/>
      <c r="H867" s="4324"/>
      <c r="I867" s="4324"/>
      <c r="J867" s="4324"/>
      <c r="K867" s="4324"/>
      <c r="L867" s="4356"/>
      <c r="M867" s="4324"/>
    </row>
    <row r="868" spans="2:14">
      <c r="B868" s="4309" t="str">
        <f>B33</f>
        <v xml:space="preserve">     of collection 6/30/2016)(Line 2 less Line 10)</v>
      </c>
      <c r="E868" s="4381">
        <f>IF(E865&lt;=0,0,E851-E865)</f>
        <v>0</v>
      </c>
      <c r="F868" s="4328"/>
      <c r="G868" s="4325">
        <f>IF(G865&lt;=0,0,G851-G865)</f>
        <v>0</v>
      </c>
      <c r="H868" s="4328"/>
      <c r="I868" s="4325">
        <f>IF(I865&lt;=0,0,I851-I865)</f>
        <v>0</v>
      </c>
      <c r="J868" s="4328"/>
      <c r="K868" s="4325">
        <f>IF(K865&lt;=0,0,K851-K865)</f>
        <v>0</v>
      </c>
      <c r="L868" s="4328"/>
      <c r="M868" s="4325">
        <f>IF(M865&lt;=0,0,M851-M865)</f>
        <v>0</v>
      </c>
    </row>
    <row r="869" spans="2:14" ht="8.25" customHeight="1">
      <c r="E869" s="4324"/>
      <c r="F869" s="4324"/>
      <c r="G869" s="4324"/>
      <c r="H869" s="4324"/>
      <c r="I869" s="4324"/>
      <c r="J869" s="4324"/>
      <c r="K869" s="4324"/>
      <c r="L869" s="4356"/>
      <c r="M869" s="4324"/>
    </row>
    <row r="870" spans="2:14">
      <c r="B870" s="4309" t="s">
        <v>2025</v>
      </c>
      <c r="E870" s="4324"/>
      <c r="F870" s="4324"/>
      <c r="G870" s="4324"/>
      <c r="H870" s="4324"/>
      <c r="I870" s="4324"/>
      <c r="J870" s="4324"/>
      <c r="K870" s="4324"/>
      <c r="L870" s="4356"/>
      <c r="M870" s="4324"/>
    </row>
    <row r="871" spans="2:14">
      <c r="B871" s="4309" t="s">
        <v>2008</v>
      </c>
      <c r="E871" s="4324"/>
      <c r="F871" s="4324"/>
      <c r="G871" s="4324"/>
      <c r="H871" s="4324"/>
      <c r="I871" s="4324"/>
      <c r="J871" s="4324"/>
      <c r="K871" s="4324"/>
      <c r="L871" s="4356"/>
      <c r="M871" s="4324"/>
    </row>
    <row r="872" spans="2:14">
      <c r="B872" s="4309" t="str">
        <f>B37</f>
        <v xml:space="preserve">     (7-1-2016 to 12-31-2017) (Line 3 x 75%)</v>
      </c>
      <c r="E872" s="4381">
        <f>SUM(E853*0.75)</f>
        <v>0</v>
      </c>
      <c r="F872" s="4328"/>
      <c r="G872" s="4325">
        <f>SUM(G853*0.75)</f>
        <v>0</v>
      </c>
      <c r="H872" s="4328"/>
      <c r="I872" s="4325">
        <f>SUM(I853*0.75)</f>
        <v>0</v>
      </c>
      <c r="J872" s="4328"/>
      <c r="K872" s="4325">
        <f>SUM(K853*0.75)</f>
        <v>0</v>
      </c>
      <c r="L872" s="4356"/>
      <c r="M872" s="4325">
        <f>SUM(M853*0.75)</f>
        <v>0</v>
      </c>
    </row>
    <row r="873" spans="2:14" ht="15">
      <c r="B873" s="4350" t="str">
        <f>B39</f>
        <v>Tax Collection Ratio (Jan, Mar, June)</v>
      </c>
      <c r="E873" s="4379">
        <f>IF(E851&lt;&gt;0,(E855+E857+E859+E861+E863)/E851*100,0)</f>
        <v>0</v>
      </c>
      <c r="F873" s="4335" t="s">
        <v>1124</v>
      </c>
      <c r="G873" s="4379">
        <f>IF(G851&lt;&gt;0,(G855+G857+G859+G861+G863)/G851*100,0)</f>
        <v>0</v>
      </c>
      <c r="H873" s="4335" t="s">
        <v>1124</v>
      </c>
      <c r="I873" s="4379">
        <f>IF(I851&lt;&gt;0,(I855+I857+I859+I861+I863)/I851*100,0)</f>
        <v>0</v>
      </c>
      <c r="J873" s="4335" t="s">
        <v>1124</v>
      </c>
      <c r="K873" s="4379">
        <f>IF(K851&lt;&gt;0,(K855+K857+K859+K861+K863)/K851*100,0)</f>
        <v>0</v>
      </c>
      <c r="L873" s="4335" t="s">
        <v>1124</v>
      </c>
      <c r="M873" s="4379">
        <f>IF(M851&lt;&gt;0,(M855+M857+M859+M861+M863)/M851*100,0)</f>
        <v>0</v>
      </c>
      <c r="N873" s="4333" t="s">
        <v>1124</v>
      </c>
    </row>
    <row r="874" spans="2:14" ht="5.0999999999999996" customHeight="1">
      <c r="M874" s="4356"/>
    </row>
    <row r="875" spans="2:14" ht="14.1" customHeight="1">
      <c r="B875" s="4351" t="str">
        <f>B97</f>
        <v>*Amounts are available from the County Treasurer.       **These Jan.-June, 2016 amounts are available from the County Treasurer.  (Should correspond to school</v>
      </c>
    </row>
    <row r="876" spans="2:14">
      <c r="B876" s="4351" t="str">
        <f>B98</f>
        <v xml:space="preserve"> records and does not include MVPT.)   Include Watercraft Tax if USD received payment direct from county.</v>
      </c>
    </row>
    <row r="877" spans="2:14" ht="15">
      <c r="B877" s="4309" t="s">
        <v>1987</v>
      </c>
      <c r="M877" s="4310" t="s">
        <v>1988</v>
      </c>
    </row>
    <row r="878" spans="2:14">
      <c r="B878" s="4311">
        <f>B2</f>
        <v>42522</v>
      </c>
      <c r="C878" s="4312"/>
      <c r="D878" s="4312"/>
      <c r="F878" s="4314"/>
      <c r="G878" s="4314" t="s">
        <v>1989</v>
      </c>
      <c r="H878" s="4314"/>
      <c r="I878" s="4315" t="str">
        <f>I837</f>
        <v>270 - Plainville</v>
      </c>
      <c r="J878" s="4316"/>
      <c r="K878" s="4316"/>
      <c r="L878" s="4314" t="s">
        <v>1990</v>
      </c>
      <c r="M878" s="4317">
        <f>M837</f>
        <v>270</v>
      </c>
    </row>
    <row r="879" spans="2:14">
      <c r="K879" s="4314" t="s">
        <v>1112</v>
      </c>
      <c r="M879" s="4390">
        <v>0</v>
      </c>
    </row>
    <row r="880" spans="2:14" ht="7.5" customHeight="1">
      <c r="E880" s="4320"/>
      <c r="F880" s="4320"/>
      <c r="G880" s="4320"/>
      <c r="H880" s="4320"/>
      <c r="I880" s="4320"/>
      <c r="J880" s="4320"/>
      <c r="K880" s="4321"/>
      <c r="L880" s="4321"/>
      <c r="M880" s="4320"/>
    </row>
    <row r="881" spans="2:13" ht="8.25" customHeight="1">
      <c r="E881" s="4320"/>
      <c r="F881" s="4320"/>
      <c r="G881" s="4320"/>
      <c r="H881" s="4320"/>
      <c r="I881" s="4320"/>
      <c r="J881" s="4320"/>
      <c r="K881" s="4321"/>
      <c r="L881" s="4321"/>
      <c r="M881" s="4320"/>
    </row>
    <row r="882" spans="2:13">
      <c r="B882" s="4320" t="str">
        <f>B5</f>
        <v>2016-2017</v>
      </c>
      <c r="C882" s="4320"/>
      <c r="D882" s="4320"/>
      <c r="E882" s="4320"/>
      <c r="F882" s="4320"/>
      <c r="G882" s="4320"/>
      <c r="H882" s="4320"/>
      <c r="I882" s="4320"/>
      <c r="J882" s="4320"/>
      <c r="K882" s="4320"/>
      <c r="L882" s="4320"/>
      <c r="M882" s="4320"/>
    </row>
    <row r="883" spans="2:13">
      <c r="B883" s="4320" t="s">
        <v>1993</v>
      </c>
      <c r="C883" s="4320"/>
      <c r="D883" s="4320"/>
      <c r="E883" s="4320"/>
      <c r="F883" s="4320"/>
      <c r="G883" s="4320"/>
      <c r="H883" s="4320"/>
      <c r="I883" s="4320"/>
      <c r="J883" s="4320"/>
      <c r="K883" s="4320"/>
      <c r="L883" s="4320"/>
      <c r="M883" s="4320"/>
    </row>
    <row r="884" spans="2:13">
      <c r="B884" s="4320" t="s">
        <v>1994</v>
      </c>
      <c r="C884" s="4320"/>
      <c r="D884" s="4320"/>
      <c r="E884" s="4320"/>
      <c r="F884" s="4320"/>
      <c r="G884" s="4320"/>
      <c r="H884" s="4320"/>
      <c r="I884" s="4320"/>
      <c r="J884" s="4320"/>
      <c r="K884" s="4320"/>
      <c r="L884" s="4320"/>
      <c r="M884" s="4320"/>
    </row>
    <row r="885" spans="2:13" ht="15">
      <c r="B885" s="4322" t="s">
        <v>1995</v>
      </c>
      <c r="C885" s="4322"/>
      <c r="D885" s="4322"/>
      <c r="E885" s="4320"/>
      <c r="F885" s="4320"/>
      <c r="G885" s="4320"/>
      <c r="H885" s="4320"/>
      <c r="I885" s="4320"/>
      <c r="J885" s="4320"/>
      <c r="K885" s="4320"/>
      <c r="L885" s="4320"/>
      <c r="M885" s="4320"/>
    </row>
    <row r="886" spans="2:13" ht="7.5" customHeight="1"/>
    <row r="887" spans="2:13" ht="15">
      <c r="E887" s="4318"/>
      <c r="F887" s="4318"/>
      <c r="G887" s="4318" t="s">
        <v>1996</v>
      </c>
      <c r="H887" s="4318"/>
      <c r="I887" s="4318" t="s">
        <v>1997</v>
      </c>
      <c r="J887" s="4318"/>
      <c r="K887" s="4318" t="s">
        <v>1998</v>
      </c>
      <c r="L887" s="4318"/>
      <c r="M887" s="4318"/>
    </row>
    <row r="888" spans="2:13" ht="15">
      <c r="E888" s="4318" t="s">
        <v>993</v>
      </c>
      <c r="F888" s="4318"/>
      <c r="G888" s="4318" t="s">
        <v>993</v>
      </c>
      <c r="H888" s="4318"/>
      <c r="I888" s="4318" t="s">
        <v>1999</v>
      </c>
      <c r="J888" s="4318"/>
      <c r="K888" s="4318" t="s">
        <v>2000</v>
      </c>
      <c r="L888" s="4318"/>
      <c r="M888" s="4318" t="s">
        <v>2001</v>
      </c>
    </row>
    <row r="889" spans="2:13" ht="15">
      <c r="E889" s="4318" t="s">
        <v>1152</v>
      </c>
      <c r="F889" s="4318"/>
      <c r="G889" s="4318" t="s">
        <v>1152</v>
      </c>
      <c r="H889" s="4318"/>
      <c r="I889" s="4318" t="s">
        <v>1152</v>
      </c>
      <c r="J889" s="4318"/>
      <c r="K889" s="4318" t="str">
        <f>K12</f>
        <v>Fund #1</v>
      </c>
      <c r="L889" s="4318"/>
      <c r="M889" s="4318" t="str">
        <f>M12</f>
        <v>Fund</v>
      </c>
    </row>
    <row r="890" spans="2:13" ht="7.5" customHeight="1"/>
    <row r="891" spans="2:13">
      <c r="B891" s="4309" t="str">
        <f>B14</f>
        <v>1.  County Treasurer Balance 6/30/2016 *</v>
      </c>
      <c r="E891" s="4382"/>
      <c r="F891" s="4383"/>
      <c r="G891" s="4384"/>
      <c r="H891" s="4383"/>
      <c r="I891" s="4384"/>
      <c r="J891" s="4383"/>
      <c r="K891" s="4384"/>
      <c r="L891" s="4383"/>
      <c r="M891" s="4384"/>
    </row>
    <row r="892" spans="2:13" ht="7.5" customHeight="1">
      <c r="B892" s="4326"/>
      <c r="C892" s="4326"/>
      <c r="D892" s="4326"/>
      <c r="E892" s="4385"/>
      <c r="F892" s="4385"/>
      <c r="G892" s="4385"/>
      <c r="H892" s="4385"/>
      <c r="I892" s="4385"/>
      <c r="J892" s="4385"/>
      <c r="K892" s="4385"/>
      <c r="L892" s="4385"/>
      <c r="M892" s="4385"/>
    </row>
    <row r="893" spans="2:13">
      <c r="B893" s="4309" t="str">
        <f>B16</f>
        <v>2.  2015 Actual Taxes Levied*</v>
      </c>
      <c r="E893" s="4382"/>
      <c r="F893" s="4383"/>
      <c r="G893" s="4384"/>
      <c r="H893" s="4383"/>
      <c r="I893" s="4384"/>
      <c r="J893" s="4383"/>
      <c r="K893" s="4384"/>
      <c r="L893" s="4324"/>
      <c r="M893" s="4384"/>
    </row>
    <row r="894" spans="2:13" ht="9" customHeight="1">
      <c r="E894" s="4376"/>
      <c r="F894" s="4383"/>
      <c r="G894" s="4383"/>
      <c r="H894" s="4383"/>
      <c r="I894" s="4383"/>
      <c r="J894" s="4383"/>
      <c r="K894" s="4383"/>
      <c r="L894" s="4383"/>
      <c r="M894" s="4383"/>
    </row>
    <row r="895" spans="2:13">
      <c r="B895" s="4309" t="s">
        <v>2002</v>
      </c>
      <c r="C895" s="4329"/>
      <c r="E895" s="4328"/>
      <c r="F895" s="4328"/>
      <c r="G895" s="4325">
        <f>SUM(G893*$C$895/100)</f>
        <v>0</v>
      </c>
      <c r="H895" s="4328"/>
      <c r="I895" s="4325">
        <f>SUM(I893*$C$895/100)</f>
        <v>0</v>
      </c>
      <c r="J895" s="4328"/>
      <c r="K895" s="4325">
        <f>SUM(K893*$C$895/100)</f>
        <v>0</v>
      </c>
      <c r="L895" s="4328"/>
      <c r="M895" s="4325">
        <f>SUM(M893*$C$895/100)</f>
        <v>0</v>
      </c>
    </row>
    <row r="896" spans="2:13" ht="9.75" customHeight="1">
      <c r="E896" s="4376"/>
      <c r="F896" s="4383"/>
      <c r="G896" s="4383"/>
      <c r="H896" s="4383"/>
      <c r="I896" s="4383"/>
      <c r="J896" s="4383"/>
      <c r="K896" s="4383"/>
      <c r="L896" s="4383"/>
      <c r="M896" s="4383"/>
    </row>
    <row r="897" spans="2:13">
      <c r="B897" s="4309" t="str">
        <f>B20</f>
        <v>4.  Less:  Jan. 20, 2016 Taxes received**</v>
      </c>
      <c r="C897" s="4314"/>
      <c r="E897" s="4382"/>
      <c r="F897" s="4383"/>
      <c r="G897" s="4384"/>
      <c r="H897" s="4383"/>
      <c r="I897" s="4384"/>
      <c r="J897" s="4383"/>
      <c r="K897" s="4384"/>
      <c r="L897" s="4383"/>
      <c r="M897" s="4384"/>
    </row>
    <row r="898" spans="2:13" ht="9.75" customHeight="1">
      <c r="E898" s="4376"/>
      <c r="F898" s="4383"/>
      <c r="G898" s="4383"/>
      <c r="H898" s="4383"/>
      <c r="I898" s="4383"/>
      <c r="J898" s="4383"/>
      <c r="K898" s="4383"/>
      <c r="L898" s="4383"/>
      <c r="M898" s="4383"/>
    </row>
    <row r="899" spans="2:13">
      <c r="B899" s="4309" t="str">
        <f>B22</f>
        <v>5.  Less:  Mar. 20, 2016  Taxes received**</v>
      </c>
      <c r="E899" s="4382"/>
      <c r="F899" s="4383"/>
      <c r="G899" s="4384"/>
      <c r="H899" s="4383"/>
      <c r="I899" s="4384"/>
      <c r="J899" s="4383"/>
      <c r="K899" s="4384"/>
      <c r="L899" s="4383"/>
      <c r="M899" s="4384"/>
    </row>
    <row r="900" spans="2:13" ht="9.75" customHeight="1">
      <c r="E900" s="4376"/>
      <c r="F900" s="4383"/>
      <c r="G900" s="4383"/>
      <c r="H900" s="4383"/>
      <c r="I900" s="4383"/>
      <c r="J900" s="4383"/>
      <c r="K900" s="4383"/>
      <c r="L900" s="4383"/>
      <c r="M900" s="4383"/>
    </row>
    <row r="901" spans="2:13">
      <c r="B901" s="4309" t="str">
        <f>B24</f>
        <v>6.  Less:  June 5,  2016 Taxes received**</v>
      </c>
      <c r="E901" s="4382"/>
      <c r="F901" s="4383"/>
      <c r="G901" s="4384"/>
      <c r="H901" s="4383"/>
      <c r="I901" s="4384"/>
      <c r="J901" s="4383"/>
      <c r="K901" s="4384"/>
      <c r="L901" s="4383"/>
      <c r="M901" s="4384"/>
    </row>
    <row r="902" spans="2:13" ht="9.75" customHeight="1">
      <c r="E902" s="4376"/>
      <c r="F902" s="4383"/>
      <c r="G902" s="4383"/>
      <c r="H902" s="4383"/>
      <c r="I902" s="4383"/>
      <c r="J902" s="4383"/>
      <c r="K902" s="4383"/>
      <c r="L902" s="4383"/>
      <c r="M902" s="4383"/>
    </row>
    <row r="903" spans="2:13">
      <c r="B903" s="4309" t="s">
        <v>2003</v>
      </c>
      <c r="E903" s="4382"/>
      <c r="F903" s="4383"/>
      <c r="G903" s="4384"/>
      <c r="H903" s="4383"/>
      <c r="I903" s="4384"/>
      <c r="J903" s="4383"/>
      <c r="K903" s="4384"/>
      <c r="L903" s="4383"/>
      <c r="M903" s="4384"/>
    </row>
    <row r="904" spans="2:13" ht="9.75" customHeight="1">
      <c r="E904" s="4376"/>
      <c r="F904" s="4383"/>
      <c r="G904" s="4383"/>
      <c r="H904" s="4383"/>
      <c r="I904" s="4324"/>
      <c r="J904" s="4383"/>
      <c r="K904" s="4383"/>
      <c r="L904" s="4383"/>
      <c r="M904" s="4383"/>
    </row>
    <row r="905" spans="2:13">
      <c r="B905" s="4309" t="s">
        <v>2004</v>
      </c>
      <c r="E905" s="4382"/>
      <c r="F905" s="4383"/>
      <c r="G905" s="4384"/>
      <c r="H905" s="4383"/>
      <c r="I905" s="4384"/>
      <c r="J905" s="4383"/>
      <c r="K905" s="4384"/>
      <c r="L905" s="4383"/>
      <c r="M905" s="4384"/>
    </row>
    <row r="906" spans="2:13" ht="12.75" customHeight="1">
      <c r="B906" s="4309" t="s">
        <v>2005</v>
      </c>
      <c r="E906" s="4382"/>
      <c r="F906" s="4383"/>
      <c r="G906" s="4386"/>
      <c r="H906" s="4383"/>
      <c r="I906" s="4386"/>
      <c r="J906" s="4383"/>
      <c r="K906" s="4386"/>
      <c r="L906" s="4383"/>
      <c r="M906" s="4386"/>
    </row>
    <row r="907" spans="2:13">
      <c r="B907" s="4309" t="s">
        <v>2006</v>
      </c>
      <c r="E907" s="4328"/>
      <c r="F907" s="4324"/>
      <c r="G907" s="4325">
        <f>SUM(G895:G906)</f>
        <v>0</v>
      </c>
      <c r="H907" s="4324"/>
      <c r="I907" s="4325">
        <f>SUM(I895:I906)</f>
        <v>0</v>
      </c>
      <c r="J907" s="4324"/>
      <c r="K907" s="4325">
        <f>SUM(K895:K906)</f>
        <v>0</v>
      </c>
      <c r="L907" s="4324"/>
      <c r="M907" s="4325">
        <f>SUM(M895:M906)</f>
        <v>0</v>
      </c>
    </row>
    <row r="908" spans="2:13" ht="7.5" customHeight="1">
      <c r="E908" s="4328"/>
      <c r="F908" s="4324"/>
      <c r="G908" s="4324"/>
      <c r="H908" s="4324"/>
      <c r="I908" s="4324"/>
      <c r="J908" s="4324"/>
      <c r="K908" s="4324"/>
      <c r="L908" s="4324"/>
      <c r="M908" s="4324"/>
    </row>
    <row r="909" spans="2:13">
      <c r="B909" s="4309" t="str">
        <f>B32</f>
        <v>11. 2015 taxes receivable (taxes in process</v>
      </c>
      <c r="E909" s="4328"/>
      <c r="F909" s="4324"/>
      <c r="G909" s="4324"/>
      <c r="H909" s="4324"/>
      <c r="I909" s="4324"/>
      <c r="J909" s="4324"/>
      <c r="K909" s="4324"/>
      <c r="L909" s="4324"/>
      <c r="M909" s="4324"/>
    </row>
    <row r="910" spans="2:13">
      <c r="B910" s="4309" t="str">
        <f>B33</f>
        <v xml:space="preserve">     of collection 6/30/2016)(Line 2 less Line 10)</v>
      </c>
      <c r="E910" s="4328"/>
      <c r="F910" s="4324"/>
      <c r="G910" s="4325">
        <f>IF(G907&lt;=0,0,G893-G907)</f>
        <v>0</v>
      </c>
      <c r="H910" s="4324"/>
      <c r="I910" s="4325">
        <f>IF(I907&lt;=0,0,I893-I907)</f>
        <v>0</v>
      </c>
      <c r="J910" s="4324"/>
      <c r="K910" s="4325">
        <f>IF(K907&lt;=0,0,(K893-K907))</f>
        <v>0</v>
      </c>
      <c r="L910" s="4324"/>
      <c r="M910" s="4325">
        <f>IF(M907&lt;=0,0,M893-M907)</f>
        <v>0</v>
      </c>
    </row>
    <row r="911" spans="2:13" ht="6.75" customHeight="1">
      <c r="E911" s="4328"/>
      <c r="F911" s="4324"/>
      <c r="G911" s="4328"/>
      <c r="H911" s="4324"/>
      <c r="I911" s="4328"/>
      <c r="J911" s="4324"/>
      <c r="K911" s="4328"/>
      <c r="L911" s="4324"/>
      <c r="M911" s="4328"/>
    </row>
    <row r="912" spans="2:13">
      <c r="B912" s="4309" t="s">
        <v>2007</v>
      </c>
      <c r="E912" s="4328"/>
      <c r="F912" s="4324"/>
      <c r="G912" s="4324"/>
      <c r="H912" s="4324"/>
      <c r="I912" s="4324"/>
      <c r="J912" s="4324"/>
      <c r="K912" s="4324"/>
      <c r="L912" s="4324"/>
      <c r="M912" s="4324"/>
    </row>
    <row r="913" spans="2:14">
      <c r="B913" s="4309" t="s">
        <v>2008</v>
      </c>
      <c r="E913" s="4328"/>
      <c r="F913" s="4324"/>
      <c r="G913" s="4324"/>
      <c r="H913" s="4324"/>
      <c r="I913" s="4324"/>
      <c r="J913" s="4324"/>
      <c r="K913" s="4324"/>
      <c r="L913" s="4324"/>
      <c r="M913" s="4324"/>
    </row>
    <row r="914" spans="2:14">
      <c r="B914" s="4309" t="str">
        <f>B37</f>
        <v xml:space="preserve">     (7-1-2016 to 12-31-2017) (Line 3 x 75%)</v>
      </c>
      <c r="E914" s="4328"/>
      <c r="F914" s="4324"/>
      <c r="G914" s="4325">
        <f>SUM(G895*0.75)</f>
        <v>0</v>
      </c>
      <c r="H914" s="4324"/>
      <c r="I914" s="4325">
        <f>SUM(I895*0.75)</f>
        <v>0</v>
      </c>
      <c r="J914" s="4324"/>
      <c r="K914" s="4325">
        <f>SUM(K895*0.75)</f>
        <v>0</v>
      </c>
      <c r="L914" s="4324"/>
      <c r="M914" s="4325">
        <f>SUM(M895*0.75)</f>
        <v>0</v>
      </c>
    </row>
    <row r="915" spans="2:14" ht="15">
      <c r="B915" s="4357" t="str">
        <f>B39</f>
        <v>Tax Collection Ratio (Jan, Mar, June)</v>
      </c>
      <c r="C915" s="4326"/>
      <c r="D915" s="4326"/>
      <c r="E915" s="4358">
        <f>IF(E893&lt;&gt;0,(E897+E899+E901+E903+E905)/E893*100,0)</f>
        <v>0</v>
      </c>
      <c r="F915" s="4335" t="s">
        <v>1124</v>
      </c>
      <c r="G915" s="4358">
        <f>IF(G893&lt;&gt;0,(G897+G899+G901+G903+G905)/G893*100,0)</f>
        <v>0</v>
      </c>
      <c r="H915" s="4335" t="s">
        <v>1124</v>
      </c>
      <c r="I915" s="4358">
        <f>IF(I893&lt;&gt;0,(I897+I899+I901+I903+I905)/I893*100,0)</f>
        <v>0</v>
      </c>
      <c r="J915" s="4335" t="s">
        <v>1124</v>
      </c>
      <c r="K915" s="4358">
        <f>IF(K893&lt;&gt;0,(K897+K899+K901+K903+K905)/K893*100,0)</f>
        <v>0</v>
      </c>
      <c r="L915" s="4335" t="s">
        <v>1124</v>
      </c>
      <c r="M915" s="4358">
        <f>IF(M893&lt;&gt;0,(M897+M899+M901+M903+M905)/M893*100,0)</f>
        <v>0</v>
      </c>
      <c r="N915" s="4333" t="s">
        <v>1124</v>
      </c>
    </row>
    <row r="916" spans="2:14" ht="3" customHeight="1">
      <c r="B916" s="4336"/>
      <c r="C916" s="4333"/>
      <c r="D916" s="4333"/>
      <c r="E916" s="4333"/>
      <c r="F916" s="4333"/>
      <c r="G916" s="4333"/>
      <c r="H916" s="4333"/>
      <c r="I916" s="4333"/>
      <c r="J916" s="4333"/>
      <c r="K916" s="4333"/>
      <c r="L916" s="4333"/>
      <c r="M916" s="4333"/>
    </row>
    <row r="917" spans="2:14" ht="12.75" customHeight="1">
      <c r="B917" s="4351" t="str">
        <f>B97</f>
        <v>*Amounts are available from the County Treasurer.       **These Jan.-June, 2016 amounts are available from the County Treasurer.  (Should correspond to school</v>
      </c>
      <c r="C917" s="4338"/>
      <c r="D917" s="4338"/>
      <c r="E917" s="4338"/>
      <c r="F917" s="4338"/>
      <c r="G917" s="4338"/>
      <c r="H917" s="4338"/>
      <c r="I917" s="4376"/>
      <c r="J917" s="4348"/>
      <c r="K917" s="4348"/>
      <c r="L917" s="4348"/>
      <c r="M917" s="4348"/>
    </row>
    <row r="918" spans="2:14">
      <c r="B918" s="4351" t="str">
        <f>B98</f>
        <v xml:space="preserve"> records and does not include MVPT.)   Include Watercraft Tax if USD received payment direct from county.</v>
      </c>
    </row>
    <row r="919" spans="2:14">
      <c r="B919" s="4309" t="s">
        <v>2057</v>
      </c>
    </row>
    <row r="920" spans="2:14" ht="15">
      <c r="B920" s="4309" t="s">
        <v>1987</v>
      </c>
      <c r="M920" s="4310" t="s">
        <v>2015</v>
      </c>
    </row>
    <row r="921" spans="2:14">
      <c r="B921" s="4311">
        <f>B2</f>
        <v>42522</v>
      </c>
      <c r="C921" s="4312"/>
      <c r="D921" s="4312"/>
      <c r="F921" s="4314"/>
      <c r="G921" s="4314" t="s">
        <v>1989</v>
      </c>
      <c r="H921" s="4314"/>
      <c r="I921" s="4316" t="str">
        <f>I878</f>
        <v>270 - Plainville</v>
      </c>
      <c r="J921" s="4316"/>
      <c r="K921" s="4354" t="s">
        <v>1990</v>
      </c>
      <c r="L921" s="4353"/>
      <c r="M921" s="4317">
        <f>M878</f>
        <v>270</v>
      </c>
    </row>
    <row r="922" spans="2:14">
      <c r="K922" s="4314" t="s">
        <v>1112</v>
      </c>
      <c r="M922" s="4316">
        <f>M879</f>
        <v>0</v>
      </c>
    </row>
    <row r="923" spans="2:14" ht="7.5" customHeight="1">
      <c r="E923" s="4320"/>
      <c r="F923" s="4320"/>
      <c r="G923" s="4320"/>
      <c r="H923" s="4320"/>
      <c r="I923" s="4320"/>
      <c r="J923" s="4320"/>
      <c r="K923" s="4321"/>
      <c r="L923" s="4321"/>
      <c r="M923" s="4320"/>
    </row>
    <row r="924" spans="2:14">
      <c r="B924" s="4320" t="str">
        <f>B5</f>
        <v>2016-2017</v>
      </c>
      <c r="C924" s="4320"/>
      <c r="D924" s="4320"/>
      <c r="E924" s="4320"/>
      <c r="F924" s="4320"/>
      <c r="G924" s="4320"/>
      <c r="H924" s="4320"/>
      <c r="I924" s="4320"/>
      <c r="J924" s="4320"/>
      <c r="K924" s="4320"/>
      <c r="L924" s="4320"/>
      <c r="M924" s="4320"/>
    </row>
    <row r="925" spans="2:14">
      <c r="B925" s="4320" t="s">
        <v>1993</v>
      </c>
      <c r="C925" s="4320"/>
      <c r="D925" s="4320"/>
      <c r="E925" s="4320"/>
      <c r="F925" s="4320"/>
      <c r="G925" s="4320"/>
      <c r="H925" s="4320"/>
      <c r="I925" s="4320"/>
      <c r="J925" s="4320"/>
      <c r="K925" s="4320"/>
      <c r="L925" s="4320"/>
      <c r="M925" s="4320"/>
    </row>
    <row r="926" spans="2:14">
      <c r="B926" s="4320" t="s">
        <v>1994</v>
      </c>
      <c r="C926" s="4320"/>
      <c r="D926" s="4320"/>
      <c r="E926" s="4320"/>
      <c r="F926" s="4320"/>
      <c r="G926" s="4320"/>
      <c r="H926" s="4320"/>
      <c r="I926" s="4320"/>
      <c r="J926" s="4320"/>
      <c r="K926" s="4320"/>
      <c r="L926" s="4320"/>
      <c r="M926" s="4320"/>
    </row>
    <row r="927" spans="2:14" ht="15">
      <c r="B927" s="4322" t="s">
        <v>1995</v>
      </c>
      <c r="C927" s="4322"/>
      <c r="D927" s="4322"/>
      <c r="E927" s="4320"/>
      <c r="F927" s="4320"/>
      <c r="G927" s="4320"/>
      <c r="H927" s="4320"/>
      <c r="I927" s="4320"/>
      <c r="J927" s="4320"/>
      <c r="K927" s="4320"/>
      <c r="L927" s="4320"/>
      <c r="M927" s="4320"/>
    </row>
    <row r="928" spans="2:14" ht="8.25" customHeight="1">
      <c r="E928" s="4318"/>
      <c r="F928" s="4318"/>
      <c r="G928" s="4318"/>
      <c r="H928" s="4318"/>
      <c r="I928" s="4318"/>
      <c r="J928" s="4318"/>
      <c r="K928" s="4318"/>
      <c r="L928" s="4318"/>
      <c r="M928" s="4318"/>
    </row>
    <row r="929" spans="2:14" ht="15">
      <c r="E929" s="4318" t="s">
        <v>2016</v>
      </c>
      <c r="F929" s="4318"/>
      <c r="G929" s="4318" t="s">
        <v>2037</v>
      </c>
      <c r="H929" s="4318"/>
      <c r="I929" s="4318" t="s">
        <v>2058</v>
      </c>
      <c r="J929" s="4318"/>
      <c r="K929" s="4318" t="s">
        <v>2019</v>
      </c>
      <c r="M929" s="4287"/>
      <c r="N929" s="4287"/>
    </row>
    <row r="930" spans="2:14" ht="15">
      <c r="E930" s="4318" t="s">
        <v>2020</v>
      </c>
      <c r="F930" s="4318"/>
      <c r="G930" s="4318" t="s">
        <v>2021</v>
      </c>
      <c r="H930" s="4318"/>
      <c r="I930" s="4318" t="s">
        <v>2022</v>
      </c>
      <c r="J930" s="4318"/>
      <c r="K930" s="4318" t="str">
        <f>K60</f>
        <v>Interest #2</v>
      </c>
      <c r="M930" s="4287"/>
      <c r="N930" s="4287"/>
    </row>
    <row r="931" spans="2:14" ht="7.5" customHeight="1">
      <c r="M931" s="4287"/>
      <c r="N931" s="4287"/>
    </row>
    <row r="932" spans="2:14">
      <c r="B932" s="4309" t="str">
        <f>B14</f>
        <v>1.  County Treasurer Balance 6/30/2016 *</v>
      </c>
      <c r="E932" s="4384"/>
      <c r="F932" s="4383"/>
      <c r="G932" s="4384"/>
      <c r="H932" s="4383"/>
      <c r="I932" s="4384"/>
      <c r="J932" s="4383"/>
      <c r="K932" s="4384"/>
      <c r="M932" s="4287"/>
      <c r="N932" s="4287"/>
    </row>
    <row r="933" spans="2:14" ht="6.75" customHeight="1">
      <c r="B933" s="4326"/>
      <c r="C933" s="4326"/>
      <c r="D933" s="4326"/>
      <c r="E933" s="4385"/>
      <c r="F933" s="4385"/>
      <c r="G933" s="4385"/>
      <c r="H933" s="4385"/>
      <c r="I933" s="4385"/>
      <c r="J933" s="4385"/>
      <c r="K933" s="4385"/>
      <c r="M933" s="4287"/>
      <c r="N933" s="4287"/>
    </row>
    <row r="934" spans="2:14">
      <c r="B934" s="4309" t="str">
        <f>B16</f>
        <v>2.  2015 Actual Taxes Levied*</v>
      </c>
      <c r="E934" s="4384"/>
      <c r="F934" s="4383"/>
      <c r="G934" s="4384"/>
      <c r="H934" s="4383"/>
      <c r="I934" s="4384"/>
      <c r="J934" s="4383"/>
      <c r="K934" s="4384"/>
      <c r="M934" s="4287"/>
      <c r="N934" s="4287"/>
    </row>
    <row r="935" spans="2:14" ht="8.25" customHeight="1">
      <c r="E935" s="4383"/>
      <c r="F935" s="4383"/>
      <c r="G935" s="4383"/>
      <c r="H935" s="4383"/>
      <c r="I935" s="4383"/>
      <c r="J935" s="4383"/>
      <c r="K935" s="4383"/>
      <c r="M935" s="4287"/>
      <c r="N935" s="4287"/>
    </row>
    <row r="936" spans="2:14">
      <c r="B936" s="4309" t="s">
        <v>2023</v>
      </c>
      <c r="C936" s="4347">
        <f>C895</f>
        <v>0</v>
      </c>
      <c r="D936" s="4356"/>
      <c r="E936" s="4325">
        <f>E934*$C$936/100</f>
        <v>0</v>
      </c>
      <c r="F936" s="4328"/>
      <c r="G936" s="4325">
        <f>G934*$C$936/100</f>
        <v>0</v>
      </c>
      <c r="H936" s="4328"/>
      <c r="I936" s="4325">
        <f>I934*$C$936/100</f>
        <v>0</v>
      </c>
      <c r="J936" s="4328"/>
      <c r="K936" s="4325">
        <f>K934*$C$936/100</f>
        <v>0</v>
      </c>
      <c r="L936" s="4328"/>
      <c r="M936" s="4287"/>
      <c r="N936" s="4287"/>
    </row>
    <row r="937" spans="2:14" ht="9.75" customHeight="1">
      <c r="E937" s="4383"/>
      <c r="F937" s="4383"/>
      <c r="G937" s="4383"/>
      <c r="H937" s="4383"/>
      <c r="I937" s="4383"/>
      <c r="J937" s="4383"/>
      <c r="K937" s="4383"/>
      <c r="M937" s="4287"/>
      <c r="N937" s="4287"/>
    </row>
    <row r="938" spans="2:14">
      <c r="B938" s="4309" t="str">
        <f>B20</f>
        <v>4.  Less:  Jan. 20, 2016 Taxes received**</v>
      </c>
      <c r="E938" s="4384"/>
      <c r="F938" s="4383"/>
      <c r="G938" s="4384"/>
      <c r="H938" s="4383"/>
      <c r="I938" s="4384"/>
      <c r="J938" s="4383"/>
      <c r="K938" s="4384"/>
      <c r="M938" s="4287"/>
      <c r="N938" s="4287"/>
    </row>
    <row r="939" spans="2:14" ht="9.75" customHeight="1">
      <c r="E939" s="4383"/>
      <c r="F939" s="4383"/>
      <c r="G939" s="4383"/>
      <c r="H939" s="4383"/>
      <c r="I939" s="4383"/>
      <c r="J939" s="4383"/>
      <c r="K939" s="4383"/>
      <c r="M939" s="4287"/>
      <c r="N939" s="4287"/>
    </row>
    <row r="940" spans="2:14">
      <c r="B940" s="4309" t="str">
        <f>B22</f>
        <v>5.  Less:  Mar. 20, 2016  Taxes received**</v>
      </c>
      <c r="E940" s="4384"/>
      <c r="F940" s="4383"/>
      <c r="G940" s="4384"/>
      <c r="H940" s="4383"/>
      <c r="I940" s="4384"/>
      <c r="J940" s="4383"/>
      <c r="K940" s="4384"/>
      <c r="M940" s="4287"/>
      <c r="N940" s="4287"/>
    </row>
    <row r="941" spans="2:14" ht="9.75" customHeight="1">
      <c r="E941" s="4376"/>
      <c r="F941" s="4383"/>
      <c r="G941" s="4376"/>
      <c r="H941" s="4383"/>
      <c r="I941" s="4376"/>
      <c r="J941" s="4383"/>
      <c r="K941" s="4376"/>
      <c r="M941" s="4287"/>
      <c r="N941" s="4287"/>
    </row>
    <row r="942" spans="2:14">
      <c r="B942" s="4309" t="str">
        <f>B24</f>
        <v>6.  Less:  June 5,  2016 Taxes received**</v>
      </c>
      <c r="E942" s="4384"/>
      <c r="F942" s="4383"/>
      <c r="G942" s="4384"/>
      <c r="H942" s="4383"/>
      <c r="I942" s="4384"/>
      <c r="J942" s="4383"/>
      <c r="K942" s="4384"/>
      <c r="M942" s="4287"/>
      <c r="N942" s="4287"/>
    </row>
    <row r="943" spans="2:14" ht="9.75" customHeight="1">
      <c r="E943" s="4376"/>
      <c r="F943" s="4383"/>
      <c r="G943" s="4376"/>
      <c r="H943" s="4383"/>
      <c r="I943" s="4376"/>
      <c r="J943" s="4383"/>
      <c r="K943" s="4376"/>
      <c r="L943" s="4356"/>
      <c r="M943" s="4287"/>
      <c r="N943" s="4287"/>
    </row>
    <row r="944" spans="2:14">
      <c r="B944" s="4309" t="s">
        <v>2003</v>
      </c>
      <c r="E944" s="4384"/>
      <c r="F944" s="4383"/>
      <c r="G944" s="4384"/>
      <c r="H944" s="4383"/>
      <c r="I944" s="4384"/>
      <c r="J944" s="4383"/>
      <c r="K944" s="4384"/>
      <c r="M944" s="4287"/>
      <c r="N944" s="4287"/>
    </row>
    <row r="945" spans="2:14" ht="7.5" customHeight="1">
      <c r="E945" s="4383"/>
      <c r="F945" s="4383"/>
      <c r="G945" s="4383"/>
      <c r="H945" s="4383"/>
      <c r="I945" s="4383"/>
      <c r="J945" s="4383"/>
      <c r="K945" s="4324"/>
      <c r="M945" s="4287"/>
      <c r="N945" s="4287"/>
    </row>
    <row r="946" spans="2:14">
      <c r="B946" s="4309" t="s">
        <v>2004</v>
      </c>
      <c r="E946" s="4384"/>
      <c r="F946" s="4383"/>
      <c r="G946" s="4384"/>
      <c r="H946" s="4383"/>
      <c r="I946" s="4384"/>
      <c r="J946" s="4383"/>
      <c r="K946" s="4384"/>
      <c r="M946" s="4287"/>
      <c r="N946" s="4287"/>
    </row>
    <row r="947" spans="2:14" ht="12" customHeight="1">
      <c r="B947" s="4309" t="s">
        <v>2005</v>
      </c>
      <c r="E947" s="4386"/>
      <c r="F947" s="4383"/>
      <c r="G947" s="4386"/>
      <c r="H947" s="4383"/>
      <c r="I947" s="4386"/>
      <c r="J947" s="4383"/>
      <c r="K947" s="4386"/>
      <c r="M947" s="4287"/>
      <c r="N947" s="4287"/>
    </row>
    <row r="948" spans="2:14">
      <c r="B948" s="4309" t="s">
        <v>2024</v>
      </c>
      <c r="E948" s="4325">
        <f>SUM(E936:E947)</f>
        <v>0</v>
      </c>
      <c r="F948" s="4328"/>
      <c r="G948" s="4325">
        <f>SUM(G936:G947)</f>
        <v>0</v>
      </c>
      <c r="H948" s="4328"/>
      <c r="I948" s="4325">
        <f>SUM(I936:I947)</f>
        <v>0</v>
      </c>
      <c r="J948" s="4328"/>
      <c r="K948" s="4325">
        <f>SUM(K936:K947)</f>
        <v>0</v>
      </c>
      <c r="L948" s="4356"/>
      <c r="M948" s="4287"/>
      <c r="N948" s="4287"/>
    </row>
    <row r="949" spans="2:14" ht="9.75" customHeight="1">
      <c r="E949" s="4324"/>
      <c r="F949" s="4324"/>
      <c r="G949" s="4324"/>
      <c r="H949" s="4324"/>
      <c r="I949" s="4324"/>
      <c r="J949" s="4324"/>
      <c r="K949" s="4324"/>
      <c r="L949" s="4356"/>
      <c r="M949" s="4287"/>
      <c r="N949" s="4287"/>
    </row>
    <row r="950" spans="2:14">
      <c r="B950" s="4309" t="str">
        <f>B32</f>
        <v>11. 2015 taxes receivable (taxes in process</v>
      </c>
      <c r="E950" s="4324"/>
      <c r="F950" s="4324"/>
      <c r="G950" s="4324"/>
      <c r="H950" s="4324"/>
      <c r="I950" s="4324"/>
      <c r="J950" s="4324"/>
      <c r="K950" s="4324"/>
      <c r="L950" s="4356"/>
      <c r="M950" s="4287"/>
      <c r="N950" s="4287"/>
    </row>
    <row r="951" spans="2:14">
      <c r="B951" s="4309" t="str">
        <f>B33</f>
        <v xml:space="preserve">     of collection 6/30/2016)(Line 2 less Line 10)</v>
      </c>
      <c r="E951" s="4325">
        <f>IF(E948&lt;=0,0,E934-E948)</f>
        <v>0</v>
      </c>
      <c r="F951" s="4328"/>
      <c r="G951" s="4325">
        <f>IF(G948&lt;=0,0,G934-G948)</f>
        <v>0</v>
      </c>
      <c r="H951" s="4328"/>
      <c r="I951" s="4325">
        <f>IF(I948&lt;=0,0,I934-I948)</f>
        <v>0</v>
      </c>
      <c r="J951" s="4328"/>
      <c r="K951" s="4325">
        <f>IF(K948&lt;=0,0,K934-K948)</f>
        <v>0</v>
      </c>
      <c r="L951" s="4325"/>
      <c r="M951" s="4287"/>
      <c r="N951" s="4287"/>
    </row>
    <row r="952" spans="2:14" ht="9.75" customHeight="1">
      <c r="E952" s="4324"/>
      <c r="F952" s="4324"/>
      <c r="G952" s="4324"/>
      <c r="H952" s="4324"/>
      <c r="I952" s="4324"/>
      <c r="J952" s="4324"/>
      <c r="K952" s="4324"/>
      <c r="L952" s="4356"/>
      <c r="M952" s="4287"/>
      <c r="N952" s="4287"/>
    </row>
    <row r="953" spans="2:14">
      <c r="B953" s="4309" t="s">
        <v>2025</v>
      </c>
      <c r="E953" s="4324"/>
      <c r="F953" s="4324"/>
      <c r="G953" s="4324"/>
      <c r="H953" s="4324"/>
      <c r="I953" s="4324"/>
      <c r="J953" s="4324"/>
      <c r="K953" s="4324"/>
      <c r="L953" s="4356"/>
      <c r="M953" s="4287"/>
      <c r="N953" s="4287"/>
    </row>
    <row r="954" spans="2:14">
      <c r="B954" s="4309" t="s">
        <v>2008</v>
      </c>
      <c r="E954" s="4324"/>
      <c r="F954" s="4324"/>
      <c r="G954" s="4324"/>
      <c r="H954" s="4324"/>
      <c r="I954" s="4324"/>
      <c r="J954" s="4324"/>
      <c r="K954" s="4324"/>
      <c r="L954" s="4356"/>
      <c r="M954" s="4287"/>
      <c r="N954" s="4287"/>
    </row>
    <row r="955" spans="2:14">
      <c r="B955" s="4309" t="str">
        <f>B37</f>
        <v xml:space="preserve">     (7-1-2016 to 12-31-2017) (Line 3 x 75%)</v>
      </c>
      <c r="E955" s="4325">
        <f>SUM(E936*0.75)</f>
        <v>0</v>
      </c>
      <c r="F955" s="4328"/>
      <c r="G955" s="4325">
        <f>SUM(G936*0.75)</f>
        <v>0</v>
      </c>
      <c r="H955" s="4328"/>
      <c r="I955" s="4325">
        <f>SUM(I936*0.75)</f>
        <v>0</v>
      </c>
      <c r="J955" s="4328"/>
      <c r="K955" s="4325">
        <f>SUM(K936*0.75)</f>
        <v>0</v>
      </c>
      <c r="L955" s="4356"/>
      <c r="M955" s="4287"/>
      <c r="N955" s="4287"/>
    </row>
    <row r="956" spans="2:14" ht="6.75" customHeight="1">
      <c r="E956" s="4356"/>
      <c r="F956" s="4356"/>
      <c r="G956" s="4356"/>
      <c r="H956" s="4356"/>
      <c r="I956" s="4356"/>
      <c r="J956" s="4356"/>
      <c r="K956" s="4356"/>
      <c r="L956" s="4356"/>
      <c r="M956" s="4287"/>
      <c r="N956" s="4287"/>
    </row>
    <row r="957" spans="2:14" ht="15">
      <c r="B957" s="4357" t="str">
        <f>B39</f>
        <v>Tax Collection Ratio (Jan, Mar, June)</v>
      </c>
      <c r="C957" s="4326"/>
      <c r="D957" s="4326"/>
      <c r="E957" s="4358">
        <f>IF(E934&lt;&gt;0,(E938+E940+E942+E944+E946)/E934*100,0)</f>
        <v>0</v>
      </c>
      <c r="F957" s="4335" t="s">
        <v>1124</v>
      </c>
      <c r="G957" s="4358">
        <f>IF(G934&lt;&gt;0,(G938+G940+G942+G944+G946)/G934*100,0)</f>
        <v>0</v>
      </c>
      <c r="H957" s="4335" t="s">
        <v>1124</v>
      </c>
      <c r="I957" s="4358">
        <f>IF(I934&lt;&gt;0,(I938+I940+I942+I944+I946)/I934*100,0)</f>
        <v>0</v>
      </c>
      <c r="J957" s="4335" t="s">
        <v>1124</v>
      </c>
      <c r="K957" s="4358">
        <f>IF(K934&lt;&gt;0,(K938+K940+K942+K944+K946)/K934*100,0)</f>
        <v>0</v>
      </c>
      <c r="L957" s="4335" t="s">
        <v>1124</v>
      </c>
      <c r="M957" s="4287"/>
      <c r="N957" s="4287"/>
    </row>
    <row r="958" spans="2:14" ht="3" customHeight="1">
      <c r="B958" s="4353"/>
      <c r="C958" s="4353"/>
      <c r="D958" s="4353"/>
      <c r="E958" s="4353"/>
      <c r="F958" s="4353"/>
      <c r="G958" s="4353"/>
      <c r="H958" s="4353"/>
      <c r="I958" s="4353"/>
      <c r="J958" s="4353"/>
      <c r="K958" s="4353"/>
      <c r="L958" s="4348"/>
      <c r="M958" s="4348"/>
    </row>
    <row r="959" spans="2:14">
      <c r="B959" s="4351" t="str">
        <f>B97</f>
        <v>*Amounts are available from the County Treasurer.       **These Jan.-June, 2016 amounts are available from the County Treasurer.  (Should correspond to school</v>
      </c>
    </row>
    <row r="960" spans="2:14">
      <c r="B960" s="4351" t="str">
        <f>B98</f>
        <v xml:space="preserve"> records and does not include MVPT.)   Include Watercraft Tax if USD received payment direct from county.</v>
      </c>
    </row>
    <row r="961" spans="2:13" ht="15">
      <c r="B961" s="4309" t="s">
        <v>1987</v>
      </c>
      <c r="M961" s="4310" t="s">
        <v>2035</v>
      </c>
    </row>
    <row r="962" spans="2:13">
      <c r="B962" s="4311">
        <f>B2</f>
        <v>42522</v>
      </c>
      <c r="C962" s="4312"/>
      <c r="D962" s="4312"/>
      <c r="G962" s="4314" t="s">
        <v>1989</v>
      </c>
      <c r="H962" s="4314"/>
      <c r="I962" s="4316" t="str">
        <f>I878</f>
        <v>270 - Plainville</v>
      </c>
      <c r="J962" s="4316"/>
      <c r="K962" s="4316"/>
      <c r="L962" s="4314" t="s">
        <v>1990</v>
      </c>
      <c r="M962" s="4317">
        <f>M878</f>
        <v>270</v>
      </c>
    </row>
    <row r="963" spans="2:13">
      <c r="K963" s="4314" t="s">
        <v>1112</v>
      </c>
      <c r="M963" s="4316">
        <f>M879</f>
        <v>0</v>
      </c>
    </row>
    <row r="964" spans="2:13" ht="7.5" customHeight="1">
      <c r="E964" s="4320"/>
      <c r="F964" s="4320"/>
      <c r="G964" s="4320"/>
      <c r="H964" s="4320"/>
      <c r="I964" s="4320"/>
      <c r="J964" s="4320"/>
      <c r="K964" s="4321"/>
      <c r="L964" s="4321"/>
      <c r="M964" s="4320"/>
    </row>
    <row r="965" spans="2:13">
      <c r="B965" s="4320" t="str">
        <f>B5</f>
        <v>2016-2017</v>
      </c>
      <c r="C965" s="4320"/>
      <c r="D965" s="4320"/>
      <c r="E965" s="4320"/>
      <c r="F965" s="4320"/>
      <c r="G965" s="4320"/>
      <c r="H965" s="4320"/>
      <c r="I965" s="4320"/>
      <c r="J965" s="4320"/>
      <c r="K965" s="4320"/>
      <c r="L965" s="4320"/>
      <c r="M965" s="4320"/>
    </row>
    <row r="966" spans="2:13">
      <c r="B966" s="4320" t="s">
        <v>1993</v>
      </c>
      <c r="C966" s="4320"/>
      <c r="D966" s="4320"/>
      <c r="E966" s="4320"/>
      <c r="F966" s="4320"/>
      <c r="G966" s="4320"/>
      <c r="H966" s="4320"/>
      <c r="I966" s="4320"/>
      <c r="J966" s="4320"/>
      <c r="K966" s="4320"/>
      <c r="L966" s="4320"/>
      <c r="M966" s="4320"/>
    </row>
    <row r="967" spans="2:13">
      <c r="B967" s="4320" t="s">
        <v>1994</v>
      </c>
      <c r="C967" s="4320"/>
      <c r="D967" s="4320"/>
      <c r="E967" s="4320"/>
      <c r="F967" s="4320"/>
      <c r="G967" s="4320"/>
      <c r="H967" s="4320"/>
      <c r="I967" s="4320"/>
      <c r="J967" s="4320"/>
      <c r="K967" s="4320"/>
      <c r="L967" s="4320"/>
      <c r="M967" s="4320"/>
    </row>
    <row r="968" spans="2:13" ht="15">
      <c r="B968" s="4322" t="s">
        <v>1995</v>
      </c>
      <c r="C968" s="4322"/>
      <c r="D968" s="4322"/>
      <c r="E968" s="4320"/>
      <c r="F968" s="4320"/>
      <c r="G968" s="4320"/>
      <c r="H968" s="4320"/>
      <c r="I968" s="4320"/>
      <c r="J968" s="4320"/>
      <c r="K968" s="4320"/>
      <c r="L968" s="4320"/>
      <c r="M968" s="4320"/>
    </row>
    <row r="969" spans="2:13" ht="9" customHeight="1">
      <c r="E969" s="4318"/>
      <c r="F969" s="4318"/>
      <c r="G969" s="4318"/>
      <c r="H969" s="4318"/>
      <c r="I969" s="4318"/>
      <c r="J969" s="4318"/>
      <c r="K969" s="4318"/>
      <c r="L969" s="4318"/>
      <c r="M969" s="4318"/>
    </row>
    <row r="970" spans="2:13" ht="15">
      <c r="E970" s="4318" t="s">
        <v>2036</v>
      </c>
      <c r="F970" s="4318"/>
      <c r="G970" s="4318" t="s">
        <v>2037</v>
      </c>
      <c r="H970" s="4318"/>
      <c r="I970" s="4318" t="s">
        <v>2038</v>
      </c>
      <c r="J970" s="4318"/>
      <c r="K970" s="4318" t="s">
        <v>2039</v>
      </c>
      <c r="L970" s="4318"/>
      <c r="M970" s="4318" t="s">
        <v>2040</v>
      </c>
    </row>
    <row r="971" spans="2:13" ht="15">
      <c r="E971" s="4318" t="s">
        <v>2041</v>
      </c>
      <c r="F971" s="4318"/>
      <c r="G971" s="4318" t="s">
        <v>2042</v>
      </c>
      <c r="H971" s="4318"/>
      <c r="I971" s="4318" t="s">
        <v>2043</v>
      </c>
      <c r="J971" s="4318"/>
      <c r="K971" s="4318" t="s">
        <v>2044</v>
      </c>
      <c r="L971" s="4318"/>
      <c r="M971" s="4318" t="s">
        <v>2045</v>
      </c>
    </row>
    <row r="973" spans="2:13">
      <c r="B973" s="4309" t="str">
        <f>B14</f>
        <v>1.  County Treasurer Balance 6/30/2016 *</v>
      </c>
      <c r="E973" s="4384"/>
      <c r="F973" s="4383"/>
      <c r="G973" s="4384"/>
      <c r="H973" s="4383"/>
      <c r="I973" s="4384"/>
      <c r="J973" s="4383"/>
      <c r="K973" s="4384"/>
      <c r="M973" s="4384"/>
    </row>
    <row r="974" spans="2:13" ht="7.5" customHeight="1">
      <c r="B974" s="4326"/>
      <c r="C974" s="4326"/>
      <c r="D974" s="4326"/>
      <c r="E974" s="4385"/>
      <c r="F974" s="4385"/>
      <c r="G974" s="4385"/>
      <c r="H974" s="4385"/>
      <c r="I974" s="4385"/>
      <c r="J974" s="4385"/>
      <c r="K974" s="4385"/>
      <c r="M974" s="4385"/>
    </row>
    <row r="975" spans="2:13">
      <c r="B975" s="4309" t="str">
        <f>B16</f>
        <v>2.  2015 Actual Taxes Levied*</v>
      </c>
      <c r="E975" s="4384"/>
      <c r="F975" s="4383"/>
      <c r="G975" s="4384"/>
      <c r="H975" s="4383"/>
      <c r="I975" s="4384"/>
      <c r="J975" s="4383"/>
      <c r="K975" s="4384"/>
      <c r="M975" s="4384"/>
    </row>
    <row r="976" spans="2:13" ht="7.5" customHeight="1">
      <c r="E976" s="4383"/>
      <c r="F976" s="4383"/>
      <c r="G976" s="4383"/>
      <c r="H976" s="4383"/>
      <c r="I976" s="4383"/>
      <c r="J976" s="4383"/>
      <c r="K976" s="4383"/>
      <c r="M976" s="4383"/>
    </row>
    <row r="977" spans="2:13">
      <c r="B977" s="4309" t="s">
        <v>2023</v>
      </c>
      <c r="C977" s="4347">
        <f>C895</f>
        <v>0</v>
      </c>
      <c r="D977" s="4356"/>
      <c r="E977" s="4325">
        <f>E975*$C$977/100</f>
        <v>0</v>
      </c>
      <c r="F977" s="4328"/>
      <c r="G977" s="4325">
        <f>G975*$C$977/100</f>
        <v>0</v>
      </c>
      <c r="H977" s="4328"/>
      <c r="I977" s="4325">
        <f>I975*$C$977/100</f>
        <v>0</v>
      </c>
      <c r="J977" s="4328"/>
      <c r="K977" s="4325">
        <f>K975*$C$977/100</f>
        <v>0</v>
      </c>
      <c r="L977" s="4328"/>
      <c r="M977" s="4325">
        <f>M975*$C$977/100</f>
        <v>0</v>
      </c>
    </row>
    <row r="978" spans="2:13" ht="9.75" customHeight="1">
      <c r="E978" s="4383"/>
      <c r="F978" s="4383"/>
      <c r="G978" s="4383"/>
      <c r="H978" s="4383"/>
      <c r="I978" s="4383"/>
      <c r="J978" s="4383"/>
      <c r="K978" s="4383"/>
      <c r="M978" s="4383"/>
    </row>
    <row r="979" spans="2:13">
      <c r="B979" s="4309" t="str">
        <f>B20</f>
        <v>4.  Less:  Jan. 20, 2016 Taxes received**</v>
      </c>
      <c r="E979" s="4384"/>
      <c r="F979" s="4383"/>
      <c r="G979" s="4384"/>
      <c r="H979" s="4383"/>
      <c r="I979" s="4384"/>
      <c r="J979" s="4383"/>
      <c r="K979" s="4384"/>
      <c r="M979" s="4384"/>
    </row>
    <row r="980" spans="2:13" ht="9.75" customHeight="1">
      <c r="E980" s="4383"/>
      <c r="F980" s="4383"/>
      <c r="G980" s="4383"/>
      <c r="H980" s="4383"/>
      <c r="I980" s="4383"/>
      <c r="J980" s="4383"/>
      <c r="K980" s="4383"/>
      <c r="M980" s="4383"/>
    </row>
    <row r="981" spans="2:13">
      <c r="B981" s="4309" t="str">
        <f>B22</f>
        <v>5.  Less:  Mar. 20, 2016  Taxes received**</v>
      </c>
      <c r="E981" s="4384"/>
      <c r="F981" s="4383"/>
      <c r="G981" s="4384"/>
      <c r="H981" s="4383"/>
      <c r="I981" s="4384"/>
      <c r="J981" s="4383"/>
      <c r="K981" s="4384"/>
      <c r="M981" s="4384"/>
    </row>
    <row r="982" spans="2:13" ht="9.75" customHeight="1">
      <c r="E982" s="4376"/>
      <c r="F982" s="4383"/>
      <c r="G982" s="4376"/>
      <c r="H982" s="4383"/>
      <c r="I982" s="4376"/>
      <c r="J982" s="4383"/>
      <c r="K982" s="4376"/>
      <c r="M982" s="4376"/>
    </row>
    <row r="983" spans="2:13">
      <c r="B983" s="4309" t="str">
        <f>B24</f>
        <v>6.  Less:  June 5,  2016 Taxes received**</v>
      </c>
      <c r="E983" s="4384"/>
      <c r="F983" s="4383"/>
      <c r="G983" s="4384"/>
      <c r="H983" s="4383"/>
      <c r="I983" s="4384"/>
      <c r="J983" s="4383"/>
      <c r="K983" s="4384"/>
      <c r="M983" s="4384"/>
    </row>
    <row r="984" spans="2:13" ht="9.75" customHeight="1">
      <c r="E984" s="4376"/>
      <c r="F984" s="4383"/>
      <c r="G984" s="4376"/>
      <c r="H984" s="4383"/>
      <c r="I984" s="4376"/>
      <c r="J984" s="4383"/>
      <c r="K984" s="4376"/>
      <c r="M984" s="4376"/>
    </row>
    <row r="985" spans="2:13">
      <c r="B985" s="4309" t="s">
        <v>2003</v>
      </c>
      <c r="E985" s="4384"/>
      <c r="F985" s="4383"/>
      <c r="G985" s="4384"/>
      <c r="H985" s="4383"/>
      <c r="I985" s="4384"/>
      <c r="J985" s="4383"/>
      <c r="K985" s="4384"/>
      <c r="M985" s="4384"/>
    </row>
    <row r="986" spans="2:13" ht="9.75" customHeight="1">
      <c r="E986" s="4324"/>
      <c r="F986" s="4383"/>
      <c r="G986" s="4383"/>
      <c r="H986" s="4383"/>
      <c r="I986" s="4383"/>
      <c r="J986" s="4383"/>
      <c r="K986" s="4383"/>
      <c r="M986" s="4383"/>
    </row>
    <row r="987" spans="2:13">
      <c r="B987" s="4309" t="s">
        <v>2004</v>
      </c>
      <c r="E987" s="4384"/>
      <c r="F987" s="4383"/>
      <c r="G987" s="4384"/>
      <c r="H987" s="4383"/>
      <c r="I987" s="4384"/>
      <c r="J987" s="4383"/>
      <c r="K987" s="4384"/>
      <c r="M987" s="4384"/>
    </row>
    <row r="988" spans="2:13" ht="12.75" customHeight="1">
      <c r="B988" s="4309" t="s">
        <v>2005</v>
      </c>
      <c r="E988" s="4386"/>
      <c r="F988" s="4383"/>
      <c r="G988" s="4386"/>
      <c r="H988" s="4383"/>
      <c r="I988" s="4386"/>
      <c r="J988" s="4383"/>
      <c r="K988" s="4386"/>
      <c r="M988" s="4386"/>
    </row>
    <row r="989" spans="2:13">
      <c r="B989" s="4309" t="s">
        <v>2024</v>
      </c>
      <c r="E989" s="4325">
        <f>SUM(E977:E988)</f>
        <v>0</v>
      </c>
      <c r="F989" s="4328"/>
      <c r="G989" s="4325">
        <f>SUM(G977:G988)</f>
        <v>0</v>
      </c>
      <c r="H989" s="4328"/>
      <c r="I989" s="4325">
        <f>SUM(I977:I988)</f>
        <v>0</v>
      </c>
      <c r="J989" s="4328"/>
      <c r="K989" s="4325">
        <f>SUM(K977:K988)</f>
        <v>0</v>
      </c>
      <c r="L989" s="4356"/>
      <c r="M989" s="4325">
        <f>SUM(M977:M988)</f>
        <v>0</v>
      </c>
    </row>
    <row r="990" spans="2:13" ht="5.0999999999999996" customHeight="1">
      <c r="E990" s="4324"/>
      <c r="F990" s="4324"/>
      <c r="G990" s="4324"/>
      <c r="H990" s="4324"/>
      <c r="I990" s="4324"/>
      <c r="J990" s="4324"/>
      <c r="K990" s="4324"/>
      <c r="L990" s="4356"/>
      <c r="M990" s="4324"/>
    </row>
    <row r="991" spans="2:13">
      <c r="B991" s="4309" t="str">
        <f>B32</f>
        <v>11. 2015 taxes receivable (taxes in process</v>
      </c>
      <c r="E991" s="4324"/>
      <c r="F991" s="4324"/>
      <c r="G991" s="4324"/>
      <c r="H991" s="4324"/>
      <c r="I991" s="4324"/>
      <c r="J991" s="4324"/>
      <c r="K991" s="4324"/>
      <c r="L991" s="4356"/>
      <c r="M991" s="4324"/>
    </row>
    <row r="992" spans="2:13">
      <c r="B992" s="4309" t="str">
        <f>B33</f>
        <v xml:space="preserve">     of collection 6/30/2016)(Line 2 less Line 10)</v>
      </c>
      <c r="E992" s="4325">
        <f>IF(E989&lt;=0,0,E975-E989)</f>
        <v>0</v>
      </c>
      <c r="F992" s="4328"/>
      <c r="G992" s="4325">
        <f>IF(G989&lt;=0,0,G975-G989)</f>
        <v>0</v>
      </c>
      <c r="H992" s="4328"/>
      <c r="I992" s="4325">
        <f>IF(I989&lt;=0,0,I975-I989)</f>
        <v>0</v>
      </c>
      <c r="J992" s="4328"/>
      <c r="K992" s="4325">
        <f>IF(K989&lt;=0,0,K975-K989)</f>
        <v>0</v>
      </c>
      <c r="L992" s="4328"/>
      <c r="M992" s="4325">
        <f>IF(M989&lt;=0,0,M975-M989)</f>
        <v>0</v>
      </c>
    </row>
    <row r="993" spans="2:14" ht="5.0999999999999996" customHeight="1">
      <c r="E993" s="4324"/>
      <c r="F993" s="4324"/>
      <c r="G993" s="4324"/>
      <c r="H993" s="4324"/>
      <c r="I993" s="4324"/>
      <c r="J993" s="4324"/>
      <c r="K993" s="4324"/>
      <c r="L993" s="4356"/>
      <c r="M993" s="4324"/>
    </row>
    <row r="994" spans="2:14">
      <c r="B994" s="4309" t="s">
        <v>2025</v>
      </c>
      <c r="E994" s="4324"/>
      <c r="F994" s="4324"/>
      <c r="G994" s="4324"/>
      <c r="H994" s="4324"/>
      <c r="I994" s="4324"/>
      <c r="J994" s="4324"/>
      <c r="K994" s="4324"/>
      <c r="L994" s="4356"/>
      <c r="M994" s="4324"/>
    </row>
    <row r="995" spans="2:14">
      <c r="B995" s="4309" t="s">
        <v>2008</v>
      </c>
      <c r="E995" s="4324"/>
      <c r="F995" s="4324"/>
      <c r="G995" s="4324"/>
      <c r="H995" s="4324"/>
      <c r="I995" s="4324"/>
      <c r="J995" s="4324"/>
      <c r="K995" s="4324"/>
      <c r="L995" s="4356"/>
      <c r="M995" s="4324"/>
    </row>
    <row r="996" spans="2:14">
      <c r="B996" s="4309" t="str">
        <f>B37</f>
        <v xml:space="preserve">     (7-1-2016 to 12-31-2017) (Line 3 x 75%)</v>
      </c>
      <c r="E996" s="4325">
        <f>SUM(E977*0.75)</f>
        <v>0</v>
      </c>
      <c r="F996" s="4328"/>
      <c r="G996" s="4325">
        <f>SUM(G977*0.75)</f>
        <v>0</v>
      </c>
      <c r="H996" s="4328"/>
      <c r="I996" s="4325">
        <f>SUM(I977*0.75)</f>
        <v>0</v>
      </c>
      <c r="J996" s="4328"/>
      <c r="K996" s="4325">
        <f>SUM(K977*0.75)</f>
        <v>0</v>
      </c>
      <c r="L996" s="4356"/>
      <c r="M996" s="4325">
        <f>SUM(M977*0.75)</f>
        <v>0</v>
      </c>
    </row>
    <row r="997" spans="2:14" ht="5.0999999999999996" customHeight="1">
      <c r="E997" s="4356"/>
      <c r="F997" s="4356"/>
      <c r="G997" s="4356"/>
      <c r="H997" s="4356"/>
      <c r="I997" s="4356"/>
      <c r="J997" s="4356"/>
      <c r="K997" s="4356"/>
      <c r="L997" s="4356"/>
      <c r="M997" s="4356"/>
    </row>
    <row r="998" spans="2:14" ht="13.5" customHeight="1">
      <c r="B998" s="4350" t="str">
        <f>B39</f>
        <v>Tax Collection Ratio (Jan, Mar, June)</v>
      </c>
      <c r="E998" s="4379">
        <f>IF(E975&lt;&gt;0,(E979+E981+E983+E985+E987)/E975*100,0)</f>
        <v>0</v>
      </c>
      <c r="F998" s="4335" t="s">
        <v>1124</v>
      </c>
      <c r="G998" s="4379">
        <f>IF(G975&lt;&gt;0,(G979+G981+G983+G985+G987)/G975*100,0)</f>
        <v>0</v>
      </c>
      <c r="H998" s="4335" t="s">
        <v>1124</v>
      </c>
      <c r="I998" s="4379">
        <f>IF(I975&lt;&gt;0,(I979+I981+I983+I985+I987)/I975*100,0)</f>
        <v>0</v>
      </c>
      <c r="J998" s="4335" t="s">
        <v>1124</v>
      </c>
      <c r="K998" s="4379">
        <f>IF(K975&lt;&gt;0,(K979+K981+K983+K985+K987)/K975*100,0)</f>
        <v>0</v>
      </c>
      <c r="L998" s="4335" t="s">
        <v>1124</v>
      </c>
      <c r="M998" s="4379">
        <f>IF(M975&lt;&gt;0,(M979+M981+M983+M985+M987)/M975*100,0)</f>
        <v>0</v>
      </c>
      <c r="N998" s="4333" t="s">
        <v>1124</v>
      </c>
    </row>
    <row r="999" spans="2:14" ht="5.0999999999999996" customHeight="1"/>
    <row r="1000" spans="2:14">
      <c r="B1000" s="4351" t="str">
        <f>B97</f>
        <v>*Amounts are available from the County Treasurer.       **These Jan.-June, 2016 amounts are available from the County Treasurer.  (Should correspond to school</v>
      </c>
    </row>
    <row r="1001" spans="2:14">
      <c r="B1001" s="4351" t="str">
        <f>B98</f>
        <v xml:space="preserve"> records and does not include MVPT.)   Include Watercraft Tax if USD received payment direct from county.</v>
      </c>
    </row>
    <row r="1002" spans="2:14" ht="15">
      <c r="B1002" s="4309" t="s">
        <v>1987</v>
      </c>
      <c r="M1002" s="4310" t="s">
        <v>2046</v>
      </c>
    </row>
    <row r="1003" spans="2:14">
      <c r="B1003" s="4311">
        <f>B2</f>
        <v>42522</v>
      </c>
      <c r="C1003" s="4312"/>
      <c r="D1003" s="4312"/>
      <c r="G1003" s="4314" t="s">
        <v>1989</v>
      </c>
      <c r="H1003" s="4314"/>
      <c r="I1003" s="4316" t="str">
        <f>I878</f>
        <v>270 - Plainville</v>
      </c>
      <c r="J1003" s="4316"/>
      <c r="K1003" s="4316"/>
      <c r="L1003" s="4314" t="s">
        <v>1990</v>
      </c>
      <c r="M1003" s="4317">
        <f>M878</f>
        <v>270</v>
      </c>
    </row>
    <row r="1004" spans="2:14">
      <c r="K1004" s="4314" t="s">
        <v>1112</v>
      </c>
      <c r="M1004" s="4316">
        <f>M879</f>
        <v>0</v>
      </c>
    </row>
    <row r="1005" spans="2:14" ht="8.25" customHeight="1">
      <c r="E1005" s="4320"/>
      <c r="F1005" s="4320"/>
      <c r="G1005" s="4320"/>
      <c r="H1005" s="4320"/>
      <c r="I1005" s="4320"/>
      <c r="J1005" s="4320"/>
      <c r="K1005" s="4321"/>
      <c r="L1005" s="4321"/>
      <c r="M1005" s="4320"/>
    </row>
    <row r="1006" spans="2:14">
      <c r="B1006" s="4320" t="str">
        <f>B5</f>
        <v>2016-2017</v>
      </c>
      <c r="C1006" s="4320"/>
      <c r="D1006" s="4320"/>
      <c r="E1006" s="4320"/>
      <c r="F1006" s="4320"/>
      <c r="G1006" s="4320"/>
      <c r="H1006" s="4320"/>
      <c r="I1006" s="4320"/>
      <c r="J1006" s="4320"/>
      <c r="K1006" s="4320"/>
      <c r="L1006" s="4320"/>
      <c r="M1006" s="4320"/>
    </row>
    <row r="1007" spans="2:14">
      <c r="B1007" s="4320" t="s">
        <v>1993</v>
      </c>
      <c r="C1007" s="4320"/>
      <c r="D1007" s="4320"/>
      <c r="E1007" s="4320"/>
      <c r="F1007" s="4320"/>
      <c r="G1007" s="4320"/>
      <c r="H1007" s="4320"/>
      <c r="I1007" s="4320"/>
      <c r="J1007" s="4320"/>
      <c r="K1007" s="4320"/>
      <c r="L1007" s="4320"/>
      <c r="M1007" s="4320"/>
    </row>
    <row r="1008" spans="2:14">
      <c r="B1008" s="4320" t="s">
        <v>1994</v>
      </c>
      <c r="C1008" s="4320"/>
      <c r="D1008" s="4320"/>
      <c r="E1008" s="4320"/>
      <c r="F1008" s="4320"/>
      <c r="G1008" s="4320"/>
      <c r="H1008" s="4320"/>
      <c r="I1008" s="4320"/>
      <c r="J1008" s="4320"/>
      <c r="K1008" s="4320"/>
      <c r="L1008" s="4320"/>
      <c r="M1008" s="4320"/>
    </row>
    <row r="1009" spans="2:13" ht="15">
      <c r="B1009" s="4322" t="s">
        <v>1995</v>
      </c>
      <c r="C1009" s="4322"/>
      <c r="D1009" s="4322"/>
      <c r="E1009" s="4320"/>
      <c r="F1009" s="4320"/>
      <c r="G1009" s="4320"/>
      <c r="H1009" s="4320"/>
      <c r="I1009" s="4320"/>
      <c r="J1009" s="4320"/>
      <c r="K1009" s="4320"/>
      <c r="L1009" s="4320"/>
      <c r="M1009" s="4320"/>
    </row>
    <row r="1010" spans="2:13" ht="15">
      <c r="E1010" s="4318"/>
      <c r="F1010" s="4318"/>
      <c r="G1010" s="4318"/>
      <c r="H1010" s="4318"/>
      <c r="I1010" s="4318"/>
      <c r="J1010" s="4318"/>
      <c r="K1010" s="4318"/>
      <c r="L1010" s="4318"/>
      <c r="M1010" s="4318"/>
    </row>
    <row r="1011" spans="2:13" ht="15">
      <c r="E1011" s="4380"/>
      <c r="F1011" s="4318"/>
      <c r="G1011" s="4318" t="str">
        <f>G149</f>
        <v>Rec. Comm</v>
      </c>
      <c r="H1011" s="4318"/>
      <c r="I1011" s="4318" t="s">
        <v>2047</v>
      </c>
      <c r="J1011" s="4318"/>
      <c r="K1011" s="4350" t="s">
        <v>2048</v>
      </c>
      <c r="L1011" s="4318"/>
      <c r="M1011" s="4356"/>
    </row>
    <row r="1012" spans="2:13" ht="15">
      <c r="E1012" s="4380" t="s">
        <v>2049</v>
      </c>
      <c r="F1012" s="4318"/>
      <c r="G1012" s="4318" t="str">
        <f>G150</f>
        <v>Emp Benef</v>
      </c>
      <c r="H1012" s="4318"/>
      <c r="I1012" s="4318" t="s">
        <v>2050</v>
      </c>
      <c r="J1012" s="4318"/>
      <c r="K1012" s="4318" t="s">
        <v>2051</v>
      </c>
      <c r="L1012" s="4318"/>
      <c r="M1012" s="4380" t="s">
        <v>2052</v>
      </c>
    </row>
    <row r="1013" spans="2:13" ht="15">
      <c r="E1013" s="4380" t="s">
        <v>2053</v>
      </c>
      <c r="G1013" s="4318" t="str">
        <f>G151</f>
        <v>&amp; Spec Liab</v>
      </c>
      <c r="I1013" s="4318" t="s">
        <v>2054</v>
      </c>
      <c r="K1013" s="4318" t="s">
        <v>2055</v>
      </c>
      <c r="M1013" s="4380" t="s">
        <v>2056</v>
      </c>
    </row>
    <row r="1014" spans="2:13" ht="7.5" customHeight="1">
      <c r="G1014" s="4350"/>
    </row>
    <row r="1015" spans="2:13">
      <c r="B1015" s="4309" t="str">
        <f>B14</f>
        <v>1.  County Treasurer Balance 6/30/2016 *</v>
      </c>
      <c r="E1015" s="4388"/>
      <c r="F1015" s="4383"/>
      <c r="G1015" s="4384"/>
      <c r="H1015" s="4383"/>
      <c r="I1015" s="4384"/>
      <c r="J1015" s="4383"/>
      <c r="K1015" s="4384"/>
      <c r="M1015" s="4388"/>
    </row>
    <row r="1016" spans="2:13" ht="8.25" customHeight="1">
      <c r="B1016" s="4326"/>
      <c r="C1016" s="4326"/>
      <c r="D1016" s="4326"/>
      <c r="E1016" s="4385"/>
      <c r="F1016" s="4385"/>
      <c r="G1016" s="4385"/>
      <c r="H1016" s="4385"/>
      <c r="I1016" s="4385"/>
      <c r="J1016" s="4385"/>
      <c r="K1016" s="4385"/>
      <c r="M1016" s="4385"/>
    </row>
    <row r="1017" spans="2:13">
      <c r="B1017" s="4309" t="str">
        <f>B16</f>
        <v>2.  2015 Actual Taxes Levied*</v>
      </c>
      <c r="E1017" s="4388"/>
      <c r="F1017" s="4383"/>
      <c r="G1017" s="4384"/>
      <c r="H1017" s="4383"/>
      <c r="I1017" s="4384"/>
      <c r="J1017" s="4383"/>
      <c r="K1017" s="4384"/>
      <c r="M1017" s="4388"/>
    </row>
    <row r="1018" spans="2:13" ht="9.75" customHeight="1">
      <c r="E1018" s="4383"/>
      <c r="F1018" s="4383"/>
      <c r="G1018" s="4383"/>
      <c r="H1018" s="4383"/>
      <c r="I1018" s="4383"/>
      <c r="J1018" s="4383"/>
      <c r="K1018" s="4383"/>
      <c r="M1018" s="4383"/>
    </row>
    <row r="1019" spans="2:13">
      <c r="B1019" s="4309" t="s">
        <v>2023</v>
      </c>
      <c r="C1019" s="4347">
        <f>C895</f>
        <v>0</v>
      </c>
      <c r="D1019" s="4356"/>
      <c r="E1019" s="4381">
        <f>E1017*$C$1019/100</f>
        <v>0</v>
      </c>
      <c r="F1019" s="4328"/>
      <c r="G1019" s="4325">
        <f>G1017*$C$1019/100</f>
        <v>0</v>
      </c>
      <c r="H1019" s="4328"/>
      <c r="I1019" s="4325">
        <f>I1017*$C$1019/100</f>
        <v>0</v>
      </c>
      <c r="J1019" s="4328"/>
      <c r="K1019" s="4325">
        <f>K1017*$C$1019/100</f>
        <v>0</v>
      </c>
      <c r="L1019" s="4328"/>
      <c r="M1019" s="4325">
        <f>M1017*$C$1019/100</f>
        <v>0</v>
      </c>
    </row>
    <row r="1020" spans="2:13" ht="9.75" customHeight="1">
      <c r="E1020" s="4383"/>
      <c r="F1020" s="4383"/>
      <c r="G1020" s="4383"/>
      <c r="H1020" s="4383"/>
      <c r="I1020" s="4383"/>
      <c r="J1020" s="4383"/>
      <c r="K1020" s="4383"/>
      <c r="M1020" s="4383"/>
    </row>
    <row r="1021" spans="2:13">
      <c r="B1021" s="4309" t="str">
        <f>B20</f>
        <v>4.  Less:  Jan. 20, 2016 Taxes received**</v>
      </c>
      <c r="E1021" s="4388"/>
      <c r="F1021" s="4383"/>
      <c r="G1021" s="4384"/>
      <c r="H1021" s="4383"/>
      <c r="I1021" s="4384"/>
      <c r="J1021" s="4383"/>
      <c r="K1021" s="4384"/>
      <c r="M1021" s="4388"/>
    </row>
    <row r="1022" spans="2:13" ht="9.75" customHeight="1">
      <c r="E1022" s="4383"/>
      <c r="F1022" s="4383"/>
      <c r="G1022" s="4383"/>
      <c r="H1022" s="4383"/>
      <c r="I1022" s="4383"/>
      <c r="J1022" s="4383"/>
      <c r="K1022" s="4383"/>
      <c r="M1022" s="4383"/>
    </row>
    <row r="1023" spans="2:13">
      <c r="B1023" s="4309" t="str">
        <f>B22</f>
        <v>5.  Less:  Mar. 20, 2016  Taxes received**</v>
      </c>
      <c r="E1023" s="4388"/>
      <c r="F1023" s="4383"/>
      <c r="G1023" s="4384"/>
      <c r="H1023" s="4383"/>
      <c r="I1023" s="4384"/>
      <c r="J1023" s="4383"/>
      <c r="K1023" s="4384"/>
      <c r="M1023" s="4388"/>
    </row>
    <row r="1024" spans="2:13" ht="9.75" customHeight="1">
      <c r="E1024" s="4376"/>
      <c r="F1024" s="4383"/>
      <c r="G1024" s="4376"/>
      <c r="H1024" s="4383"/>
      <c r="I1024" s="4376"/>
      <c r="J1024" s="4383"/>
      <c r="K1024" s="4376"/>
      <c r="M1024" s="4376"/>
    </row>
    <row r="1025" spans="2:14">
      <c r="B1025" s="4309" t="str">
        <f>B24</f>
        <v>6.  Less:  June 5,  2016 Taxes received**</v>
      </c>
      <c r="E1025" s="4388"/>
      <c r="F1025" s="4383"/>
      <c r="G1025" s="4384"/>
      <c r="H1025" s="4383"/>
      <c r="I1025" s="4384"/>
      <c r="J1025" s="4383"/>
      <c r="K1025" s="4384"/>
      <c r="M1025" s="4388"/>
    </row>
    <row r="1026" spans="2:14" ht="9.75" customHeight="1">
      <c r="E1026" s="4376"/>
      <c r="F1026" s="4383"/>
      <c r="G1026" s="4376"/>
      <c r="H1026" s="4383"/>
      <c r="I1026" s="4376"/>
      <c r="J1026" s="4383"/>
      <c r="K1026" s="4376"/>
      <c r="M1026" s="4376"/>
    </row>
    <row r="1027" spans="2:14">
      <c r="B1027" s="4309" t="s">
        <v>2003</v>
      </c>
      <c r="E1027" s="4388"/>
      <c r="F1027" s="4383"/>
      <c r="G1027" s="4384"/>
      <c r="H1027" s="4383"/>
      <c r="I1027" s="4384"/>
      <c r="J1027" s="4383"/>
      <c r="K1027" s="4384"/>
      <c r="M1027" s="4388"/>
    </row>
    <row r="1028" spans="2:14" ht="9.75" customHeight="1">
      <c r="E1028" s="4383"/>
      <c r="F1028" s="4383"/>
      <c r="G1028" s="4383"/>
      <c r="H1028" s="4383"/>
      <c r="I1028" s="4383"/>
      <c r="J1028" s="4383"/>
      <c r="K1028" s="4383"/>
      <c r="M1028" s="4383"/>
    </row>
    <row r="1029" spans="2:14">
      <c r="B1029" s="4309" t="s">
        <v>2004</v>
      </c>
      <c r="E1029" s="4388"/>
      <c r="F1029" s="4383"/>
      <c r="G1029" s="4384"/>
      <c r="H1029" s="4383"/>
      <c r="I1029" s="4384"/>
      <c r="J1029" s="4383"/>
      <c r="K1029" s="4384"/>
      <c r="M1029" s="4388"/>
    </row>
    <row r="1030" spans="2:14" ht="13.5" customHeight="1">
      <c r="B1030" s="4309" t="s">
        <v>2005</v>
      </c>
      <c r="E1030" s="4389"/>
      <c r="F1030" s="4383"/>
      <c r="G1030" s="4386"/>
      <c r="H1030" s="4383"/>
      <c r="I1030" s="4386"/>
      <c r="J1030" s="4383"/>
      <c r="K1030" s="4386"/>
      <c r="M1030" s="4389"/>
    </row>
    <row r="1031" spans="2:14">
      <c r="B1031" s="4309" t="s">
        <v>2024</v>
      </c>
      <c r="E1031" s="4381">
        <f>SUM(E1019:E1030)</f>
        <v>0</v>
      </c>
      <c r="F1031" s="4328"/>
      <c r="G1031" s="4325">
        <f>SUM(G1019:G1030)</f>
        <v>0</v>
      </c>
      <c r="H1031" s="4328"/>
      <c r="I1031" s="4325">
        <f>SUM(I1019:I1030)</f>
        <v>0</v>
      </c>
      <c r="J1031" s="4328"/>
      <c r="K1031" s="4325">
        <f>SUM(K1019:K1030)</f>
        <v>0</v>
      </c>
      <c r="L1031" s="4356"/>
      <c r="M1031" s="4325">
        <f>SUM(M1019:M1030)</f>
        <v>0</v>
      </c>
    </row>
    <row r="1032" spans="2:14" ht="7.5" customHeight="1">
      <c r="E1032" s="4324"/>
      <c r="F1032" s="4324"/>
      <c r="G1032" s="4324"/>
      <c r="H1032" s="4324"/>
      <c r="I1032" s="4324"/>
      <c r="J1032" s="4324"/>
      <c r="K1032" s="4324"/>
      <c r="L1032" s="4356"/>
      <c r="M1032" s="4324"/>
    </row>
    <row r="1033" spans="2:14">
      <c r="B1033" s="4309" t="str">
        <f>B32</f>
        <v>11. 2015 taxes receivable (taxes in process</v>
      </c>
      <c r="E1033" s="4324"/>
      <c r="F1033" s="4324"/>
      <c r="G1033" s="4324"/>
      <c r="H1033" s="4324"/>
      <c r="I1033" s="4324"/>
      <c r="J1033" s="4324"/>
      <c r="K1033" s="4324"/>
      <c r="L1033" s="4356"/>
      <c r="M1033" s="4324"/>
    </row>
    <row r="1034" spans="2:14">
      <c r="B1034" s="4309" t="str">
        <f>B33</f>
        <v xml:space="preserve">     of collection 6/30/2016)(Line 2 less Line 10)</v>
      </c>
      <c r="E1034" s="4381">
        <f>IF(E1031&lt;=0,0,E1017-E1031)</f>
        <v>0</v>
      </c>
      <c r="F1034" s="4328"/>
      <c r="G1034" s="4325">
        <f>IF(G1031&lt;=0,0,G1017-G1031)</f>
        <v>0</v>
      </c>
      <c r="H1034" s="4328"/>
      <c r="I1034" s="4325">
        <f>IF(I1031&lt;=0,0,I1017-I1031)</f>
        <v>0</v>
      </c>
      <c r="J1034" s="4328"/>
      <c r="K1034" s="4325">
        <f>IF(K1031&lt;=0,0,K1017-K1031)</f>
        <v>0</v>
      </c>
      <c r="L1034" s="4328"/>
      <c r="M1034" s="4325">
        <f>IF(M1031&lt;=0,0,M1017-M1031)</f>
        <v>0</v>
      </c>
    </row>
    <row r="1035" spans="2:14" ht="6.75" customHeight="1">
      <c r="E1035" s="4324"/>
      <c r="F1035" s="4324"/>
      <c r="G1035" s="4324"/>
      <c r="H1035" s="4324"/>
      <c r="I1035" s="4324"/>
      <c r="J1035" s="4324"/>
      <c r="K1035" s="4324"/>
      <c r="L1035" s="4356"/>
      <c r="M1035" s="4324"/>
    </row>
    <row r="1036" spans="2:14">
      <c r="B1036" s="4309" t="s">
        <v>2025</v>
      </c>
      <c r="E1036" s="4324"/>
      <c r="F1036" s="4324"/>
      <c r="G1036" s="4324"/>
      <c r="H1036" s="4324"/>
      <c r="I1036" s="4324"/>
      <c r="J1036" s="4324"/>
      <c r="K1036" s="4324"/>
      <c r="L1036" s="4356"/>
      <c r="M1036" s="4324"/>
    </row>
    <row r="1037" spans="2:14">
      <c r="B1037" s="4309" t="s">
        <v>2064</v>
      </c>
      <c r="E1037" s="4324"/>
      <c r="F1037" s="4324"/>
      <c r="G1037" s="4324"/>
      <c r="H1037" s="4324"/>
      <c r="I1037" s="4324"/>
      <c r="J1037" s="4324"/>
      <c r="K1037" s="4324"/>
      <c r="L1037" s="4356"/>
      <c r="M1037" s="4324"/>
    </row>
    <row r="1038" spans="2:14">
      <c r="B1038" s="4309" t="str">
        <f>B37</f>
        <v xml:space="preserve">     (7-1-2016 to 12-31-2017) (Line 3 x 75%)</v>
      </c>
      <c r="E1038" s="4381">
        <f>SUM(E1019*0.75)</f>
        <v>0</v>
      </c>
      <c r="F1038" s="4328"/>
      <c r="G1038" s="4325">
        <f>SUM(G1019*0.75)</f>
        <v>0</v>
      </c>
      <c r="H1038" s="4328"/>
      <c r="I1038" s="4325">
        <f>SUM(I1019*0.75)</f>
        <v>0</v>
      </c>
      <c r="J1038" s="4328"/>
      <c r="K1038" s="4325">
        <f>SUM(K1019*0.75)</f>
        <v>0</v>
      </c>
      <c r="L1038" s="4356"/>
      <c r="M1038" s="4325">
        <f>SUM(M1019*0.75)</f>
        <v>0</v>
      </c>
    </row>
    <row r="1039" spans="2:14" ht="15">
      <c r="B1039" s="4350" t="str">
        <f>B39</f>
        <v>Tax Collection Ratio (Jan, Mar, June)</v>
      </c>
      <c r="E1039" s="4379">
        <f>IF(E1017&lt;&gt;0,(E1021+E1023+E1025+E1027+E1029)/E1017*100,0)</f>
        <v>0</v>
      </c>
      <c r="F1039" s="4335" t="s">
        <v>1124</v>
      </c>
      <c r="G1039" s="4379">
        <f>IF(G1017&lt;&gt;0,(G1021+G1023+G1025+G1027+G1029)/G1017*100,0)</f>
        <v>0</v>
      </c>
      <c r="H1039" s="4335" t="s">
        <v>1124</v>
      </c>
      <c r="I1039" s="4379">
        <f>IF(I1017&lt;&gt;0,(I1021+I1023+I1025+I1027+I1029)/I1017*100,0)</f>
        <v>0</v>
      </c>
      <c r="J1039" s="4335" t="s">
        <v>1124</v>
      </c>
      <c r="K1039" s="4379">
        <f>IF(K1017&lt;&gt;0,(K1021+K1023+K1025+K1027+K1029)/K1017*100,0)</f>
        <v>0</v>
      </c>
      <c r="L1039" s="4335" t="s">
        <v>1124</v>
      </c>
      <c r="M1039" s="4379">
        <f>IF(M1017&lt;&gt;0,(M1021+M1023+M1025+M1027+M1029)/M1017*100,0)</f>
        <v>0</v>
      </c>
      <c r="N1039" s="4333" t="s">
        <v>1124</v>
      </c>
    </row>
    <row r="1040" spans="2:14" ht="5.0999999999999996" customHeight="1"/>
    <row r="1041" spans="2:2" ht="12.75" customHeight="1">
      <c r="B1041" s="4351" t="str">
        <f>B97</f>
        <v>*Amounts are available from the County Treasurer.       **These Jan.-June, 2016 amounts are available from the County Treasurer.  (Should correspond to school</v>
      </c>
    </row>
    <row r="1042" spans="2:2">
      <c r="B1042" s="4351" t="str">
        <f>B98</f>
        <v xml:space="preserve"> records and does not include MVPT.)   Include Watercraft Tax if USD received payment direct from county.</v>
      </c>
    </row>
  </sheetData>
  <sheetProtection algorithmName="SHA-512" hashValue="81t0xd8Xt1aG6+r0KaokXHAVLnF7Fva0nuYo/lTy698LlEY1hTmR4hTd46lCDXw2aeOJvBsgcGlfamY+OnEJUg==" saltValue="0HuS79tb+lPZwuDhdWmmDw==" spinCount="100000" sheet="1" objects="1" scenarios="1"/>
  <dataValidations count="4">
    <dataValidation type="whole" operator="greaterThanOrEqual" showInputMessage="1" showErrorMessage="1" errorTitle="Invalid Data Entry" error="Please enter a whole number or press the delete key or enter zero." sqref="E195 G195 I195 K195 M195 M197 K197 I197 G197 E197 E241 G241 I241 K241 K243 I243 G243 E243 E284 G284 I284 K284 M284 M286 K286 I286 G286 E286 M326 I326:K326 G326 E326 E328 G328 I328 K328 M328 E369 G369 I369 K369 M369 M371 K371 I371 G371 E371 E417 G417 I417 K417 K419 I419 G419 E419 M462 K462 I462 G462 E462 E464 G464 I464 K464 M464 M504 K504 I504 G504 E504 E506 G506 I506 K506 M506 M547 K547 I547 G547 E547 E549 G549 I549 K549 M549:M550 K595 K597 I595 G595 E595 E597 G597 I597 M635 K635 I635 G635 E635 E637 G637 I637 K637 M637 M677 K677 I677 G677 E677 E679 G679 I679 K679 M679 M719 K719 I719 G719 E719 E721 G721 I721 K721 M721 K767 I767 G767 E767 E769 G769 I769 K769 M808 K808 I808 G808 E808 E810 G810 I810 K810 M810 M849 K849 I849 G849 E849 E851 G851 I851 K851 M851 E891 G891 I891 K891 M891 M893 K893 I893 G893 E893 K932 I932 G932 E932 E934 G934 I934 K934 M973 K973 I973 G973 E973 E975 G975 I975 K975 M975 M1015 K1015 I1015 G1015 E1015 E1017 G1017 I1017 K1017 M1017">
      <formula1>-1000000000</formula1>
    </dataValidation>
    <dataValidation type="whole" operator="greaterThanOrEqual" showInputMessage="1" showErrorMessage="1" errorTitle="Invalid Data Entry" error="Please enter a whole positive number or press the delete key or enter zero." sqref="E897 G897 I897 K897 M897 E899 G899 I899 K899 M899 E901 G901 I901 K901 M901 E903 G903 I903 K903 M903 E905:E906 G905:G906 I905:I906 K905:K906 M905:M906 E938 G938 I938 K938 E940 G940 I940 K940 K942 I942 G942 E942 E944 G944 I944 K944 K946:K947 I946:I947 G946:G947 E946:E947 E979 G979 I979 K979 M979 M981 K981 I981 G981 E981 E983 G983 I983 K983 M983 M985 K985 I985 G985 E985 E987:E988 G987:G988 I987:I988 K987:K988 M987:M988 E1021 G1021 I1021 K1020:K1021 M1021 M1023 K1023 I1023 G1023 E1023 E1025 G1025 I1025 K1025 M1025 M1027 K1027 I1027 G1027 E1027 E1029:E1030 G1029:G1030 I1029:I1030 K1029:K1030 M1029:M1030 G201 I201 K201 M201 M203 K203 I203 G203 E203 E205 G205 I205 E201 K205 M205 M207 K207 I207 G207 E207 E209:E210 G209:G210 I209:I210 K209:K210 M209:M210 E247 G247 I247 K247 K249 I249 G249 E249 E251 G251 I251 K251 K253 I253 G253 E253 E255:E256 G255:G256 I255:I256 K255:K256 E290 G290 I290 K290 M290 M292 K292 I292 G292 E292 E294 G294 I294 K294 M294 M296 K296 I296 G296 E296 E298:E299 G298:G299 I298:I299 K298:K299 M298:M299 E332 G332 I332 K332 M332 M334 K334 I334 G334 E334 E336 G336 I336 K336 M336 M338 K338 I338 G338 E338 E340:E341 G340:G341 I340:I341 K340:K341 M340:M341 I555 E553 G553 I553 K553 M553 M555 K555 G555 E555 E557 G557 I557 K557 M557 M559 K559 I559 G559 E559 E561:E562 G561:G562 I561:I562 K561:K562 M561:M562 E601 G601 I601 K601 K603 I603 G603 E603 E605 G605 I605 K605 K607 I607 G607 E607 E609:E610 G609:G610 I609:I610 K609:K610 E641 G641 I641 K640:K641 M641 M643 K643 I643 G643 E643 E645 I645 K645 M645 M647 K647 I647 G645:G647 E647 E649:E650 G649:G650 I649:I650 K649:K650 M649:M650 E683 G683 I683 K683 M683 M685 K685 I685 G685 E685 E687 G687 I687 K687 M687 M689 K689 I689 G689 E689 E691:E692 G691:G692 I691:I692 K691:K692 M691:M692 E725 G725 I725 K725 M725 E727 G727 I727 K727 M727 E729 G729 I729 K729 M729 M731 K731 I731 G731 E731 E733:E734 G733:G734 I733:I734 K733:K734 M733:M734 E773 G773 I773 K773 K775 I775 G775 E775 E777 G777 I777 K777 K779 I779 G779 E779 K781:K782 I781:I782 G781:G782 E781:E782 E814 G814 I814 K814 M814 M816 K816 I816 G816 E816 E818 G818 I818 K818 M818 M820 K820 I820 G820 E820 E822:E823 G822:G823 I822:I823 K822:K823 M822:M823 E855 G855 I855 K855 M855 M857 K857 I857 G857 E857 E859 G859 I859 K859 M859 M861 K861 I861 G861 E861 M863:M864 K863:K864 I863:I864 G863:G864 E863:E864">
      <formula1>0</formula1>
    </dataValidation>
    <dataValidation type="whole" operator="greaterThanOrEqual" showInputMessage="1" showErrorMessage="1" errorTitle="Invalid Data Entry" error="Please enter a positive whole number or press the delete key or enter zero." sqref="E375 G375 I375 K375 M375 E377 G377 I377 K377 M377 E379 G379 I379 K379 M379 E381 E383:E384 G383:G384 G381 I381 I383:I384 K381 K383:K384 M383:M384 M381 E423 G423 I423 K423 E425 G425 I425 K425 E427 G427 I427 K427 E429 G429 I429 K429 E431:E432 G431:G432 I431:I432 K431:K432 E468 G468 I468 K468 M468 M470 K470 I470 G470 E470 E472 G472 I472 K472 M472 M474 K474 I474 G474 E474 E476:E477 G476:G477 I476:I477 K476:K477 M476:M477 E510 G510 I510 K510 M510 M512 K512 I512 G512 E512 E514 G514 I514 K514 M514 M516 K516 I516 G516 E516 E518:E519 G518:G519 I518:I519 K518:K519 M518:M519">
      <formula1>0</formula1>
    </dataValidation>
    <dataValidation type="whole" operator="greaterThanOrEqual" showInputMessage="1" showErrorMessage="1" errorTitle="Invalid Data Entry" error="Please enter a positive whole number or press the delete key or enter key." sqref="K337 I293">
      <formula1>0</formula1>
    </dataValidation>
  </dataValidations>
  <hyperlinks>
    <hyperlink ref="O1" location="Contents!A1" display="Return to Contents page"/>
  </hyperlinks>
  <printOptions horizontalCentered="1"/>
  <pageMargins left="0.25" right="0.25" top="0.25" bottom="0.25" header="0.5" footer="0.5"/>
  <pageSetup scale="95" orientation="landscape" blackAndWhite="1" r:id="rId1"/>
  <headerFooter alignWithMargins="0">
    <oddFooter xml:space="preserve">&amp;L&amp;"Geneva,Regular"
&amp;D  &amp;T &amp;C
Form 110&amp;R
Page &amp;P </oddFooter>
  </headerFooter>
  <rowBreaks count="24" manualBreakCount="24">
    <brk id="50" max="13" man="1"/>
    <brk id="98" max="13" man="1"/>
    <brk id="139" max="13" man="1"/>
    <brk id="181" max="13" man="1"/>
    <brk id="227" max="13" man="1"/>
    <brk id="271" max="13" man="1"/>
    <brk id="312" max="13" man="1"/>
    <brk id="354" max="13" man="1"/>
    <brk id="404" max="13" man="1"/>
    <brk id="449" max="13" man="1"/>
    <brk id="490" max="13" man="1"/>
    <brk id="532" max="13" man="1"/>
    <brk id="581" max="13" man="1"/>
    <brk id="622" max="13" man="1"/>
    <brk id="663" max="13" man="1"/>
    <brk id="704" max="13" man="1"/>
    <brk id="753" max="13" man="1"/>
    <brk id="795" max="13" man="1"/>
    <brk id="835" max="13" man="1"/>
    <brk id="876" max="13" man="1"/>
    <brk id="918" max="13" man="1"/>
    <brk id="960" max="13" man="1"/>
    <brk id="1001" max="13" man="1"/>
    <brk id="1067" max="65535" man="1"/>
  </rowBreaks>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4" tint="0.39997558519241921"/>
  </sheetPr>
  <dimension ref="A1:M248"/>
  <sheetViews>
    <sheetView zoomScaleNormal="100" workbookViewId="0">
      <selection activeCell="E89" sqref="E89"/>
    </sheetView>
  </sheetViews>
  <sheetFormatPr defaultColWidth="10.7109375" defaultRowHeight="12" customHeight="1"/>
  <cols>
    <col min="1" max="1" width="42" style="842" customWidth="1"/>
    <col min="2" max="2" width="5" style="879" customWidth="1"/>
    <col min="3" max="3" width="13.7109375" style="838" customWidth="1"/>
    <col min="4" max="4" width="14.28515625" style="838" customWidth="1"/>
    <col min="5" max="5" width="15.140625" style="838" customWidth="1"/>
    <col min="6" max="6" width="14.42578125" style="838" customWidth="1"/>
    <col min="7" max="7" width="2.42578125" style="838" customWidth="1"/>
    <col min="8" max="8" width="21.140625" style="838" customWidth="1"/>
    <col min="9" max="16384" width="10.7109375" style="838"/>
  </cols>
  <sheetData>
    <row r="1" spans="1:13" ht="12" customHeight="1">
      <c r="A1" s="834"/>
      <c r="B1" s="835" t="s">
        <v>1019</v>
      </c>
      <c r="C1" s="836">
        <f>OPEN!$B$4</f>
        <v>270</v>
      </c>
      <c r="D1" s="834"/>
      <c r="E1" s="834"/>
      <c r="F1" s="837" t="s">
        <v>1020</v>
      </c>
      <c r="H1" s="3013" t="s">
        <v>866</v>
      </c>
    </row>
    <row r="2" spans="1:13" ht="12" customHeight="1">
      <c r="A2" s="834"/>
      <c r="B2" s="835"/>
      <c r="C2" s="834"/>
      <c r="D2" s="834"/>
      <c r="E2" s="834"/>
      <c r="F2" s="837" t="s">
        <v>1212</v>
      </c>
    </row>
    <row r="3" spans="1:13" ht="12" customHeight="1">
      <c r="A3" s="834"/>
      <c r="B3" s="835"/>
      <c r="C3" s="834"/>
      <c r="D3" s="834"/>
      <c r="E3" s="834"/>
      <c r="F3" s="837" t="str">
        <f>OPEN!N2</f>
        <v>2016-2017</v>
      </c>
    </row>
    <row r="4" spans="1:13" ht="5.0999999999999996" customHeight="1">
      <c r="A4" s="834"/>
      <c r="B4" s="835"/>
      <c r="C4" s="834"/>
      <c r="D4" s="834"/>
      <c r="E4" s="834"/>
      <c r="F4" s="834"/>
    </row>
    <row r="5" spans="1:13" ht="12" customHeight="1">
      <c r="A5" s="834"/>
      <c r="B5" s="835"/>
      <c r="C5" s="839" t="s">
        <v>1213</v>
      </c>
      <c r="D5" s="839" t="s">
        <v>1213</v>
      </c>
      <c r="E5" s="839" t="s">
        <v>1213</v>
      </c>
      <c r="F5" s="839" t="s">
        <v>10</v>
      </c>
    </row>
    <row r="6" spans="1:13" ht="12" customHeight="1">
      <c r="A6" s="834"/>
      <c r="B6" s="840" t="s">
        <v>1045</v>
      </c>
      <c r="C6" s="841" t="str">
        <f>OPEN!N4</f>
        <v>2014-2015</v>
      </c>
      <c r="D6" s="841" t="str">
        <f>OPEN!O4</f>
        <v>2015-2016</v>
      </c>
      <c r="E6" s="841" t="str">
        <f>OPEN!P4</f>
        <v>2016-2017</v>
      </c>
      <c r="F6" s="841" t="s">
        <v>11</v>
      </c>
      <c r="K6" s="842"/>
      <c r="L6" s="842"/>
      <c r="M6" s="842"/>
    </row>
    <row r="7" spans="1:13" ht="12" customHeight="1">
      <c r="A7" s="843" t="s">
        <v>104</v>
      </c>
      <c r="B7" s="844">
        <v>16</v>
      </c>
      <c r="C7" s="845" t="s">
        <v>1139</v>
      </c>
      <c r="D7" s="845" t="s">
        <v>1139</v>
      </c>
      <c r="E7" s="845" t="s">
        <v>1215</v>
      </c>
      <c r="F7" s="845" t="s">
        <v>16</v>
      </c>
    </row>
    <row r="8" spans="1:13" ht="12" customHeight="1">
      <c r="A8" s="846"/>
      <c r="B8" s="847" t="s">
        <v>1051</v>
      </c>
      <c r="C8" s="848">
        <v>1</v>
      </c>
      <c r="D8" s="848">
        <v>2</v>
      </c>
      <c r="E8" s="848">
        <v>3</v>
      </c>
      <c r="F8" s="848">
        <v>4</v>
      </c>
    </row>
    <row r="9" spans="1:13" ht="12" customHeight="1">
      <c r="A9" s="849" t="s">
        <v>1402</v>
      </c>
      <c r="B9" s="850">
        <v>1</v>
      </c>
      <c r="C9" s="851">
        <v>638806</v>
      </c>
      <c r="D9" s="852">
        <f>C46</f>
        <v>823870</v>
      </c>
      <c r="E9" s="852">
        <f>D46</f>
        <v>763461</v>
      </c>
      <c r="F9" s="852">
        <f>E9</f>
        <v>763461</v>
      </c>
    </row>
    <row r="10" spans="1:13" ht="12" customHeight="1">
      <c r="A10" s="853" t="s">
        <v>73</v>
      </c>
      <c r="B10" s="847">
        <v>3</v>
      </c>
      <c r="C10" s="854"/>
      <c r="D10" s="854"/>
      <c r="E10" s="855"/>
      <c r="F10" s="855"/>
    </row>
    <row r="11" spans="1:13" ht="12" customHeight="1">
      <c r="A11" s="856" t="s">
        <v>19</v>
      </c>
      <c r="B11" s="844"/>
      <c r="C11" s="855"/>
      <c r="D11" s="857"/>
      <c r="E11" s="855"/>
      <c r="F11" s="855"/>
    </row>
    <row r="12" spans="1:13" ht="12" customHeight="1">
      <c r="A12" s="856" t="s">
        <v>20</v>
      </c>
      <c r="B12" s="844"/>
      <c r="C12" s="855"/>
      <c r="D12" s="855"/>
      <c r="E12" s="855"/>
      <c r="F12" s="855"/>
    </row>
    <row r="13" spans="1:13" ht="12" customHeight="1">
      <c r="A13" s="858" t="s">
        <v>21</v>
      </c>
      <c r="B13" s="845"/>
      <c r="C13" s="855"/>
      <c r="D13" s="855"/>
      <c r="E13" s="855"/>
      <c r="F13" s="855"/>
    </row>
    <row r="14" spans="1:13" ht="12" customHeight="1">
      <c r="A14" s="856" t="str">
        <f>OPEN!N8</f>
        <v xml:space="preserve">    2013  $</v>
      </c>
      <c r="B14" s="844">
        <v>5</v>
      </c>
      <c r="C14" s="859">
        <v>37578</v>
      </c>
      <c r="D14" s="855"/>
      <c r="E14" s="855"/>
      <c r="F14" s="855"/>
    </row>
    <row r="15" spans="1:13" ht="12" customHeight="1">
      <c r="A15" s="849" t="str">
        <f>OPEN!N9</f>
        <v xml:space="preserve">    2014  $</v>
      </c>
      <c r="B15" s="850">
        <v>10</v>
      </c>
      <c r="C15" s="851">
        <v>514395</v>
      </c>
      <c r="D15" s="854">
        <v>5704</v>
      </c>
      <c r="E15" s="855"/>
      <c r="F15" s="855"/>
    </row>
    <row r="16" spans="1:13" ht="12" customHeight="1">
      <c r="A16" s="849" t="str">
        <f>OPEN!N10</f>
        <v xml:space="preserve">    2015  $</v>
      </c>
      <c r="B16" s="850">
        <v>15</v>
      </c>
      <c r="C16" s="855"/>
      <c r="D16" s="852">
        <f>'C04'!$E$14</f>
        <v>265431</v>
      </c>
      <c r="E16" s="857">
        <f>'F110'!$I$33</f>
        <v>13289</v>
      </c>
      <c r="F16" s="857">
        <f>E16</f>
        <v>13289</v>
      </c>
    </row>
    <row r="17" spans="1:9" ht="12" customHeight="1">
      <c r="A17" s="849" t="str">
        <f>OPEN!N11</f>
        <v xml:space="preserve">    2016  $</v>
      </c>
      <c r="B17" s="850">
        <v>20</v>
      </c>
      <c r="C17" s="855"/>
      <c r="D17" s="855"/>
      <c r="E17" s="852">
        <f>'C04'!L14</f>
        <v>232805</v>
      </c>
      <c r="F17" s="852">
        <f>'C04'!$L$37</f>
        <v>253049</v>
      </c>
    </row>
    <row r="18" spans="1:9" ht="12" customHeight="1">
      <c r="A18" s="849" t="s">
        <v>1872</v>
      </c>
      <c r="B18" s="850">
        <v>25</v>
      </c>
      <c r="C18" s="859">
        <v>10771</v>
      </c>
      <c r="D18" s="2649">
        <v>6879</v>
      </c>
      <c r="E18" s="862">
        <f>0.667*F18</f>
        <v>678</v>
      </c>
      <c r="F18" s="4082">
        <f>'F110'!$I$37</f>
        <v>1017</v>
      </c>
      <c r="H18" s="3152" t="s">
        <v>383</v>
      </c>
      <c r="I18" s="3153">
        <f>IF(ISERROR(F17/OPEN!A14*1000),"See errors below",F17/OPEN!A14*1000)</f>
        <v>8</v>
      </c>
    </row>
    <row r="19" spans="1:9" ht="12" customHeight="1">
      <c r="A19" s="849" t="s">
        <v>24</v>
      </c>
      <c r="B19" s="850">
        <v>30</v>
      </c>
      <c r="C19" s="851">
        <v>3513</v>
      </c>
      <c r="D19" s="851">
        <v>3399</v>
      </c>
      <c r="E19" s="854"/>
      <c r="F19" s="852">
        <f>E19</f>
        <v>0</v>
      </c>
      <c r="H19" s="3154" t="str">
        <f>OPEN!N40</f>
        <v/>
      </c>
      <c r="I19" s="842"/>
    </row>
    <row r="20" spans="1:9" ht="12" customHeight="1">
      <c r="A20" s="849" t="s">
        <v>23</v>
      </c>
      <c r="B20" s="850">
        <v>35</v>
      </c>
      <c r="C20" s="855"/>
      <c r="D20" s="855"/>
      <c r="E20" s="855"/>
      <c r="F20" s="851"/>
    </row>
    <row r="21" spans="1:9" ht="12" customHeight="1">
      <c r="A21" s="849" t="s">
        <v>25</v>
      </c>
      <c r="B21" s="850">
        <v>40</v>
      </c>
      <c r="C21" s="859">
        <v>2937</v>
      </c>
      <c r="D21" s="859">
        <v>3352</v>
      </c>
      <c r="E21" s="859"/>
      <c r="F21" s="852">
        <f>E21</f>
        <v>0</v>
      </c>
    </row>
    <row r="22" spans="1:9" ht="12" customHeight="1">
      <c r="A22" s="849" t="s">
        <v>23</v>
      </c>
      <c r="B22" s="850">
        <v>45</v>
      </c>
      <c r="C22" s="860"/>
      <c r="D22" s="860"/>
      <c r="E22" s="860"/>
      <c r="F22" s="851"/>
    </row>
    <row r="23" spans="1:9" ht="12" customHeight="1">
      <c r="A23" s="856" t="s">
        <v>28</v>
      </c>
      <c r="B23" s="840"/>
      <c r="C23" s="855"/>
      <c r="D23" s="855"/>
      <c r="E23" s="855"/>
      <c r="F23" s="861"/>
    </row>
    <row r="24" spans="1:9" ht="12" customHeight="1">
      <c r="A24" s="853" t="s">
        <v>286</v>
      </c>
      <c r="B24" s="847">
        <v>55</v>
      </c>
      <c r="C24" s="854">
        <v>32349</v>
      </c>
      <c r="D24" s="854">
        <v>31844</v>
      </c>
      <c r="E24" s="862">
        <f>IF(ISERROR('F194'!$H$78+'F194'!$H$20+'F194'!$P$78+'F194'!$P$20),0,('F194'!$H$78+'F194'!$H$20+'F194'!$P$78+'F194'!$P$20))</f>
        <v>23329</v>
      </c>
      <c r="F24" s="862">
        <f>E24</f>
        <v>23329</v>
      </c>
    </row>
    <row r="25" spans="1:9" ht="12" customHeight="1">
      <c r="A25" s="849" t="s">
        <v>105</v>
      </c>
      <c r="B25" s="850">
        <v>60</v>
      </c>
      <c r="C25" s="860"/>
      <c r="D25" s="863"/>
      <c r="E25" s="860"/>
      <c r="F25" s="852">
        <f>F24*0.5</f>
        <v>11665</v>
      </c>
    </row>
    <row r="26" spans="1:9" ht="12" customHeight="1">
      <c r="A26" s="849" t="s">
        <v>31</v>
      </c>
      <c r="B26" s="850">
        <v>65</v>
      </c>
      <c r="C26" s="854">
        <v>491</v>
      </c>
      <c r="D26" s="854">
        <v>517</v>
      </c>
      <c r="E26" s="862">
        <f>IF(ISERROR('F194'!$L$78+'F194'!$L$20),0,('F194'!$L$78+'F194'!$L$20))</f>
        <v>474</v>
      </c>
      <c r="F26" s="852">
        <f>E26</f>
        <v>474</v>
      </c>
    </row>
    <row r="27" spans="1:9" ht="12" customHeight="1">
      <c r="A27" s="849" t="s">
        <v>32</v>
      </c>
      <c r="B27" s="850">
        <v>66</v>
      </c>
      <c r="C27" s="855"/>
      <c r="D27" s="855"/>
      <c r="E27" s="855"/>
      <c r="F27" s="852">
        <f>F26*0.5</f>
        <v>237</v>
      </c>
    </row>
    <row r="28" spans="1:9" ht="12" customHeight="1">
      <c r="A28" s="5055" t="s">
        <v>1870</v>
      </c>
      <c r="B28" s="3928">
        <v>67</v>
      </c>
      <c r="C28" s="3814"/>
      <c r="D28" s="3814"/>
      <c r="E28" s="862">
        <f>IF(ISERROR('F194'!$R$78+'F194'!$R$20),0,('F194'!$R$78+'F194'!$R$20))</f>
        <v>3069</v>
      </c>
      <c r="F28" s="852">
        <f>E28</f>
        <v>3069</v>
      </c>
    </row>
    <row r="29" spans="1:9" ht="12" customHeight="1">
      <c r="A29" s="5055" t="s">
        <v>32</v>
      </c>
      <c r="B29" s="3928">
        <v>68</v>
      </c>
      <c r="C29" s="855"/>
      <c r="D29" s="855"/>
      <c r="E29" s="855"/>
      <c r="F29" s="852">
        <f>F28*0.5</f>
        <v>1535</v>
      </c>
      <c r="H29" s="4111"/>
    </row>
    <row r="30" spans="1:9" ht="12" customHeight="1">
      <c r="A30" s="849" t="s">
        <v>106</v>
      </c>
      <c r="B30" s="850">
        <v>70</v>
      </c>
      <c r="C30" s="854">
        <v>134</v>
      </c>
      <c r="D30" s="854"/>
      <c r="E30" s="854"/>
      <c r="F30" s="852">
        <f>E30</f>
        <v>0</v>
      </c>
      <c r="H30" s="4111"/>
    </row>
    <row r="31" spans="1:9" ht="12" customHeight="1">
      <c r="A31" s="849" t="s">
        <v>30</v>
      </c>
      <c r="B31" s="850">
        <v>75</v>
      </c>
      <c r="C31" s="860"/>
      <c r="D31" s="860"/>
      <c r="E31" s="860"/>
      <c r="F31" s="851"/>
    </row>
    <row r="32" spans="1:9" ht="12" customHeight="1">
      <c r="A32" s="849" t="s">
        <v>1938</v>
      </c>
      <c r="B32" s="850">
        <v>80</v>
      </c>
      <c r="C32" s="859"/>
      <c r="D32" s="859"/>
      <c r="E32" s="857">
        <f>IF(ISERROR('F194'!$N$78+'F194'!$N$20),0,('F194'!$N$78+'F194'!$N$20))</f>
        <v>0</v>
      </c>
      <c r="F32" s="852">
        <f>E32</f>
        <v>0</v>
      </c>
    </row>
    <row r="33" spans="1:11" ht="12" customHeight="1">
      <c r="A33" s="849" t="s">
        <v>30</v>
      </c>
      <c r="B33" s="3928">
        <v>82</v>
      </c>
      <c r="C33" s="860"/>
      <c r="D33" s="4080"/>
      <c r="E33" s="860"/>
      <c r="F33" s="4082">
        <f>F32*0.5</f>
        <v>0</v>
      </c>
    </row>
    <row r="34" spans="1:11" ht="12" customHeight="1">
      <c r="A34" s="856" t="s">
        <v>324</v>
      </c>
      <c r="B34" s="3141"/>
      <c r="C34" s="855"/>
      <c r="D34" s="4081"/>
      <c r="E34" s="4083"/>
      <c r="F34" s="863"/>
    </row>
    <row r="35" spans="1:11" ht="12" customHeight="1">
      <c r="A35" s="856" t="s">
        <v>1776</v>
      </c>
      <c r="B35" s="3838">
        <v>87</v>
      </c>
      <c r="C35" s="862">
        <f>VLOOKUP(C1,DATA!A3:AW288,49,FALSE)</f>
        <v>0</v>
      </c>
      <c r="D35" s="5112" t="s">
        <v>1251</v>
      </c>
      <c r="E35" s="5108">
        <f>'F239'!I30</f>
        <v>0</v>
      </c>
      <c r="F35" s="862">
        <f>E35</f>
        <v>0</v>
      </c>
      <c r="H35" s="5194"/>
      <c r="J35" s="5109"/>
    </row>
    <row r="36" spans="1:11" ht="12" customHeight="1">
      <c r="A36" s="864" t="s">
        <v>46</v>
      </c>
      <c r="B36" s="3140"/>
      <c r="C36" s="855"/>
      <c r="D36" s="4081"/>
      <c r="E36" s="4083"/>
      <c r="F36" s="4084"/>
      <c r="H36" s="4035"/>
    </row>
    <row r="37" spans="1:11" ht="12" customHeight="1">
      <c r="A37" s="865" t="s">
        <v>107</v>
      </c>
      <c r="B37" s="3388">
        <v>90</v>
      </c>
      <c r="C37" s="854"/>
      <c r="D37" s="2608"/>
      <c r="E37" s="3842"/>
      <c r="F37" s="862">
        <f>E37</f>
        <v>0</v>
      </c>
    </row>
    <row r="38" spans="1:11" ht="12" customHeight="1">
      <c r="A38" s="867" t="s">
        <v>30</v>
      </c>
      <c r="B38" s="868">
        <v>95</v>
      </c>
      <c r="C38" s="855"/>
      <c r="D38" s="855"/>
      <c r="E38" s="855"/>
      <c r="F38" s="854"/>
    </row>
    <row r="39" spans="1:11" ht="12" customHeight="1">
      <c r="A39" s="3818" t="s">
        <v>1536</v>
      </c>
      <c r="B39" s="841">
        <v>97</v>
      </c>
      <c r="C39" s="3814"/>
      <c r="D39" s="3814"/>
      <c r="E39" s="3814"/>
      <c r="F39" s="857">
        <f>E39</f>
        <v>0</v>
      </c>
    </row>
    <row r="40" spans="1:11" ht="12" customHeight="1">
      <c r="A40" s="869" t="s">
        <v>48</v>
      </c>
      <c r="B40" s="841"/>
      <c r="C40" s="855"/>
      <c r="D40" s="855"/>
      <c r="E40" s="855"/>
      <c r="F40" s="860"/>
    </row>
    <row r="41" spans="1:11" ht="12" customHeight="1">
      <c r="A41" s="865" t="s">
        <v>1428</v>
      </c>
      <c r="B41" s="866">
        <v>100</v>
      </c>
      <c r="C41" s="862">
        <f>'C06'!$C$341</f>
        <v>0</v>
      </c>
      <c r="D41" s="862">
        <f>'C06'!$D$341</f>
        <v>0</v>
      </c>
      <c r="E41" s="862">
        <f>'C06'!$E$341</f>
        <v>0</v>
      </c>
      <c r="F41" s="862">
        <f>E41</f>
        <v>0</v>
      </c>
    </row>
    <row r="42" spans="1:11" ht="12" customHeight="1">
      <c r="A42" s="870" t="s">
        <v>52</v>
      </c>
      <c r="B42" s="871">
        <v>170</v>
      </c>
      <c r="C42" s="862">
        <f>SUM(C9:C41)</f>
        <v>1240974</v>
      </c>
      <c r="D42" s="852">
        <f>SUM(D9:D41)</f>
        <v>1140996</v>
      </c>
      <c r="E42" s="852">
        <f>SUM(E9:E41)</f>
        <v>1037105</v>
      </c>
      <c r="F42" s="852">
        <f>SUM(F9:F41)</f>
        <v>1071125</v>
      </c>
    </row>
    <row r="43" spans="1:11" ht="12" customHeight="1">
      <c r="A43" s="867" t="s">
        <v>53</v>
      </c>
      <c r="B43" s="868">
        <v>175</v>
      </c>
      <c r="C43" s="852">
        <f>C144</f>
        <v>417104</v>
      </c>
      <c r="D43" s="852">
        <f>D144</f>
        <v>377535</v>
      </c>
      <c r="E43" s="852">
        <f>E144</f>
        <v>701990</v>
      </c>
      <c r="F43" s="852">
        <f>E43</f>
        <v>701990</v>
      </c>
    </row>
    <row r="44" spans="1:11" ht="12" customHeight="1">
      <c r="A44" s="867" t="s">
        <v>30</v>
      </c>
      <c r="B44" s="868">
        <v>180</v>
      </c>
      <c r="C44" s="872" t="s">
        <v>54</v>
      </c>
      <c r="D44" s="872" t="s">
        <v>54</v>
      </c>
      <c r="E44" s="872" t="s">
        <v>54</v>
      </c>
      <c r="F44" s="852">
        <f>F42-F43</f>
        <v>369135</v>
      </c>
      <c r="H44" s="4252" t="str">
        <f>IF(F44&lt;0,"&lt;-- Should NOT be negative - increase resources or decrease expenditures","")</f>
        <v/>
      </c>
    </row>
    <row r="45" spans="1:11" ht="12" customHeight="1">
      <c r="A45" s="867" t="s">
        <v>108</v>
      </c>
      <c r="B45" s="871">
        <v>185</v>
      </c>
      <c r="C45" s="872" t="s">
        <v>54</v>
      </c>
      <c r="D45" s="872" t="s">
        <v>54</v>
      </c>
      <c r="E45" s="872" t="s">
        <v>54</v>
      </c>
      <c r="F45" s="852">
        <f>F42</f>
        <v>1071125</v>
      </c>
    </row>
    <row r="46" spans="1:11" ht="12" customHeight="1">
      <c r="A46" s="868" t="s">
        <v>1250</v>
      </c>
      <c r="B46" s="868">
        <v>190</v>
      </c>
      <c r="C46" s="852">
        <f>C42-C43</f>
        <v>823870</v>
      </c>
      <c r="D46" s="852">
        <f>D42-D43</f>
        <v>763461</v>
      </c>
      <c r="E46" s="852">
        <f>E42-E43</f>
        <v>335115</v>
      </c>
      <c r="F46" s="872" t="s">
        <v>1189</v>
      </c>
      <c r="H46" s="3108" t="str">
        <f>IF(F45="ERROR","Lines 175+180 must equal Line 170 (Resources Available)","")</f>
        <v/>
      </c>
    </row>
    <row r="47" spans="1:11" s="842" customFormat="1" ht="14.25" customHeight="1">
      <c r="A47" s="834" t="s">
        <v>109</v>
      </c>
      <c r="B47" s="839"/>
      <c r="C47" s="834"/>
      <c r="D47" s="834"/>
      <c r="E47" s="834"/>
      <c r="F47" s="4251" t="str">
        <f>IF(F44&lt;0,"Neg. Line 180","")</f>
        <v/>
      </c>
      <c r="H47" s="838"/>
      <c r="I47" s="838"/>
      <c r="J47" s="838"/>
      <c r="K47" s="838"/>
    </row>
    <row r="48" spans="1:11" s="842" customFormat="1" ht="12" customHeight="1">
      <c r="A48" s="834"/>
      <c r="B48" s="839"/>
      <c r="C48" s="834"/>
      <c r="D48" s="834"/>
      <c r="E48" s="834"/>
      <c r="F48" s="834"/>
    </row>
    <row r="49" spans="1:11" s="842" customFormat="1" ht="12" customHeight="1">
      <c r="A49" s="834"/>
      <c r="B49" s="835" t="s">
        <v>1019</v>
      </c>
      <c r="C49" s="836">
        <f>C1</f>
        <v>270</v>
      </c>
      <c r="D49" s="834"/>
      <c r="E49" s="834"/>
      <c r="F49" s="837" t="s">
        <v>1020</v>
      </c>
    </row>
    <row r="50" spans="1:11" s="842" customFormat="1" ht="12" customHeight="1">
      <c r="A50" s="834"/>
      <c r="B50" s="835"/>
      <c r="C50" s="834"/>
      <c r="D50" s="834"/>
      <c r="E50" s="834"/>
      <c r="F50" s="837" t="s">
        <v>1212</v>
      </c>
    </row>
    <row r="51" spans="1:11" s="842" customFormat="1" ht="12" customHeight="1">
      <c r="A51" s="834"/>
      <c r="B51" s="835"/>
      <c r="C51" s="834"/>
      <c r="D51" s="834"/>
      <c r="E51" s="834"/>
      <c r="F51" s="837" t="str">
        <f>F3</f>
        <v>2016-2017</v>
      </c>
    </row>
    <row r="52" spans="1:11" s="842" customFormat="1" ht="12" customHeight="1">
      <c r="A52" s="834"/>
      <c r="B52" s="839"/>
      <c r="C52" s="834"/>
      <c r="D52" s="834"/>
      <c r="E52" s="834"/>
      <c r="F52" s="834"/>
    </row>
    <row r="53" spans="1:11" ht="12" customHeight="1">
      <c r="A53" s="834"/>
      <c r="B53" s="835"/>
      <c r="C53" s="839" t="s">
        <v>1213</v>
      </c>
      <c r="D53" s="839" t="s">
        <v>1213</v>
      </c>
      <c r="E53" s="839" t="s">
        <v>1213</v>
      </c>
      <c r="F53" s="875"/>
      <c r="H53" s="842"/>
      <c r="I53" s="842"/>
      <c r="J53" s="842"/>
      <c r="K53" s="842"/>
    </row>
    <row r="54" spans="1:11" ht="12" customHeight="1">
      <c r="A54" s="834"/>
      <c r="B54" s="840" t="s">
        <v>1045</v>
      </c>
      <c r="C54" s="841" t="str">
        <f>C6</f>
        <v>2014-2015</v>
      </c>
      <c r="D54" s="841" t="str">
        <f>D6</f>
        <v>2015-2016</v>
      </c>
      <c r="E54" s="841" t="str">
        <f>E6</f>
        <v>2016-2017</v>
      </c>
      <c r="F54" s="875"/>
    </row>
    <row r="55" spans="1:11" ht="12" customHeight="1">
      <c r="A55" s="839" t="s">
        <v>110</v>
      </c>
      <c r="B55" s="844">
        <v>16</v>
      </c>
      <c r="C55" s="845" t="s">
        <v>1139</v>
      </c>
      <c r="D55" s="845" t="s">
        <v>1139</v>
      </c>
      <c r="E55" s="845" t="s">
        <v>1215</v>
      </c>
      <c r="F55" s="875"/>
    </row>
    <row r="56" spans="1:11" ht="12" customHeight="1">
      <c r="A56" s="846"/>
      <c r="B56" s="847" t="s">
        <v>1051</v>
      </c>
      <c r="C56" s="3834">
        <v>1</v>
      </c>
      <c r="D56" s="3834">
        <v>2</v>
      </c>
      <c r="E56" s="848">
        <v>3</v>
      </c>
      <c r="F56" s="875"/>
    </row>
    <row r="57" spans="1:11" ht="12" customHeight="1">
      <c r="A57" s="864" t="s">
        <v>111</v>
      </c>
      <c r="B57" s="3140"/>
      <c r="C57" s="863"/>
      <c r="D57" s="863"/>
      <c r="E57" s="3142"/>
      <c r="F57" s="834"/>
    </row>
    <row r="58" spans="1:11" ht="12" customHeight="1">
      <c r="A58" s="856" t="s">
        <v>1267</v>
      </c>
      <c r="B58" s="3141"/>
      <c r="C58" s="857"/>
      <c r="D58" s="857"/>
      <c r="E58" s="3337"/>
      <c r="F58" s="834"/>
    </row>
    <row r="59" spans="1:11" ht="12" customHeight="1">
      <c r="A59" s="856" t="s">
        <v>1730</v>
      </c>
      <c r="B59" s="3838">
        <v>205</v>
      </c>
      <c r="C59" s="5079">
        <v>13039</v>
      </c>
      <c r="D59" s="3814">
        <v>2940</v>
      </c>
      <c r="E59" s="3832">
        <v>25000</v>
      </c>
      <c r="F59" s="834"/>
    </row>
    <row r="60" spans="1:11" ht="12" customHeight="1">
      <c r="A60" s="849" t="s">
        <v>1783</v>
      </c>
      <c r="B60" s="3967">
        <v>207</v>
      </c>
      <c r="C60" s="5080">
        <v>4623</v>
      </c>
      <c r="D60" s="3814">
        <v>6956</v>
      </c>
      <c r="E60" s="3833">
        <v>10000</v>
      </c>
      <c r="F60" s="834"/>
    </row>
    <row r="61" spans="1:11" ht="12" customHeight="1">
      <c r="A61" s="865" t="s">
        <v>141</v>
      </c>
      <c r="B61" s="3968">
        <v>210</v>
      </c>
      <c r="C61" s="859">
        <v>3044</v>
      </c>
      <c r="D61" s="859">
        <v>3326</v>
      </c>
      <c r="E61" s="2652">
        <v>40000</v>
      </c>
      <c r="F61" s="834"/>
    </row>
    <row r="62" spans="1:11" ht="12" customHeight="1">
      <c r="A62" s="864" t="s">
        <v>1294</v>
      </c>
      <c r="B62" s="3139"/>
      <c r="C62" s="860"/>
      <c r="D62" s="860"/>
      <c r="E62" s="3142"/>
      <c r="F62" s="834"/>
    </row>
    <row r="63" spans="1:11" ht="12" customHeight="1">
      <c r="A63" s="856" t="s">
        <v>142</v>
      </c>
      <c r="B63" s="3838"/>
      <c r="C63" s="855"/>
      <c r="D63" s="855"/>
      <c r="E63" s="3337"/>
      <c r="F63" s="834"/>
    </row>
    <row r="64" spans="1:11" ht="12" customHeight="1">
      <c r="A64" s="856" t="s">
        <v>1783</v>
      </c>
      <c r="B64" s="3838">
        <v>213</v>
      </c>
      <c r="C64" s="3814">
        <v>14062</v>
      </c>
      <c r="D64" s="3814">
        <v>7793</v>
      </c>
      <c r="E64" s="3832">
        <v>10000</v>
      </c>
      <c r="F64" s="834"/>
    </row>
    <row r="65" spans="1:6" ht="12" customHeight="1">
      <c r="A65" s="849" t="s">
        <v>141</v>
      </c>
      <c r="B65" s="3967">
        <v>215</v>
      </c>
      <c r="C65" s="859">
        <v>412</v>
      </c>
      <c r="D65" s="859"/>
      <c r="E65" s="3835">
        <v>40000</v>
      </c>
      <c r="F65" s="834"/>
    </row>
    <row r="66" spans="1:6" ht="12" customHeight="1">
      <c r="A66" s="864" t="s">
        <v>143</v>
      </c>
      <c r="B66" s="3139"/>
      <c r="C66" s="860"/>
      <c r="D66" s="860"/>
      <c r="E66" s="3142"/>
      <c r="F66" s="834"/>
    </row>
    <row r="67" spans="1:6" ht="12" customHeight="1">
      <c r="A67" s="856" t="s">
        <v>1783</v>
      </c>
      <c r="B67" s="3838">
        <v>217</v>
      </c>
      <c r="C67" s="3814">
        <v>800</v>
      </c>
      <c r="D67" s="3814"/>
      <c r="E67" s="3832"/>
      <c r="F67" s="834"/>
    </row>
    <row r="68" spans="1:6" ht="12" customHeight="1">
      <c r="A68" s="849" t="s">
        <v>141</v>
      </c>
      <c r="B68" s="3967">
        <v>220</v>
      </c>
      <c r="C68" s="859">
        <v>2446</v>
      </c>
      <c r="D68" s="859"/>
      <c r="E68" s="3835"/>
      <c r="F68" s="834"/>
    </row>
    <row r="69" spans="1:6" ht="12" customHeight="1">
      <c r="A69" s="864" t="s">
        <v>144</v>
      </c>
      <c r="B69" s="3139"/>
      <c r="C69" s="860"/>
      <c r="D69" s="860"/>
      <c r="E69" s="3142"/>
      <c r="F69" s="834"/>
    </row>
    <row r="70" spans="1:6" ht="12" customHeight="1">
      <c r="A70" s="856" t="s">
        <v>1783</v>
      </c>
      <c r="B70" s="3838">
        <v>223</v>
      </c>
      <c r="C70" s="3814"/>
      <c r="D70" s="3814"/>
      <c r="E70" s="3832"/>
      <c r="F70" s="834"/>
    </row>
    <row r="71" spans="1:6" ht="12" customHeight="1">
      <c r="A71" s="849" t="s">
        <v>141</v>
      </c>
      <c r="B71" s="3967">
        <v>225</v>
      </c>
      <c r="C71" s="859"/>
      <c r="D71" s="859"/>
      <c r="E71" s="3835">
        <v>10000</v>
      </c>
      <c r="F71" s="834"/>
    </row>
    <row r="72" spans="1:6" ht="12" customHeight="1">
      <c r="A72" s="864" t="s">
        <v>145</v>
      </c>
      <c r="B72" s="3139"/>
      <c r="C72" s="860"/>
      <c r="D72" s="860"/>
      <c r="E72" s="3142"/>
      <c r="F72" s="834"/>
    </row>
    <row r="73" spans="1:6" ht="12" customHeight="1">
      <c r="A73" s="853" t="s">
        <v>1783</v>
      </c>
      <c r="B73" s="3966">
        <v>227</v>
      </c>
      <c r="C73" s="3814"/>
      <c r="D73" s="3814"/>
      <c r="E73" s="3837"/>
      <c r="F73" s="834"/>
    </row>
    <row r="74" spans="1:6" ht="12" customHeight="1">
      <c r="A74" s="853" t="s">
        <v>141</v>
      </c>
      <c r="B74" s="3966">
        <v>230</v>
      </c>
      <c r="C74" s="854"/>
      <c r="D74" s="854"/>
      <c r="E74" s="2652">
        <v>15000</v>
      </c>
      <c r="F74" s="834"/>
    </row>
    <row r="75" spans="1:6" ht="12" customHeight="1">
      <c r="A75" s="864" t="s">
        <v>1742</v>
      </c>
      <c r="B75" s="3139"/>
      <c r="C75" s="860"/>
      <c r="D75" s="860"/>
      <c r="E75" s="3142"/>
      <c r="F75" s="834"/>
    </row>
    <row r="76" spans="1:6" ht="12" customHeight="1">
      <c r="A76" s="853" t="s">
        <v>1784</v>
      </c>
      <c r="B76" s="3966">
        <v>233</v>
      </c>
      <c r="C76" s="3814"/>
      <c r="D76" s="3814"/>
      <c r="E76" s="3837">
        <v>20000</v>
      </c>
      <c r="F76" s="834"/>
    </row>
    <row r="77" spans="1:6" ht="12" customHeight="1">
      <c r="A77" s="853" t="s">
        <v>1743</v>
      </c>
      <c r="B77" s="3836">
        <v>235</v>
      </c>
      <c r="C77" s="859"/>
      <c r="D77" s="859"/>
      <c r="E77" s="2652"/>
      <c r="F77" s="834"/>
    </row>
    <row r="78" spans="1:6" ht="12" customHeight="1">
      <c r="A78" s="856" t="s">
        <v>1731</v>
      </c>
      <c r="B78" s="3141"/>
      <c r="C78" s="2611"/>
      <c r="D78" s="863"/>
      <c r="E78" s="3839"/>
      <c r="F78" s="834"/>
    </row>
    <row r="79" spans="1:6" ht="12" customHeight="1">
      <c r="A79" s="856" t="s">
        <v>1544</v>
      </c>
      <c r="B79" s="3141"/>
      <c r="C79" s="2643"/>
      <c r="D79" s="857"/>
      <c r="E79" s="3839"/>
      <c r="F79" s="834"/>
    </row>
    <row r="80" spans="1:6" ht="12" customHeight="1">
      <c r="A80" s="853" t="s">
        <v>1386</v>
      </c>
      <c r="B80" s="3966">
        <v>310</v>
      </c>
      <c r="C80" s="3814">
        <v>109662</v>
      </c>
      <c r="D80" s="3814">
        <v>50864</v>
      </c>
      <c r="E80" s="2652">
        <v>30000</v>
      </c>
      <c r="F80" s="834"/>
    </row>
    <row r="81" spans="1:6" ht="12" customHeight="1">
      <c r="A81" s="856" t="s">
        <v>944</v>
      </c>
      <c r="B81" s="3838"/>
      <c r="C81" s="2643"/>
      <c r="D81" s="857"/>
      <c r="E81" s="3840"/>
      <c r="F81" s="834"/>
    </row>
    <row r="82" spans="1:6" ht="12" customHeight="1">
      <c r="A82" s="856" t="s">
        <v>1733</v>
      </c>
      <c r="B82" s="3838">
        <v>315</v>
      </c>
      <c r="C82" s="5081">
        <v>14084</v>
      </c>
      <c r="D82" s="3814">
        <v>8676</v>
      </c>
      <c r="E82" s="3841">
        <v>5000</v>
      </c>
      <c r="F82" s="834"/>
    </row>
    <row r="83" spans="1:6" ht="12" customHeight="1">
      <c r="A83" s="849" t="s">
        <v>1545</v>
      </c>
      <c r="B83" s="3967">
        <v>320</v>
      </c>
      <c r="C83" s="5080">
        <v>8069</v>
      </c>
      <c r="D83" s="3814">
        <v>3891</v>
      </c>
      <c r="E83" s="3835">
        <v>5000</v>
      </c>
      <c r="F83" s="834"/>
    </row>
    <row r="84" spans="1:6" ht="12" customHeight="1">
      <c r="A84" s="849" t="s">
        <v>1546</v>
      </c>
      <c r="B84" s="3967">
        <v>325</v>
      </c>
      <c r="C84" s="5080">
        <v>710</v>
      </c>
      <c r="D84" s="3814">
        <v>6</v>
      </c>
      <c r="E84" s="3835">
        <v>10000</v>
      </c>
      <c r="F84" s="834"/>
    </row>
    <row r="85" spans="1:6" ht="12" customHeight="1">
      <c r="A85" s="849" t="s">
        <v>1734</v>
      </c>
      <c r="B85" s="3967">
        <v>330</v>
      </c>
      <c r="C85" s="5080">
        <v>11970</v>
      </c>
      <c r="D85" s="3814">
        <v>8658</v>
      </c>
      <c r="E85" s="3835">
        <v>15000</v>
      </c>
      <c r="F85" s="834"/>
    </row>
    <row r="86" spans="1:6" ht="12" customHeight="1">
      <c r="A86" s="856" t="s">
        <v>711</v>
      </c>
      <c r="B86" s="3838"/>
      <c r="C86" s="2643"/>
      <c r="D86" s="857"/>
      <c r="E86" s="3840"/>
      <c r="F86" s="834"/>
    </row>
    <row r="87" spans="1:6" ht="12" customHeight="1">
      <c r="A87" s="856" t="s">
        <v>312</v>
      </c>
      <c r="B87" s="3838">
        <v>335</v>
      </c>
      <c r="C87" s="5081"/>
      <c r="D87" s="3814"/>
      <c r="E87" s="3841"/>
      <c r="F87" s="834"/>
    </row>
    <row r="88" spans="1:6" ht="12" customHeight="1">
      <c r="A88" s="849" t="s">
        <v>313</v>
      </c>
      <c r="B88" s="3967">
        <v>340</v>
      </c>
      <c r="C88" s="5080">
        <v>9580</v>
      </c>
      <c r="D88" s="3814">
        <v>1055</v>
      </c>
      <c r="E88" s="3835">
        <v>10000</v>
      </c>
      <c r="F88" s="834"/>
    </row>
    <row r="89" spans="1:6" ht="12" customHeight="1">
      <c r="A89" s="849" t="s">
        <v>314</v>
      </c>
      <c r="B89" s="3967">
        <v>345</v>
      </c>
      <c r="C89" s="5080"/>
      <c r="D89" s="3814"/>
      <c r="E89" s="3835"/>
      <c r="F89" s="834"/>
    </row>
    <row r="90" spans="1:6" ht="12" customHeight="1">
      <c r="A90" s="849" t="s">
        <v>1735</v>
      </c>
      <c r="B90" s="3967">
        <v>350</v>
      </c>
      <c r="C90" s="5080"/>
      <c r="D90" s="3814"/>
      <c r="E90" s="3835"/>
      <c r="F90" s="834"/>
    </row>
    <row r="91" spans="1:6" ht="12" customHeight="1">
      <c r="A91" s="849" t="s">
        <v>315</v>
      </c>
      <c r="B91" s="3967">
        <v>355</v>
      </c>
      <c r="C91" s="5080"/>
      <c r="D91" s="3814"/>
      <c r="E91" s="3835"/>
      <c r="F91" s="834"/>
    </row>
    <row r="92" spans="1:6" ht="12" customHeight="1">
      <c r="A92" s="856" t="s">
        <v>683</v>
      </c>
      <c r="B92" s="3838">
        <v>360</v>
      </c>
      <c r="C92" s="5080"/>
      <c r="D92" s="3814"/>
      <c r="E92" s="3841"/>
      <c r="F92" s="834"/>
    </row>
    <row r="93" spans="1:6" ht="12" customHeight="1">
      <c r="A93" s="849" t="s">
        <v>1785</v>
      </c>
      <c r="B93" s="3967">
        <v>365</v>
      </c>
      <c r="C93" s="5080"/>
      <c r="D93" s="3814"/>
      <c r="E93" s="3835"/>
      <c r="F93" s="834"/>
    </row>
    <row r="94" spans="1:6" ht="12" customHeight="1">
      <c r="A94" s="849" t="s">
        <v>1739</v>
      </c>
      <c r="B94" s="3967">
        <v>240</v>
      </c>
      <c r="C94" s="2649">
        <v>6461</v>
      </c>
      <c r="D94" s="859">
        <v>11886</v>
      </c>
      <c r="E94" s="3835">
        <v>70000</v>
      </c>
      <c r="F94" s="834"/>
    </row>
    <row r="95" spans="1:6" ht="12" customHeight="1">
      <c r="A95" s="856" t="s">
        <v>1740</v>
      </c>
      <c r="B95" s="3838"/>
      <c r="C95" s="2611"/>
      <c r="D95" s="863"/>
      <c r="E95" s="3839"/>
      <c r="F95" s="834"/>
    </row>
    <row r="96" spans="1:6" ht="12" customHeight="1">
      <c r="A96" s="856" t="s">
        <v>1784</v>
      </c>
      <c r="B96" s="3838">
        <v>370</v>
      </c>
      <c r="C96" s="3814"/>
      <c r="D96" s="3814"/>
      <c r="E96" s="3841"/>
      <c r="F96" s="834"/>
    </row>
    <row r="97" spans="1:6" ht="12" customHeight="1">
      <c r="A97" s="849" t="s">
        <v>1736</v>
      </c>
      <c r="B97" s="3967">
        <v>243</v>
      </c>
      <c r="C97" s="2649">
        <v>19498</v>
      </c>
      <c r="D97" s="859">
        <v>33834</v>
      </c>
      <c r="E97" s="3835">
        <v>30000</v>
      </c>
      <c r="F97" s="834"/>
    </row>
    <row r="98" spans="1:6" ht="12" customHeight="1">
      <c r="A98" s="856" t="s">
        <v>1737</v>
      </c>
      <c r="B98" s="3838"/>
      <c r="C98" s="2611"/>
      <c r="D98" s="863"/>
      <c r="E98" s="3839"/>
      <c r="F98" s="834"/>
    </row>
    <row r="99" spans="1:6" ht="12" customHeight="1">
      <c r="A99" s="856" t="s">
        <v>1544</v>
      </c>
      <c r="B99" s="3838"/>
      <c r="C99" s="2643"/>
      <c r="D99" s="857"/>
      <c r="E99" s="3839"/>
      <c r="F99" s="834"/>
    </row>
    <row r="100" spans="1:6" ht="12" customHeight="1">
      <c r="A100" s="856" t="s">
        <v>1732</v>
      </c>
      <c r="B100" s="3838">
        <v>375</v>
      </c>
      <c r="C100" s="3814"/>
      <c r="D100" s="3814"/>
      <c r="E100" s="3841"/>
      <c r="F100" s="834"/>
    </row>
    <row r="101" spans="1:6" ht="12" customHeight="1">
      <c r="A101" s="864" t="s">
        <v>944</v>
      </c>
      <c r="B101" s="3139"/>
      <c r="C101" s="2643"/>
      <c r="D101" s="857"/>
      <c r="E101" s="2653"/>
      <c r="F101" s="834"/>
    </row>
    <row r="102" spans="1:6" ht="12" customHeight="1">
      <c r="A102" s="856" t="s">
        <v>1387</v>
      </c>
      <c r="B102" s="3838">
        <v>380</v>
      </c>
      <c r="C102" s="5081"/>
      <c r="D102" s="3814"/>
      <c r="E102" s="3841"/>
      <c r="F102" s="834"/>
    </row>
    <row r="103" spans="1:6" ht="12" customHeight="1">
      <c r="A103" s="849" t="s">
        <v>1545</v>
      </c>
      <c r="B103" s="3967">
        <v>385</v>
      </c>
      <c r="C103" s="5080"/>
      <c r="D103" s="3814"/>
      <c r="E103" s="3835"/>
      <c r="F103" s="834"/>
    </row>
    <row r="104" spans="1:6" ht="12" customHeight="1">
      <c r="A104" s="849" t="s">
        <v>1546</v>
      </c>
      <c r="B104" s="3967">
        <v>390</v>
      </c>
      <c r="C104" s="5080"/>
      <c r="D104" s="3814"/>
      <c r="E104" s="3835"/>
      <c r="F104" s="834"/>
    </row>
    <row r="105" spans="1:6" ht="12" customHeight="1">
      <c r="A105" s="856" t="s">
        <v>1734</v>
      </c>
      <c r="B105" s="3838">
        <v>395</v>
      </c>
      <c r="C105" s="5080">
        <v>15699</v>
      </c>
      <c r="D105" s="3814">
        <v>2381</v>
      </c>
      <c r="E105" s="3841">
        <v>20000</v>
      </c>
      <c r="F105" s="834"/>
    </row>
    <row r="106" spans="1:6" ht="12" customHeight="1">
      <c r="A106" s="849" t="s">
        <v>711</v>
      </c>
      <c r="B106" s="3967">
        <v>400</v>
      </c>
      <c r="C106" s="5080"/>
      <c r="D106" s="3814"/>
      <c r="E106" s="3835"/>
      <c r="F106" s="834"/>
    </row>
    <row r="107" spans="1:6" ht="12" customHeight="1">
      <c r="A107" s="849" t="s">
        <v>683</v>
      </c>
      <c r="B107" s="3967">
        <v>405</v>
      </c>
      <c r="C107" s="5080"/>
      <c r="D107" s="3814"/>
      <c r="E107" s="3835"/>
      <c r="F107" s="834"/>
    </row>
    <row r="108" spans="1:6" ht="12" customHeight="1">
      <c r="A108" s="849" t="s">
        <v>1738</v>
      </c>
      <c r="B108" s="3967">
        <v>410</v>
      </c>
      <c r="C108" s="5080"/>
      <c r="D108" s="3814"/>
      <c r="E108" s="3835"/>
      <c r="F108" s="834"/>
    </row>
    <row r="109" spans="1:6" ht="12" customHeight="1">
      <c r="A109" s="849" t="s">
        <v>1785</v>
      </c>
      <c r="B109" s="3967">
        <v>415</v>
      </c>
      <c r="C109" s="5080"/>
      <c r="D109" s="3814"/>
      <c r="E109" s="3835"/>
      <c r="F109" s="834"/>
    </row>
    <row r="110" spans="1:6" ht="12" customHeight="1">
      <c r="A110" s="849" t="s">
        <v>1739</v>
      </c>
      <c r="B110" s="3967">
        <v>420</v>
      </c>
      <c r="C110" s="5080"/>
      <c r="D110" s="3814"/>
      <c r="E110" s="3835"/>
      <c r="F110" s="834"/>
    </row>
    <row r="111" spans="1:6" ht="12" customHeight="1">
      <c r="A111" s="849" t="s">
        <v>943</v>
      </c>
      <c r="B111" s="3967">
        <v>425</v>
      </c>
      <c r="C111" s="5080"/>
      <c r="D111" s="3814"/>
      <c r="E111" s="3835"/>
      <c r="F111" s="834"/>
    </row>
    <row r="112" spans="1:6" ht="12" customHeight="1">
      <c r="A112" s="856" t="s">
        <v>1741</v>
      </c>
      <c r="B112" s="3838"/>
      <c r="C112" s="2643"/>
      <c r="D112" s="857"/>
      <c r="E112" s="3839"/>
      <c r="F112" s="834"/>
    </row>
    <row r="113" spans="1:6" ht="12" customHeight="1">
      <c r="A113" s="856" t="s">
        <v>1785</v>
      </c>
      <c r="B113" s="3838">
        <v>430</v>
      </c>
      <c r="C113" s="3814"/>
      <c r="D113" s="3814"/>
      <c r="E113" s="3841"/>
      <c r="F113" s="834"/>
    </row>
    <row r="114" spans="1:6" ht="12" customHeight="1">
      <c r="A114" s="849" t="s">
        <v>1739</v>
      </c>
      <c r="B114" s="3967">
        <v>250</v>
      </c>
      <c r="C114" s="3842"/>
      <c r="D114" s="854"/>
      <c r="E114" s="3835"/>
      <c r="F114" s="834"/>
    </row>
    <row r="115" spans="1:6" ht="12" customHeight="1">
      <c r="A115" s="3859"/>
      <c r="B115" s="3830"/>
      <c r="C115" s="3831"/>
      <c r="D115" s="3831"/>
      <c r="E115" s="3831"/>
      <c r="F115" s="834"/>
    </row>
    <row r="116" spans="1:6" ht="12" customHeight="1">
      <c r="A116" s="834"/>
      <c r="B116" s="835" t="s">
        <v>1019</v>
      </c>
      <c r="C116" s="836">
        <f>C1</f>
        <v>270</v>
      </c>
      <c r="D116" s="834"/>
      <c r="E116" s="834"/>
      <c r="F116" s="837" t="s">
        <v>1020</v>
      </c>
    </row>
    <row r="117" spans="1:6" ht="12" customHeight="1">
      <c r="A117" s="834"/>
      <c r="B117" s="835"/>
      <c r="C117" s="834"/>
      <c r="D117" s="834"/>
      <c r="E117" s="834"/>
      <c r="F117" s="837" t="s">
        <v>1212</v>
      </c>
    </row>
    <row r="118" spans="1:6" ht="12" customHeight="1">
      <c r="A118" s="834"/>
      <c r="B118" s="835"/>
      <c r="C118" s="834"/>
      <c r="D118" s="834"/>
      <c r="E118" s="834"/>
      <c r="F118" s="837" t="str">
        <f>F3</f>
        <v>2016-2017</v>
      </c>
    </row>
    <row r="119" spans="1:6" ht="12" customHeight="1">
      <c r="A119" s="834"/>
      <c r="B119" s="839"/>
      <c r="C119" s="834"/>
      <c r="D119" s="834"/>
      <c r="E119" s="834"/>
      <c r="F119" s="834"/>
    </row>
    <row r="120" spans="1:6" ht="12" customHeight="1">
      <c r="A120" s="834"/>
      <c r="B120" s="835"/>
      <c r="C120" s="839" t="s">
        <v>1213</v>
      </c>
      <c r="D120" s="839" t="s">
        <v>1213</v>
      </c>
      <c r="E120" s="839" t="s">
        <v>1213</v>
      </c>
      <c r="F120" s="875"/>
    </row>
    <row r="121" spans="1:6" ht="12" customHeight="1">
      <c r="A121" s="834"/>
      <c r="B121" s="840" t="s">
        <v>1045</v>
      </c>
      <c r="C121" s="841" t="str">
        <f>C6</f>
        <v>2014-2015</v>
      </c>
      <c r="D121" s="841" t="str">
        <f>D6</f>
        <v>2015-2016</v>
      </c>
      <c r="E121" s="841" t="str">
        <f>E6</f>
        <v>2016-2017</v>
      </c>
      <c r="F121" s="875"/>
    </row>
    <row r="122" spans="1:6" ht="12" customHeight="1">
      <c r="A122" s="839" t="s">
        <v>110</v>
      </c>
      <c r="B122" s="844">
        <v>16</v>
      </c>
      <c r="C122" s="845" t="s">
        <v>1139</v>
      </c>
      <c r="D122" s="845" t="s">
        <v>1139</v>
      </c>
      <c r="E122" s="845" t="s">
        <v>1215</v>
      </c>
      <c r="F122" s="875"/>
    </row>
    <row r="123" spans="1:6" ht="12" customHeight="1">
      <c r="A123" s="846"/>
      <c r="B123" s="847" t="s">
        <v>1051</v>
      </c>
      <c r="C123" s="848">
        <v>1</v>
      </c>
      <c r="D123" s="848">
        <v>2</v>
      </c>
      <c r="E123" s="848">
        <v>3</v>
      </c>
      <c r="F123" s="875"/>
    </row>
    <row r="124" spans="1:6" ht="12" customHeight="1">
      <c r="A124" s="869" t="s">
        <v>146</v>
      </c>
      <c r="B124" s="841"/>
      <c r="C124" s="855"/>
      <c r="D124" s="855"/>
      <c r="E124" s="860"/>
      <c r="F124" s="834"/>
    </row>
    <row r="125" spans="1:6" ht="12" customHeight="1">
      <c r="A125" s="865" t="s">
        <v>274</v>
      </c>
      <c r="B125" s="3947">
        <v>255</v>
      </c>
      <c r="C125" s="854"/>
      <c r="D125" s="854"/>
      <c r="E125" s="854"/>
      <c r="F125" s="834"/>
    </row>
    <row r="126" spans="1:6" ht="12" customHeight="1">
      <c r="A126" s="867" t="s">
        <v>275</v>
      </c>
      <c r="B126" s="3948">
        <v>260</v>
      </c>
      <c r="C126" s="851"/>
      <c r="D126" s="851"/>
      <c r="E126" s="851"/>
      <c r="F126" s="834"/>
    </row>
    <row r="127" spans="1:6" ht="12" customHeight="1">
      <c r="A127" s="867" t="s">
        <v>148</v>
      </c>
      <c r="B127" s="3948">
        <v>265</v>
      </c>
      <c r="C127" s="851"/>
      <c r="D127" s="851"/>
      <c r="E127" s="851"/>
      <c r="F127" s="834"/>
    </row>
    <row r="128" spans="1:6" ht="12" customHeight="1">
      <c r="A128" s="867" t="s">
        <v>1185</v>
      </c>
      <c r="B128" s="868">
        <v>275</v>
      </c>
      <c r="C128" s="851"/>
      <c r="D128" s="851"/>
      <c r="E128" s="851"/>
      <c r="F128" s="834"/>
    </row>
    <row r="129" spans="1:6" ht="12" customHeight="1">
      <c r="A129" s="869" t="s">
        <v>276</v>
      </c>
      <c r="B129" s="841">
        <v>280</v>
      </c>
      <c r="C129" s="2607"/>
      <c r="D129" s="2607"/>
      <c r="E129" s="2607"/>
      <c r="F129" s="834"/>
    </row>
    <row r="130" spans="1:6" ht="12" customHeight="1">
      <c r="A130" s="2689" t="s">
        <v>277</v>
      </c>
      <c r="B130" s="2609"/>
      <c r="C130" s="2610"/>
      <c r="D130" s="2611"/>
      <c r="E130" s="863"/>
      <c r="F130" s="2478"/>
    </row>
    <row r="131" spans="1:6" ht="12" customHeight="1">
      <c r="A131" s="876" t="s">
        <v>1168</v>
      </c>
      <c r="B131" s="2641"/>
      <c r="C131" s="2642"/>
      <c r="D131" s="2643"/>
      <c r="E131" s="857"/>
      <c r="F131" s="2478"/>
    </row>
    <row r="132" spans="1:6" ht="12" customHeight="1">
      <c r="A132" s="876" t="s">
        <v>121</v>
      </c>
      <c r="B132" s="2669">
        <v>286</v>
      </c>
      <c r="C132" s="2648"/>
      <c r="D132" s="2649"/>
      <c r="E132" s="859"/>
      <c r="F132" s="834"/>
    </row>
    <row r="133" spans="1:6" ht="12" customHeight="1">
      <c r="A133" s="2650" t="s">
        <v>1169</v>
      </c>
      <c r="B133" s="2670"/>
      <c r="C133" s="2610"/>
      <c r="D133" s="863"/>
      <c r="E133" s="2653"/>
      <c r="F133" s="834"/>
    </row>
    <row r="134" spans="1:6" ht="12" customHeight="1">
      <c r="A134" s="2651" t="s">
        <v>115</v>
      </c>
      <c r="B134" s="2671">
        <v>287</v>
      </c>
      <c r="C134" s="2608"/>
      <c r="D134" s="854"/>
      <c r="E134" s="2652"/>
      <c r="F134" s="834"/>
    </row>
    <row r="135" spans="1:6" ht="12" customHeight="1">
      <c r="A135" s="2644" t="s">
        <v>113</v>
      </c>
      <c r="B135" s="2671">
        <v>288</v>
      </c>
      <c r="C135" s="854"/>
      <c r="D135" s="854"/>
      <c r="E135" s="854"/>
      <c r="F135" s="834"/>
    </row>
    <row r="136" spans="1:6" ht="12" customHeight="1">
      <c r="A136" s="2644" t="s">
        <v>114</v>
      </c>
      <c r="B136" s="2671">
        <v>289</v>
      </c>
      <c r="C136" s="854"/>
      <c r="D136" s="854"/>
      <c r="E136" s="854"/>
      <c r="F136" s="834"/>
    </row>
    <row r="137" spans="1:6" ht="12" customHeight="1">
      <c r="A137" s="2768" t="s">
        <v>801</v>
      </c>
      <c r="B137" s="2769">
        <v>290</v>
      </c>
      <c r="C137" s="854">
        <v>45955</v>
      </c>
      <c r="D137" s="854">
        <v>98279</v>
      </c>
      <c r="E137" s="854">
        <v>200000</v>
      </c>
      <c r="F137" s="834"/>
    </row>
    <row r="138" spans="1:6" ht="12" customHeight="1">
      <c r="A138" s="867" t="s">
        <v>149</v>
      </c>
      <c r="B138" s="868">
        <v>291</v>
      </c>
      <c r="C138" s="851"/>
      <c r="D138" s="851"/>
      <c r="E138" s="851"/>
      <c r="F138" s="834"/>
    </row>
    <row r="139" spans="1:6" ht="12" customHeight="1">
      <c r="A139" s="869" t="s">
        <v>150</v>
      </c>
      <c r="B139" s="841"/>
      <c r="C139" s="860"/>
      <c r="D139" s="860"/>
      <c r="E139" s="860"/>
      <c r="F139" s="834"/>
    </row>
    <row r="140" spans="1:6" ht="12" customHeight="1">
      <c r="A140" s="876" t="s">
        <v>151</v>
      </c>
      <c r="B140" s="845"/>
      <c r="C140" s="855"/>
      <c r="D140" s="855"/>
      <c r="E140" s="855"/>
      <c r="F140" s="834"/>
    </row>
    <row r="141" spans="1:6" ht="12" customHeight="1">
      <c r="A141" s="865" t="s">
        <v>799</v>
      </c>
      <c r="B141" s="866">
        <v>295</v>
      </c>
      <c r="C141" s="854"/>
      <c r="D141" s="854"/>
      <c r="E141" s="854"/>
      <c r="F141" s="834"/>
    </row>
    <row r="142" spans="1:6" ht="12" customHeight="1">
      <c r="A142" s="867" t="s">
        <v>152</v>
      </c>
      <c r="B142" s="868">
        <v>300</v>
      </c>
      <c r="C142" s="851"/>
      <c r="D142" s="851"/>
      <c r="E142" s="851"/>
      <c r="F142" s="834"/>
    </row>
    <row r="143" spans="1:6" ht="12" customHeight="1">
      <c r="A143" s="867" t="s">
        <v>800</v>
      </c>
      <c r="B143" s="868">
        <v>305</v>
      </c>
      <c r="C143" s="851">
        <v>136990</v>
      </c>
      <c r="D143" s="851">
        <v>136990</v>
      </c>
      <c r="E143" s="851">
        <v>136990</v>
      </c>
      <c r="F143" s="834"/>
    </row>
    <row r="144" spans="1:6" ht="14.25" customHeight="1">
      <c r="A144" s="867" t="s">
        <v>1416</v>
      </c>
      <c r="B144" s="877" t="s">
        <v>1364</v>
      </c>
      <c r="C144" s="852">
        <f>SUM(C59:C114)+SUM(C124:C143)</f>
        <v>417104</v>
      </c>
      <c r="D144" s="852">
        <f t="shared" ref="D144:E144" si="0">SUM(D59:D114)+SUM(D124:D143)</f>
        <v>377535</v>
      </c>
      <c r="E144" s="852">
        <f t="shared" si="0"/>
        <v>701990</v>
      </c>
      <c r="F144" s="834"/>
    </row>
    <row r="145" spans="1:6" ht="12" customHeight="1">
      <c r="A145" s="834"/>
      <c r="B145" s="839"/>
      <c r="C145" s="873"/>
      <c r="D145" s="873"/>
      <c r="E145" s="873"/>
      <c r="F145" s="873"/>
    </row>
    <row r="146" spans="1:6" ht="12" customHeight="1">
      <c r="A146" s="834"/>
      <c r="B146" s="839"/>
      <c r="C146" s="873"/>
      <c r="D146" s="873"/>
      <c r="E146" s="873"/>
      <c r="F146" s="873"/>
    </row>
    <row r="147" spans="1:6" ht="12" customHeight="1">
      <c r="A147" s="834"/>
      <c r="B147" s="839"/>
      <c r="C147" s="873"/>
      <c r="D147" s="873"/>
      <c r="E147" s="873"/>
      <c r="F147" s="873"/>
    </row>
    <row r="148" spans="1:6" ht="12" customHeight="1">
      <c r="A148" s="834"/>
      <c r="B148" s="839"/>
      <c r="C148" s="873"/>
      <c r="D148" s="873"/>
      <c r="E148" s="873"/>
      <c r="F148" s="873"/>
    </row>
    <row r="149" spans="1:6" ht="12" customHeight="1">
      <c r="A149" s="834"/>
      <c r="B149" s="839"/>
      <c r="C149" s="873"/>
      <c r="D149" s="873"/>
      <c r="E149" s="873"/>
      <c r="F149" s="873"/>
    </row>
    <row r="150" spans="1:6" ht="12" customHeight="1">
      <c r="A150" s="834"/>
      <c r="B150" s="839"/>
      <c r="C150" s="873"/>
      <c r="D150" s="873"/>
      <c r="E150" s="873"/>
      <c r="F150" s="873"/>
    </row>
    <row r="151" spans="1:6" ht="12" customHeight="1">
      <c r="A151" s="874"/>
      <c r="B151" s="874"/>
      <c r="C151" s="878"/>
      <c r="D151" s="878"/>
      <c r="E151" s="878"/>
      <c r="F151" s="878"/>
    </row>
    <row r="152" spans="1:6" ht="12" customHeight="1">
      <c r="A152" s="834"/>
      <c r="B152" s="839"/>
      <c r="C152" s="873"/>
      <c r="D152" s="873"/>
      <c r="E152" s="873"/>
      <c r="F152" s="873"/>
    </row>
    <row r="153" spans="1:6" ht="12" customHeight="1">
      <c r="A153" s="834"/>
      <c r="B153" s="839"/>
      <c r="C153" s="873"/>
      <c r="D153" s="873"/>
      <c r="E153" s="873"/>
      <c r="F153" s="873"/>
    </row>
    <row r="154" spans="1:6" ht="12" customHeight="1">
      <c r="A154" s="834"/>
      <c r="B154" s="839"/>
      <c r="C154" s="873"/>
      <c r="D154" s="873"/>
      <c r="E154" s="873"/>
      <c r="F154" s="873"/>
    </row>
    <row r="155" spans="1:6" ht="12" customHeight="1">
      <c r="A155" s="834"/>
      <c r="B155" s="839"/>
      <c r="C155" s="873"/>
      <c r="D155" s="873"/>
      <c r="E155" s="873"/>
      <c r="F155" s="873"/>
    </row>
    <row r="156" spans="1:6" ht="12" customHeight="1">
      <c r="A156" s="834"/>
      <c r="B156" s="839"/>
      <c r="C156" s="873"/>
      <c r="D156" s="873"/>
      <c r="E156" s="873"/>
      <c r="F156" s="873"/>
    </row>
    <row r="157" spans="1:6" ht="12" customHeight="1">
      <c r="A157" s="834"/>
      <c r="B157" s="839"/>
      <c r="C157" s="873"/>
      <c r="D157" s="873"/>
      <c r="E157" s="873"/>
      <c r="F157" s="873"/>
    </row>
    <row r="158" spans="1:6" ht="12" customHeight="1">
      <c r="A158" s="834"/>
      <c r="B158" s="839"/>
      <c r="C158" s="873"/>
      <c r="D158" s="873"/>
      <c r="E158" s="873"/>
      <c r="F158" s="873"/>
    </row>
    <row r="159" spans="1:6" ht="12" customHeight="1">
      <c r="A159" s="834"/>
      <c r="B159" s="839"/>
      <c r="C159" s="873"/>
      <c r="D159" s="873"/>
      <c r="E159" s="873"/>
      <c r="F159" s="873"/>
    </row>
    <row r="160" spans="1:6" ht="12" customHeight="1">
      <c r="A160" s="834"/>
      <c r="B160" s="839"/>
      <c r="C160" s="873"/>
      <c r="D160" s="873"/>
      <c r="E160" s="873"/>
      <c r="F160" s="873"/>
    </row>
    <row r="161" spans="1:6" ht="12" customHeight="1">
      <c r="A161" s="834"/>
      <c r="B161" s="839"/>
      <c r="C161" s="873"/>
      <c r="D161" s="873"/>
      <c r="E161" s="873"/>
      <c r="F161" s="873"/>
    </row>
    <row r="162" spans="1:6" ht="12" customHeight="1">
      <c r="A162" s="834"/>
      <c r="B162" s="839"/>
      <c r="C162" s="873"/>
      <c r="D162" s="873"/>
      <c r="E162" s="873"/>
      <c r="F162" s="873"/>
    </row>
    <row r="163" spans="1:6" ht="12" customHeight="1">
      <c r="A163" s="834"/>
      <c r="B163" s="839"/>
      <c r="C163" s="873"/>
      <c r="D163" s="873"/>
      <c r="E163" s="873"/>
      <c r="F163" s="873"/>
    </row>
    <row r="164" spans="1:6" ht="12" customHeight="1">
      <c r="A164" s="834"/>
      <c r="B164" s="839"/>
      <c r="C164" s="873"/>
      <c r="D164" s="873"/>
      <c r="E164" s="873"/>
      <c r="F164" s="873"/>
    </row>
    <row r="165" spans="1:6" ht="12" customHeight="1">
      <c r="A165" s="834"/>
      <c r="B165" s="839"/>
      <c r="C165" s="873"/>
      <c r="D165" s="873"/>
      <c r="E165" s="873"/>
      <c r="F165" s="873"/>
    </row>
    <row r="166" spans="1:6" ht="12" customHeight="1">
      <c r="A166" s="834"/>
      <c r="B166" s="839"/>
      <c r="C166" s="873"/>
      <c r="D166" s="873"/>
      <c r="E166" s="873"/>
      <c r="F166" s="873"/>
    </row>
    <row r="167" spans="1:6" ht="12" customHeight="1">
      <c r="A167" s="834"/>
      <c r="B167" s="839"/>
      <c r="C167" s="873"/>
      <c r="D167" s="873"/>
      <c r="E167" s="873"/>
      <c r="F167" s="873"/>
    </row>
    <row r="168" spans="1:6" ht="12" customHeight="1">
      <c r="A168" s="834"/>
      <c r="B168" s="839"/>
      <c r="C168" s="873"/>
      <c r="D168" s="873"/>
      <c r="E168" s="873"/>
      <c r="F168" s="873"/>
    </row>
    <row r="169" spans="1:6" ht="12" customHeight="1">
      <c r="A169" s="834"/>
      <c r="B169" s="839"/>
      <c r="C169" s="873"/>
      <c r="D169" s="873"/>
      <c r="E169" s="873"/>
      <c r="F169" s="873"/>
    </row>
    <row r="170" spans="1:6" ht="12" customHeight="1">
      <c r="A170" s="834"/>
      <c r="B170" s="839"/>
      <c r="C170" s="873"/>
      <c r="D170" s="873"/>
      <c r="E170" s="873"/>
      <c r="F170" s="873"/>
    </row>
    <row r="171" spans="1:6" ht="12" customHeight="1">
      <c r="A171" s="834"/>
      <c r="B171" s="839"/>
      <c r="C171" s="873"/>
      <c r="D171" s="873"/>
      <c r="E171" s="873"/>
      <c r="F171" s="873"/>
    </row>
    <row r="172" spans="1:6" ht="12" customHeight="1">
      <c r="A172" s="834"/>
      <c r="B172" s="839"/>
      <c r="C172" s="873"/>
      <c r="D172" s="873"/>
      <c r="E172" s="873"/>
      <c r="F172" s="873"/>
    </row>
    <row r="173" spans="1:6" ht="12" customHeight="1">
      <c r="A173" s="834"/>
      <c r="B173" s="839"/>
      <c r="C173" s="873"/>
      <c r="D173" s="873"/>
      <c r="E173" s="873"/>
      <c r="F173" s="873"/>
    </row>
    <row r="174" spans="1:6" ht="12" customHeight="1">
      <c r="A174" s="834"/>
      <c r="B174" s="839"/>
      <c r="C174" s="873"/>
      <c r="D174" s="873"/>
      <c r="E174" s="873"/>
      <c r="F174" s="873"/>
    </row>
    <row r="175" spans="1:6" ht="12" customHeight="1">
      <c r="A175" s="834"/>
      <c r="B175" s="839"/>
      <c r="C175" s="873"/>
      <c r="D175" s="873"/>
      <c r="E175" s="873"/>
      <c r="F175" s="873"/>
    </row>
    <row r="176" spans="1:6" ht="12" customHeight="1">
      <c r="A176" s="834"/>
      <c r="B176" s="839"/>
      <c r="C176" s="873"/>
      <c r="D176" s="873"/>
      <c r="E176" s="873"/>
      <c r="F176" s="873"/>
    </row>
    <row r="177" spans="1:6" ht="12" customHeight="1">
      <c r="A177" s="834"/>
      <c r="B177" s="839"/>
      <c r="C177" s="873"/>
      <c r="D177" s="873"/>
      <c r="E177" s="873"/>
      <c r="F177" s="873"/>
    </row>
    <row r="178" spans="1:6" ht="12" customHeight="1">
      <c r="A178" s="834"/>
      <c r="B178" s="839"/>
      <c r="C178" s="873"/>
      <c r="D178" s="873"/>
      <c r="E178" s="873"/>
      <c r="F178" s="873"/>
    </row>
    <row r="179" spans="1:6" ht="12" customHeight="1">
      <c r="A179" s="834"/>
      <c r="B179" s="839"/>
      <c r="C179" s="873"/>
      <c r="D179" s="873"/>
      <c r="E179" s="873"/>
      <c r="F179" s="873"/>
    </row>
    <row r="180" spans="1:6" ht="12" customHeight="1">
      <c r="A180" s="834"/>
      <c r="B180" s="839"/>
      <c r="C180" s="873"/>
      <c r="D180" s="873"/>
      <c r="E180" s="873"/>
      <c r="F180" s="873"/>
    </row>
    <row r="181" spans="1:6" ht="12" customHeight="1">
      <c r="A181" s="834"/>
      <c r="B181" s="839"/>
      <c r="C181" s="873"/>
      <c r="D181" s="873"/>
      <c r="E181" s="873"/>
      <c r="F181" s="873"/>
    </row>
    <row r="182" spans="1:6" ht="12" customHeight="1">
      <c r="A182" s="834"/>
      <c r="B182" s="839"/>
      <c r="C182" s="873"/>
      <c r="D182" s="873"/>
      <c r="E182" s="873"/>
      <c r="F182" s="873"/>
    </row>
    <row r="183" spans="1:6" ht="12" customHeight="1">
      <c r="A183" s="834"/>
      <c r="B183" s="839"/>
      <c r="C183" s="873"/>
      <c r="D183" s="873"/>
      <c r="E183" s="873"/>
      <c r="F183" s="873"/>
    </row>
    <row r="184" spans="1:6" ht="12" customHeight="1">
      <c r="A184" s="834"/>
      <c r="B184" s="839"/>
      <c r="C184" s="873"/>
      <c r="D184" s="873"/>
      <c r="E184" s="873"/>
      <c r="F184" s="873"/>
    </row>
    <row r="185" spans="1:6" ht="12" customHeight="1">
      <c r="A185" s="834"/>
      <c r="B185" s="839"/>
      <c r="C185" s="873"/>
      <c r="D185" s="873"/>
      <c r="E185" s="873"/>
      <c r="F185" s="873"/>
    </row>
    <row r="186" spans="1:6" ht="12" customHeight="1">
      <c r="A186" s="834"/>
      <c r="B186" s="839"/>
      <c r="C186" s="873"/>
      <c r="D186" s="873"/>
      <c r="E186" s="873"/>
      <c r="F186" s="873"/>
    </row>
    <row r="187" spans="1:6" ht="12" customHeight="1">
      <c r="A187" s="834"/>
      <c r="B187" s="839"/>
      <c r="C187" s="873"/>
      <c r="D187" s="873"/>
      <c r="E187" s="873"/>
      <c r="F187" s="873"/>
    </row>
    <row r="188" spans="1:6" ht="12" customHeight="1">
      <c r="A188" s="834"/>
      <c r="B188" s="839"/>
      <c r="C188" s="873"/>
      <c r="D188" s="873"/>
      <c r="E188" s="873"/>
      <c r="F188" s="873"/>
    </row>
    <row r="189" spans="1:6" ht="12" customHeight="1">
      <c r="A189" s="834"/>
      <c r="B189" s="839"/>
      <c r="C189" s="873"/>
      <c r="D189" s="873"/>
      <c r="E189" s="873"/>
      <c r="F189" s="873"/>
    </row>
    <row r="190" spans="1:6" ht="12" customHeight="1">
      <c r="A190" s="834"/>
      <c r="B190" s="839"/>
      <c r="C190" s="873"/>
      <c r="D190" s="873"/>
      <c r="E190" s="873"/>
      <c r="F190" s="873"/>
    </row>
    <row r="191" spans="1:6" ht="12" customHeight="1">
      <c r="A191" s="834"/>
      <c r="B191" s="839"/>
      <c r="C191" s="873"/>
      <c r="D191" s="873"/>
      <c r="E191" s="873"/>
      <c r="F191" s="873"/>
    </row>
    <row r="192" spans="1:6" ht="12" customHeight="1">
      <c r="A192" s="834"/>
      <c r="B192" s="839"/>
      <c r="C192" s="873"/>
      <c r="D192" s="873"/>
      <c r="E192" s="873"/>
      <c r="F192" s="873"/>
    </row>
    <row r="193" spans="1:6" ht="12" customHeight="1">
      <c r="A193" s="834"/>
      <c r="B193" s="839"/>
      <c r="C193" s="873"/>
      <c r="D193" s="873"/>
      <c r="E193" s="873"/>
      <c r="F193" s="873"/>
    </row>
    <row r="194" spans="1:6" ht="12" customHeight="1">
      <c r="A194" s="834"/>
      <c r="B194" s="839"/>
      <c r="C194" s="873"/>
      <c r="D194" s="873"/>
      <c r="E194" s="873"/>
      <c r="F194" s="873"/>
    </row>
    <row r="195" spans="1:6" ht="12" customHeight="1">
      <c r="A195" s="834"/>
      <c r="B195" s="839"/>
      <c r="C195" s="873"/>
      <c r="D195" s="873"/>
      <c r="E195" s="873"/>
      <c r="F195" s="873"/>
    </row>
    <row r="196" spans="1:6" ht="12" customHeight="1">
      <c r="A196" s="834"/>
      <c r="B196" s="839"/>
      <c r="C196" s="873"/>
      <c r="D196" s="873"/>
      <c r="E196" s="873"/>
      <c r="F196" s="873"/>
    </row>
    <row r="197" spans="1:6" ht="12" customHeight="1">
      <c r="A197" s="834"/>
      <c r="B197" s="839"/>
      <c r="C197" s="873"/>
      <c r="D197" s="873"/>
      <c r="E197" s="873"/>
      <c r="F197" s="873"/>
    </row>
    <row r="198" spans="1:6" ht="12" customHeight="1">
      <c r="A198" s="834"/>
      <c r="B198" s="839"/>
      <c r="C198" s="873"/>
      <c r="D198" s="873"/>
      <c r="E198" s="873"/>
      <c r="F198" s="873"/>
    </row>
    <row r="199" spans="1:6" ht="12" customHeight="1">
      <c r="A199" s="834"/>
      <c r="B199" s="839"/>
      <c r="C199" s="873"/>
      <c r="D199" s="873"/>
      <c r="E199" s="873"/>
      <c r="F199" s="873"/>
    </row>
    <row r="200" spans="1:6" ht="12" customHeight="1">
      <c r="A200" s="834"/>
      <c r="B200" s="839"/>
      <c r="C200" s="873"/>
      <c r="D200" s="873"/>
      <c r="E200" s="873"/>
      <c r="F200" s="873"/>
    </row>
    <row r="201" spans="1:6" ht="12" customHeight="1">
      <c r="A201" s="834"/>
      <c r="B201" s="839"/>
      <c r="C201" s="873"/>
      <c r="D201" s="873"/>
      <c r="E201" s="873"/>
      <c r="F201" s="873"/>
    </row>
    <row r="202" spans="1:6" ht="12" customHeight="1">
      <c r="A202" s="834"/>
      <c r="B202" s="839"/>
      <c r="C202" s="873"/>
      <c r="D202" s="873"/>
      <c r="E202" s="873"/>
      <c r="F202" s="873"/>
    </row>
    <row r="203" spans="1:6" ht="12" customHeight="1">
      <c r="A203" s="834"/>
      <c r="B203" s="839"/>
      <c r="C203" s="873"/>
      <c r="D203" s="873"/>
      <c r="E203" s="873"/>
      <c r="F203" s="873"/>
    </row>
    <row r="204" spans="1:6" ht="12" customHeight="1">
      <c r="A204" s="834"/>
      <c r="B204" s="839"/>
      <c r="C204" s="873"/>
      <c r="D204" s="873"/>
      <c r="E204" s="873"/>
      <c r="F204" s="873"/>
    </row>
    <row r="205" spans="1:6" ht="12" customHeight="1">
      <c r="A205" s="834"/>
      <c r="B205" s="839"/>
      <c r="C205" s="873"/>
      <c r="D205" s="873"/>
      <c r="E205" s="873"/>
      <c r="F205" s="873"/>
    </row>
    <row r="206" spans="1:6" ht="12" customHeight="1">
      <c r="A206" s="834"/>
      <c r="B206" s="839"/>
      <c r="C206" s="873"/>
      <c r="D206" s="873"/>
      <c r="E206" s="873"/>
      <c r="F206" s="873"/>
    </row>
    <row r="207" spans="1:6" ht="12" customHeight="1">
      <c r="A207" s="834"/>
      <c r="B207" s="839"/>
      <c r="C207" s="873"/>
      <c r="D207" s="873"/>
      <c r="E207" s="873"/>
      <c r="F207" s="873"/>
    </row>
    <row r="208" spans="1:6" ht="12" customHeight="1">
      <c r="A208" s="834"/>
      <c r="B208" s="839"/>
      <c r="C208" s="873"/>
      <c r="D208" s="873"/>
      <c r="E208" s="873"/>
      <c r="F208" s="873"/>
    </row>
    <row r="209" spans="1:6" ht="12" customHeight="1">
      <c r="A209" s="834"/>
      <c r="B209" s="839"/>
      <c r="C209" s="873"/>
      <c r="D209" s="873"/>
      <c r="E209" s="873"/>
      <c r="F209" s="873"/>
    </row>
    <row r="210" spans="1:6" ht="12" customHeight="1">
      <c r="A210" s="834"/>
      <c r="B210" s="839"/>
      <c r="C210" s="873"/>
      <c r="D210" s="873"/>
      <c r="E210" s="873"/>
      <c r="F210" s="873"/>
    </row>
    <row r="211" spans="1:6" ht="12" customHeight="1">
      <c r="A211" s="834"/>
      <c r="B211" s="839"/>
      <c r="C211" s="873"/>
      <c r="D211" s="873"/>
      <c r="E211" s="873"/>
      <c r="F211" s="873"/>
    </row>
    <row r="212" spans="1:6" ht="12" customHeight="1">
      <c r="A212" s="834"/>
      <c r="B212" s="839"/>
      <c r="C212" s="873"/>
      <c r="D212" s="873"/>
      <c r="E212" s="873"/>
      <c r="F212" s="873"/>
    </row>
    <row r="213" spans="1:6" ht="12" customHeight="1">
      <c r="A213" s="834"/>
      <c r="B213" s="839"/>
      <c r="C213" s="873"/>
      <c r="D213" s="873"/>
      <c r="E213" s="873"/>
      <c r="F213" s="873"/>
    </row>
    <row r="214" spans="1:6" ht="12" customHeight="1">
      <c r="A214" s="834"/>
      <c r="B214" s="839"/>
      <c r="C214" s="873"/>
      <c r="D214" s="873"/>
      <c r="E214" s="873"/>
      <c r="F214" s="873"/>
    </row>
    <row r="215" spans="1:6" ht="12" customHeight="1">
      <c r="A215" s="834"/>
      <c r="B215" s="839"/>
      <c r="C215" s="873"/>
      <c r="D215" s="873"/>
      <c r="E215" s="873"/>
      <c r="F215" s="873"/>
    </row>
    <row r="216" spans="1:6" ht="12" customHeight="1">
      <c r="A216" s="834"/>
      <c r="B216" s="839"/>
      <c r="C216" s="873"/>
      <c r="D216" s="873"/>
      <c r="E216" s="873"/>
      <c r="F216" s="873"/>
    </row>
    <row r="217" spans="1:6" ht="12" customHeight="1">
      <c r="A217" s="834"/>
      <c r="B217" s="839"/>
      <c r="C217" s="873"/>
      <c r="D217" s="873"/>
      <c r="E217" s="873"/>
      <c r="F217" s="873"/>
    </row>
    <row r="218" spans="1:6" ht="12" customHeight="1">
      <c r="A218" s="834"/>
      <c r="B218" s="839"/>
      <c r="C218" s="873"/>
      <c r="D218" s="873"/>
      <c r="E218" s="873"/>
      <c r="F218" s="873"/>
    </row>
    <row r="219" spans="1:6" ht="12" customHeight="1">
      <c r="A219" s="834"/>
      <c r="B219" s="839"/>
      <c r="C219" s="873"/>
      <c r="D219" s="873"/>
      <c r="E219" s="873"/>
      <c r="F219" s="873"/>
    </row>
    <row r="220" spans="1:6" ht="12" customHeight="1">
      <c r="A220" s="834"/>
      <c r="B220" s="839"/>
      <c r="C220" s="873"/>
      <c r="D220" s="873"/>
      <c r="E220" s="873"/>
      <c r="F220" s="873"/>
    </row>
    <row r="221" spans="1:6" ht="12" customHeight="1">
      <c r="A221" s="834"/>
      <c r="B221" s="839"/>
      <c r="C221" s="873"/>
      <c r="D221" s="873"/>
      <c r="E221" s="873"/>
      <c r="F221" s="873"/>
    </row>
    <row r="222" spans="1:6" ht="12" customHeight="1">
      <c r="A222" s="834"/>
      <c r="B222" s="839"/>
      <c r="C222" s="873"/>
      <c r="D222" s="873"/>
      <c r="E222" s="873"/>
      <c r="F222" s="873"/>
    </row>
    <row r="223" spans="1:6" ht="12" customHeight="1">
      <c r="A223" s="834"/>
      <c r="B223" s="839"/>
      <c r="C223" s="873"/>
      <c r="D223" s="873"/>
      <c r="E223" s="873"/>
      <c r="F223" s="873"/>
    </row>
    <row r="224" spans="1:6" ht="12" customHeight="1">
      <c r="A224" s="834"/>
      <c r="B224" s="839"/>
      <c r="C224" s="873"/>
      <c r="D224" s="873"/>
      <c r="E224" s="873"/>
      <c r="F224" s="873"/>
    </row>
    <row r="225" spans="1:6" ht="12" customHeight="1">
      <c r="A225" s="834"/>
      <c r="B225" s="839"/>
      <c r="C225" s="873"/>
      <c r="D225" s="873"/>
      <c r="E225" s="873"/>
      <c r="F225" s="873"/>
    </row>
    <row r="226" spans="1:6" ht="12" customHeight="1">
      <c r="A226" s="834"/>
      <c r="B226" s="839"/>
      <c r="C226" s="873"/>
      <c r="D226" s="873"/>
      <c r="E226" s="873"/>
      <c r="F226" s="873"/>
    </row>
    <row r="227" spans="1:6" ht="12" customHeight="1">
      <c r="A227" s="834"/>
      <c r="B227" s="839"/>
      <c r="C227" s="873"/>
      <c r="D227" s="873"/>
      <c r="E227" s="873"/>
      <c r="F227" s="873"/>
    </row>
    <row r="228" spans="1:6" ht="12" customHeight="1">
      <c r="A228" s="834"/>
      <c r="B228" s="839"/>
      <c r="C228" s="873"/>
      <c r="D228" s="873"/>
      <c r="E228" s="873"/>
      <c r="F228" s="873"/>
    </row>
    <row r="229" spans="1:6" ht="12" customHeight="1">
      <c r="A229" s="834"/>
      <c r="B229" s="839"/>
      <c r="C229" s="873"/>
      <c r="D229" s="873"/>
      <c r="E229" s="873"/>
      <c r="F229" s="873"/>
    </row>
    <row r="230" spans="1:6" ht="12" customHeight="1">
      <c r="A230" s="834"/>
      <c r="B230" s="839"/>
      <c r="C230" s="873"/>
      <c r="D230" s="873"/>
      <c r="E230" s="873"/>
      <c r="F230" s="873"/>
    </row>
    <row r="231" spans="1:6" ht="12" customHeight="1">
      <c r="A231" s="834"/>
      <c r="B231" s="839"/>
      <c r="C231" s="873"/>
      <c r="D231" s="873"/>
      <c r="E231" s="873"/>
      <c r="F231" s="873"/>
    </row>
    <row r="232" spans="1:6" ht="12" customHeight="1">
      <c r="A232" s="834"/>
      <c r="B232" s="839"/>
      <c r="C232" s="873"/>
      <c r="D232" s="873"/>
      <c r="E232" s="873"/>
      <c r="F232" s="873"/>
    </row>
    <row r="233" spans="1:6" ht="12" customHeight="1">
      <c r="A233" s="834"/>
      <c r="B233" s="839"/>
      <c r="C233" s="873"/>
      <c r="D233" s="873"/>
      <c r="E233" s="873"/>
      <c r="F233" s="873"/>
    </row>
    <row r="234" spans="1:6" ht="12" customHeight="1">
      <c r="A234" s="834"/>
      <c r="B234" s="839"/>
      <c r="C234" s="873"/>
      <c r="D234" s="873"/>
      <c r="E234" s="873"/>
      <c r="F234" s="873"/>
    </row>
    <row r="235" spans="1:6" ht="12" customHeight="1">
      <c r="A235" s="834"/>
      <c r="B235" s="839"/>
      <c r="C235" s="873"/>
      <c r="D235" s="873"/>
      <c r="E235" s="873"/>
      <c r="F235" s="873"/>
    </row>
    <row r="236" spans="1:6" ht="12" customHeight="1">
      <c r="A236" s="834"/>
      <c r="B236" s="839"/>
      <c r="C236" s="873"/>
      <c r="D236" s="873"/>
      <c r="E236" s="873"/>
      <c r="F236" s="873"/>
    </row>
    <row r="237" spans="1:6" ht="12" customHeight="1">
      <c r="A237" s="834"/>
      <c r="B237" s="839"/>
      <c r="C237" s="873"/>
      <c r="D237" s="873"/>
      <c r="E237" s="873"/>
      <c r="F237" s="873"/>
    </row>
    <row r="238" spans="1:6" ht="12" customHeight="1">
      <c r="A238" s="834"/>
      <c r="B238" s="839"/>
      <c r="C238" s="873"/>
      <c r="D238" s="873"/>
      <c r="E238" s="873"/>
      <c r="F238" s="873"/>
    </row>
    <row r="239" spans="1:6" ht="12" customHeight="1">
      <c r="A239" s="834"/>
      <c r="B239" s="839"/>
      <c r="C239" s="873"/>
      <c r="D239" s="873"/>
      <c r="E239" s="873"/>
      <c r="F239" s="873"/>
    </row>
    <row r="240" spans="1:6" ht="12" customHeight="1">
      <c r="A240" s="834"/>
      <c r="B240" s="839"/>
      <c r="C240" s="873"/>
      <c r="D240" s="873"/>
      <c r="E240" s="873"/>
      <c r="F240" s="873"/>
    </row>
    <row r="241" spans="1:6" ht="12" customHeight="1">
      <c r="A241" s="834"/>
      <c r="B241" s="839"/>
      <c r="C241" s="873"/>
      <c r="D241" s="873"/>
      <c r="E241" s="873"/>
      <c r="F241" s="873"/>
    </row>
    <row r="242" spans="1:6" ht="12" customHeight="1">
      <c r="A242" s="834"/>
      <c r="B242" s="839"/>
      <c r="C242" s="873"/>
      <c r="D242" s="873"/>
      <c r="E242" s="873"/>
      <c r="F242" s="873"/>
    </row>
    <row r="243" spans="1:6" ht="12" customHeight="1">
      <c r="A243" s="834"/>
      <c r="B243" s="839"/>
      <c r="C243" s="873"/>
      <c r="D243" s="873"/>
      <c r="E243" s="873"/>
      <c r="F243" s="873"/>
    </row>
    <row r="244" spans="1:6" ht="12" customHeight="1">
      <c r="A244" s="834"/>
      <c r="B244" s="839"/>
      <c r="C244" s="873"/>
      <c r="D244" s="873"/>
      <c r="E244" s="873"/>
      <c r="F244" s="873"/>
    </row>
    <row r="245" spans="1:6" ht="12" customHeight="1">
      <c r="A245" s="834"/>
      <c r="B245" s="839"/>
      <c r="C245" s="873"/>
      <c r="D245" s="873"/>
      <c r="E245" s="873"/>
      <c r="F245" s="873"/>
    </row>
    <row r="246" spans="1:6" ht="12" customHeight="1">
      <c r="A246" s="834"/>
      <c r="B246" s="839"/>
      <c r="C246" s="873"/>
      <c r="D246" s="873"/>
      <c r="E246" s="873"/>
      <c r="F246" s="873"/>
    </row>
    <row r="247" spans="1:6" ht="12" customHeight="1">
      <c r="A247" s="834"/>
      <c r="B247" s="839"/>
      <c r="C247" s="873"/>
      <c r="D247" s="873"/>
      <c r="E247" s="873"/>
      <c r="F247" s="873"/>
    </row>
    <row r="248" spans="1:6" ht="12" customHeight="1">
      <c r="A248" s="834"/>
      <c r="B248" s="839"/>
      <c r="C248" s="873"/>
      <c r="D248" s="873"/>
      <c r="E248" s="873"/>
      <c r="F248" s="873"/>
    </row>
  </sheetData>
  <sheetProtection algorithmName="SHA-512" hashValue="3QMnuGzXyhV7YKb1LfWbvo9ojFKsy+5h17p+QKBtkzKDqEUUJyCToxst+LJ3exCfjVZaLh7sD2cl+yKupgT72Q==" saltValue="wid2fiGTRwSphyshUJqqqA==" spinCount="100000" sheet="1" objects="1" scenarios="1"/>
  <phoneticPr fontId="10" type="noConversion"/>
  <dataValidations count="4">
    <dataValidation type="whole" operator="greaterThanOrEqual" showInputMessage="1" showErrorMessage="1" errorTitle="Invalid Data Entry" error="Please enter a positive number or press the delete key or enter a zero." sqref="C141:E143 C14 C15:D15 C18:D18 C19:E19 F20 F22 C21:E21 C26:D26 C30:E30 C32:D32 F31 C37:E39 F38:F39 F44 C65:E65 C68:E68 C71:E71 C59:E61 C10:D10 C125:E138 C77:E77 C81:E81 C86:E86 C94:E95 C97:E99 C101:E101 C112:E112 C74:E74 C114:E115 C23:D24">
      <formula1>0</formula1>
    </dataValidation>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allowBlank="1" showInputMessage="1" showErrorMessage="1" errorTitle="Invalid Data Entry" error="Please enter a positive number or press the delete key or enter a zero." sqref="C64:E64 C67:E67 C70:E70 C73:E73 C76:E76 C80:E80 C82:E85 C87:E93 C96:E96 C100:E100 C113:E113 C102:E111">
      <formula1>0</formula1>
    </dataValidation>
    <dataValidation type="whole" operator="greaterThanOrEqual" allowBlank="1" showInputMessage="1" showErrorMessage="1" errorTitle="Invalid Data Entry" error="Please enter a positive number or press the delete key or enter zero." sqref="C28">
      <formula1>0</formula1>
    </dataValidation>
  </dataValidations>
  <hyperlinks>
    <hyperlink ref="H1" location="Contents!F1" display="Return to Contents page"/>
  </hyperlinks>
  <printOptions horizontalCentered="1"/>
  <pageMargins left="0.25" right="0.25" top="0.19" bottom="0.19" header="0.5" footer="0.5"/>
  <pageSetup scale="93" orientation="portrait" blackAndWhite="1" r:id="rId1"/>
  <headerFooter alignWithMargins="0">
    <oddFooter>&amp;L&amp;D     &amp;T &amp;CCode No. 16&amp;RPage &amp;P</oddFooter>
  </headerFooter>
  <rowBreaks count="3" manualBreakCount="3">
    <brk id="48" max="5" man="1"/>
    <brk id="115" max="5" man="1"/>
    <brk id="145" max="5"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4" tint="0.39997558519241921"/>
  </sheetPr>
  <dimension ref="A1:Q207"/>
  <sheetViews>
    <sheetView zoomScaleNormal="100" workbookViewId="0">
      <selection activeCell="D165" sqref="D165"/>
    </sheetView>
  </sheetViews>
  <sheetFormatPr defaultColWidth="10.7109375" defaultRowHeight="12" customHeight="1"/>
  <cols>
    <col min="1" max="1" width="44.7109375" style="889" customWidth="1"/>
    <col min="2" max="2" width="4.85546875" style="935" customWidth="1"/>
    <col min="3" max="3" width="13" style="884" customWidth="1"/>
    <col min="4" max="4" width="13.85546875" style="884" customWidth="1"/>
    <col min="5" max="5" width="13.5703125" style="884" customWidth="1"/>
    <col min="6" max="6" width="2.28515625" style="884" customWidth="1"/>
    <col min="7" max="7" width="21" style="884" customWidth="1"/>
    <col min="8" max="16384" width="10.7109375" style="884"/>
  </cols>
  <sheetData>
    <row r="1" spans="1:17" ht="12" customHeight="1">
      <c r="A1" s="880" t="s">
        <v>1019</v>
      </c>
      <c r="B1" s="881">
        <f>OPEN!$B$4</f>
        <v>270</v>
      </c>
      <c r="C1" s="882"/>
      <c r="D1" s="882"/>
      <c r="E1" s="880" t="s">
        <v>1020</v>
      </c>
      <c r="F1" s="883"/>
      <c r="G1" s="3013" t="s">
        <v>866</v>
      </c>
    </row>
    <row r="2" spans="1:17" ht="12" customHeight="1">
      <c r="A2" s="882"/>
      <c r="B2" s="881"/>
      <c r="C2" s="882"/>
      <c r="D2" s="882"/>
      <c r="E2" s="880" t="s">
        <v>1212</v>
      </c>
      <c r="F2" s="883"/>
    </row>
    <row r="3" spans="1:17" ht="12" customHeight="1">
      <c r="A3" s="882"/>
      <c r="B3" s="881"/>
      <c r="C3" s="882"/>
      <c r="D3" s="882"/>
      <c r="E3" s="880" t="str">
        <f>OPEN!N2</f>
        <v>2016-2017</v>
      </c>
      <c r="F3" s="883"/>
    </row>
    <row r="4" spans="1:17" ht="5.0999999999999996" customHeight="1">
      <c r="A4" s="882"/>
      <c r="B4" s="881"/>
      <c r="C4" s="882"/>
      <c r="D4" s="882"/>
      <c r="E4" s="882"/>
      <c r="F4" s="883"/>
    </row>
    <row r="5" spans="1:17" ht="12" customHeight="1">
      <c r="A5" s="882"/>
      <c r="B5" s="881"/>
      <c r="C5" s="885" t="s">
        <v>1213</v>
      </c>
      <c r="D5" s="885" t="s">
        <v>1213</v>
      </c>
      <c r="E5" s="885" t="s">
        <v>1213</v>
      </c>
      <c r="F5" s="883"/>
    </row>
    <row r="6" spans="1:17" ht="12" customHeight="1">
      <c r="A6" s="886" t="s">
        <v>164</v>
      </c>
      <c r="B6" s="887" t="s">
        <v>1045</v>
      </c>
      <c r="C6" s="888" t="str">
        <f>OPEN!N4</f>
        <v>2014-2015</v>
      </c>
      <c r="D6" s="888" t="str">
        <f>OPEN!O4</f>
        <v>2015-2016</v>
      </c>
      <c r="E6" s="888" t="str">
        <f>OPEN!P4</f>
        <v>2016-2017</v>
      </c>
      <c r="F6" s="883"/>
      <c r="K6" s="889"/>
      <c r="L6" s="889"/>
      <c r="M6" s="889"/>
      <c r="N6" s="890"/>
      <c r="O6" s="889"/>
      <c r="P6" s="889"/>
      <c r="Q6" s="889"/>
    </row>
    <row r="7" spans="1:17" ht="12" customHeight="1">
      <c r="A7" s="885"/>
      <c r="B7" s="891">
        <v>18</v>
      </c>
      <c r="C7" s="892" t="s">
        <v>1139</v>
      </c>
      <c r="D7" s="892" t="s">
        <v>1139</v>
      </c>
      <c r="E7" s="892" t="s">
        <v>1215</v>
      </c>
      <c r="F7" s="883"/>
      <c r="N7" s="889"/>
      <c r="O7" s="893"/>
      <c r="P7" s="893"/>
      <c r="Q7" s="893"/>
    </row>
    <row r="8" spans="1:17" ht="12" customHeight="1">
      <c r="A8" s="894"/>
      <c r="B8" s="895" t="s">
        <v>1051</v>
      </c>
      <c r="C8" s="896">
        <v>1</v>
      </c>
      <c r="D8" s="896">
        <v>2</v>
      </c>
      <c r="E8" s="896">
        <v>3</v>
      </c>
      <c r="F8" s="883"/>
      <c r="N8" s="889"/>
      <c r="O8" s="893"/>
      <c r="P8" s="893"/>
      <c r="Q8" s="893"/>
    </row>
    <row r="9" spans="1:17" ht="12" customHeight="1">
      <c r="A9" s="897" t="s">
        <v>1402</v>
      </c>
      <c r="B9" s="898">
        <v>1</v>
      </c>
      <c r="C9" s="917">
        <v>19981</v>
      </c>
      <c r="D9" s="900">
        <f>C25</f>
        <v>22861</v>
      </c>
      <c r="E9" s="3514">
        <f>D25</f>
        <v>23839</v>
      </c>
      <c r="F9" s="883"/>
      <c r="N9" s="889"/>
      <c r="O9" s="893"/>
      <c r="P9" s="893"/>
      <c r="Q9" s="893"/>
    </row>
    <row r="10" spans="1:17" ht="12" customHeight="1">
      <c r="A10" s="901" t="s">
        <v>73</v>
      </c>
      <c r="B10" s="902">
        <v>3</v>
      </c>
      <c r="C10" s="2479"/>
      <c r="D10" s="903"/>
      <c r="E10" s="914"/>
      <c r="F10" s="883"/>
      <c r="N10" s="889"/>
      <c r="O10" s="893"/>
      <c r="P10" s="893"/>
      <c r="Q10" s="893"/>
    </row>
    <row r="11" spans="1:17" ht="12" customHeight="1">
      <c r="A11" s="904" t="s">
        <v>19</v>
      </c>
      <c r="B11" s="905"/>
      <c r="C11" s="914"/>
      <c r="D11" s="906"/>
      <c r="E11" s="915"/>
      <c r="F11" s="883"/>
      <c r="N11" s="889"/>
      <c r="O11" s="893"/>
      <c r="P11" s="893"/>
      <c r="Q11" s="893"/>
    </row>
    <row r="12" spans="1:17" ht="12" customHeight="1">
      <c r="A12" s="897" t="s">
        <v>95</v>
      </c>
      <c r="B12" s="898">
        <v>5</v>
      </c>
      <c r="C12" s="916"/>
      <c r="D12" s="4991" t="s">
        <v>1431</v>
      </c>
      <c r="E12" s="4177" t="s">
        <v>1431</v>
      </c>
      <c r="F12" s="883"/>
      <c r="N12" s="889"/>
      <c r="O12" s="893"/>
      <c r="P12" s="893"/>
      <c r="Q12" s="893"/>
    </row>
    <row r="13" spans="1:17" ht="12" customHeight="1">
      <c r="A13" s="897" t="s">
        <v>25</v>
      </c>
      <c r="B13" s="898">
        <v>15</v>
      </c>
      <c r="C13" s="916">
        <v>6139</v>
      </c>
      <c r="D13" s="899">
        <v>6534</v>
      </c>
      <c r="E13" s="916"/>
      <c r="F13" s="883"/>
      <c r="N13" s="889"/>
      <c r="O13" s="889"/>
      <c r="P13" s="889"/>
      <c r="Q13" s="889"/>
    </row>
    <row r="14" spans="1:17" ht="12" customHeight="1">
      <c r="A14" s="904" t="s">
        <v>33</v>
      </c>
      <c r="B14" s="905"/>
      <c r="C14" s="914"/>
      <c r="D14" s="906"/>
      <c r="E14" s="915"/>
      <c r="F14" s="883"/>
      <c r="N14" s="890"/>
      <c r="O14" s="907"/>
      <c r="P14" s="889"/>
      <c r="Q14" s="889"/>
    </row>
    <row r="15" spans="1:17" ht="12" customHeight="1">
      <c r="A15" s="897" t="s">
        <v>165</v>
      </c>
      <c r="B15" s="898">
        <v>25</v>
      </c>
      <c r="C15" s="916">
        <v>2139</v>
      </c>
      <c r="D15" s="899">
        <v>1292</v>
      </c>
      <c r="E15" s="2480">
        <f>'F195'!H14</f>
        <v>2880</v>
      </c>
      <c r="F15" s="883"/>
      <c r="N15" s="889"/>
      <c r="O15" s="907"/>
      <c r="P15" s="907"/>
      <c r="Q15" s="907"/>
    </row>
    <row r="16" spans="1:17" ht="12" customHeight="1">
      <c r="A16" s="897" t="s">
        <v>166</v>
      </c>
      <c r="B16" s="898">
        <v>35</v>
      </c>
      <c r="C16" s="916"/>
      <c r="D16" s="899"/>
      <c r="E16" s="2480">
        <f>'F195'!H20</f>
        <v>0</v>
      </c>
      <c r="F16" s="883"/>
      <c r="N16" s="889"/>
      <c r="O16" s="907"/>
      <c r="P16" s="907"/>
      <c r="Q16" s="907"/>
    </row>
    <row r="17" spans="1:17" ht="12" customHeight="1">
      <c r="A17" s="3506" t="s">
        <v>325</v>
      </c>
      <c r="B17" s="3507"/>
      <c r="C17" s="3505"/>
      <c r="D17" s="3509"/>
      <c r="E17" s="3505"/>
      <c r="F17" s="883"/>
      <c r="N17" s="889"/>
      <c r="O17" s="907"/>
      <c r="P17" s="907"/>
      <c r="Q17" s="907"/>
    </row>
    <row r="18" spans="1:17" ht="12" customHeight="1">
      <c r="A18" s="3506" t="s">
        <v>1536</v>
      </c>
      <c r="B18" s="2580">
        <v>40</v>
      </c>
      <c r="C18" s="2479"/>
      <c r="D18" s="903"/>
      <c r="E18" s="2479"/>
      <c r="F18" s="883"/>
      <c r="N18" s="889"/>
      <c r="O18" s="907"/>
      <c r="P18" s="907"/>
      <c r="Q18" s="907"/>
    </row>
    <row r="19" spans="1:17" ht="12" customHeight="1">
      <c r="A19" s="904" t="s">
        <v>48</v>
      </c>
      <c r="B19" s="905"/>
      <c r="C19" s="914"/>
      <c r="D19" s="906"/>
      <c r="E19" s="914"/>
      <c r="F19" s="883"/>
      <c r="N19" s="889"/>
      <c r="O19" s="907"/>
      <c r="P19" s="907"/>
      <c r="Q19" s="907"/>
    </row>
    <row r="20" spans="1:17" ht="12" customHeight="1">
      <c r="A20" s="897" t="s">
        <v>49</v>
      </c>
      <c r="B20" s="898">
        <v>45</v>
      </c>
      <c r="C20" s="2480">
        <f>'C06'!C342</f>
        <v>0</v>
      </c>
      <c r="D20" s="900">
        <f>'C06'!D342</f>
        <v>0</v>
      </c>
      <c r="E20" s="2480">
        <f>'C06'!E342</f>
        <v>0</v>
      </c>
      <c r="F20" s="883"/>
      <c r="N20" s="889"/>
      <c r="O20" s="907"/>
      <c r="P20" s="907"/>
      <c r="Q20" s="907"/>
    </row>
    <row r="21" spans="1:17" ht="12" customHeight="1">
      <c r="A21" s="908" t="s">
        <v>1243</v>
      </c>
      <c r="B21" s="909">
        <v>50</v>
      </c>
      <c r="C21" s="2481">
        <f>'C08'!$C$311</f>
        <v>0</v>
      </c>
      <c r="D21" s="910">
        <f>'C08'!$D$311</f>
        <v>0</v>
      </c>
      <c r="E21" s="2481">
        <f>'C08'!$E$311</f>
        <v>0</v>
      </c>
      <c r="F21" s="883"/>
      <c r="N21" s="889"/>
      <c r="O21" s="889"/>
      <c r="P21" s="889"/>
      <c r="Q21" s="889"/>
    </row>
    <row r="22" spans="1:17" ht="12" customHeight="1">
      <c r="A22" s="897" t="s">
        <v>272</v>
      </c>
      <c r="B22" s="898">
        <v>55</v>
      </c>
      <c r="C22" s="2480">
        <f>'C053'!C265</f>
        <v>0</v>
      </c>
      <c r="D22" s="910">
        <f>'C053'!D265</f>
        <v>0</v>
      </c>
      <c r="E22" s="2482" t="s">
        <v>1189</v>
      </c>
      <c r="F22" s="883"/>
      <c r="N22" s="889"/>
      <c r="O22" s="907"/>
      <c r="P22" s="907"/>
      <c r="Q22" s="907"/>
    </row>
    <row r="23" spans="1:17" ht="12" customHeight="1">
      <c r="A23" s="911" t="s">
        <v>52</v>
      </c>
      <c r="B23" s="912">
        <v>170</v>
      </c>
      <c r="C23" s="2480">
        <f>SUM(C9:C22)</f>
        <v>28259</v>
      </c>
      <c r="D23" s="900">
        <f>SUM(D9:D22)</f>
        <v>30687</v>
      </c>
      <c r="E23" s="2480">
        <f>SUM(E9:E22)</f>
        <v>26719</v>
      </c>
      <c r="F23" s="883"/>
    </row>
    <row r="24" spans="1:17" ht="12" customHeight="1">
      <c r="A24" s="908" t="s">
        <v>53</v>
      </c>
      <c r="B24" s="909">
        <v>175</v>
      </c>
      <c r="C24" s="2481">
        <f>C183</f>
        <v>5398</v>
      </c>
      <c r="D24" s="910">
        <f>D183</f>
        <v>6848</v>
      </c>
      <c r="E24" s="2481">
        <f>IF(E183&lt;=E23,E183,"ERROR")</f>
        <v>11760</v>
      </c>
      <c r="F24" s="883"/>
      <c r="G24" s="3098" t="str">
        <f>IF(E24="ERROR","Expenditures must be less than or equal to Resources Available","")</f>
        <v/>
      </c>
      <c r="H24" s="913"/>
    </row>
    <row r="25" spans="1:17" ht="12" customHeight="1">
      <c r="A25" s="908" t="s">
        <v>290</v>
      </c>
      <c r="B25" s="909">
        <v>190</v>
      </c>
      <c r="C25" s="2481">
        <f>SUM(C23-C24)</f>
        <v>22861</v>
      </c>
      <c r="D25" s="910">
        <f>SUM(D23-D24)</f>
        <v>23839</v>
      </c>
      <c r="E25" s="2613">
        <f>IF(ISERROR(E23-E24),"NEGATIVE",E23-E24)</f>
        <v>14959</v>
      </c>
      <c r="F25" s="883"/>
      <c r="G25" s="3539"/>
      <c r="H25" s="913"/>
    </row>
    <row r="26" spans="1:17" ht="14.25" customHeight="1">
      <c r="A26" s="3510"/>
      <c r="B26" s="3511"/>
      <c r="C26" s="3509"/>
      <c r="D26" s="3509"/>
      <c r="E26" s="3512"/>
      <c r="F26" s="883"/>
      <c r="G26" s="913"/>
      <c r="H26" s="913"/>
    </row>
    <row r="27" spans="1:17" s="889" customFormat="1" ht="15.75" customHeight="1">
      <c r="A27"/>
      <c r="B27"/>
      <c r="C27"/>
      <c r="D27"/>
      <c r="E27"/>
      <c r="F27" s="882"/>
    </row>
    <row r="28" spans="1:17" ht="12" customHeight="1">
      <c r="A28" s="882"/>
      <c r="B28" s="881"/>
      <c r="C28" s="885" t="s">
        <v>1213</v>
      </c>
      <c r="D28" s="885" t="s">
        <v>1213</v>
      </c>
      <c r="E28" s="885" t="s">
        <v>1213</v>
      </c>
      <c r="F28" s="883"/>
    </row>
    <row r="29" spans="1:17" ht="12" customHeight="1">
      <c r="A29" s="886" t="s">
        <v>164</v>
      </c>
      <c r="B29" s="887" t="s">
        <v>1045</v>
      </c>
      <c r="C29" s="888" t="str">
        <f>C6</f>
        <v>2014-2015</v>
      </c>
      <c r="D29" s="888" t="str">
        <f>D6</f>
        <v>2015-2016</v>
      </c>
      <c r="E29" s="888" t="str">
        <f>E6</f>
        <v>2016-2017</v>
      </c>
      <c r="F29" s="883"/>
    </row>
    <row r="30" spans="1:17" ht="12" customHeight="1">
      <c r="A30" s="886" t="s">
        <v>81</v>
      </c>
      <c r="B30" s="891">
        <v>18</v>
      </c>
      <c r="C30" s="892" t="s">
        <v>1139</v>
      </c>
      <c r="D30" s="892" t="s">
        <v>1139</v>
      </c>
      <c r="E30" s="892" t="s">
        <v>1215</v>
      </c>
      <c r="F30" s="883"/>
    </row>
    <row r="31" spans="1:17" ht="12" customHeight="1">
      <c r="A31" s="894"/>
      <c r="B31" s="895" t="s">
        <v>1051</v>
      </c>
      <c r="C31" s="896">
        <v>1</v>
      </c>
      <c r="D31" s="896">
        <v>2</v>
      </c>
      <c r="E31" s="896">
        <v>3</v>
      </c>
      <c r="F31" s="883"/>
    </row>
    <row r="32" spans="1:17" ht="12" customHeight="1">
      <c r="A32" s="904" t="s">
        <v>82</v>
      </c>
      <c r="B32" s="905"/>
      <c r="C32" s="914"/>
      <c r="D32" s="906"/>
      <c r="E32" s="914"/>
      <c r="F32" s="883"/>
    </row>
    <row r="33" spans="1:6" ht="12" customHeight="1">
      <c r="A33" s="901" t="s">
        <v>1309</v>
      </c>
      <c r="B33" s="902"/>
      <c r="C33" s="915"/>
      <c r="D33" s="920"/>
      <c r="E33" s="915"/>
      <c r="F33" s="883"/>
    </row>
    <row r="34" spans="1:6" ht="12" customHeight="1">
      <c r="A34" s="897" t="s">
        <v>1347</v>
      </c>
      <c r="B34" s="898">
        <v>210</v>
      </c>
      <c r="C34" s="916">
        <v>3765</v>
      </c>
      <c r="D34" s="899">
        <v>5253</v>
      </c>
      <c r="E34" s="916">
        <v>7000</v>
      </c>
      <c r="F34" s="883"/>
    </row>
    <row r="35" spans="1:6" ht="12" customHeight="1">
      <c r="A35" s="908" t="s">
        <v>1270</v>
      </c>
      <c r="B35" s="909">
        <v>215</v>
      </c>
      <c r="C35" s="917"/>
      <c r="D35" s="918"/>
      <c r="E35" s="917"/>
      <c r="F35" s="883"/>
    </row>
    <row r="36" spans="1:6" ht="12" customHeight="1">
      <c r="A36" s="904" t="s">
        <v>1310</v>
      </c>
      <c r="B36" s="905"/>
      <c r="C36" s="914"/>
      <c r="D36" s="906"/>
      <c r="E36" s="914"/>
      <c r="F36" s="883"/>
    </row>
    <row r="37" spans="1:6" ht="12" customHeight="1">
      <c r="A37" s="897" t="s">
        <v>1311</v>
      </c>
      <c r="B37" s="898">
        <v>220</v>
      </c>
      <c r="C37" s="916"/>
      <c r="D37" s="899"/>
      <c r="E37" s="916"/>
      <c r="F37" s="883"/>
    </row>
    <row r="38" spans="1:6" ht="12" customHeight="1">
      <c r="A38" s="908" t="s">
        <v>1314</v>
      </c>
      <c r="B38" s="909">
        <v>225</v>
      </c>
      <c r="C38" s="917">
        <v>288</v>
      </c>
      <c r="D38" s="918">
        <v>402</v>
      </c>
      <c r="E38" s="917">
        <v>600</v>
      </c>
      <c r="F38" s="883"/>
    </row>
    <row r="39" spans="1:6" ht="12" customHeight="1">
      <c r="A39" s="908" t="s">
        <v>1315</v>
      </c>
      <c r="B39" s="909">
        <v>230</v>
      </c>
      <c r="C39" s="917">
        <v>27</v>
      </c>
      <c r="D39" s="918">
        <v>52</v>
      </c>
      <c r="E39" s="917">
        <v>60</v>
      </c>
      <c r="F39" s="883"/>
    </row>
    <row r="40" spans="1:6" ht="12" customHeight="1">
      <c r="A40" s="904" t="s">
        <v>98</v>
      </c>
      <c r="B40" s="905">
        <v>235</v>
      </c>
      <c r="C40" s="2483">
        <v>94</v>
      </c>
      <c r="D40" s="919">
        <v>45</v>
      </c>
      <c r="E40" s="2483">
        <v>600</v>
      </c>
      <c r="F40" s="883"/>
    </row>
    <row r="41" spans="1:6" ht="12" customHeight="1">
      <c r="A41" s="2938" t="s">
        <v>711</v>
      </c>
      <c r="B41" s="2939">
        <v>237</v>
      </c>
      <c r="C41" s="2483"/>
      <c r="D41" s="919"/>
      <c r="E41" s="2483"/>
      <c r="F41" s="883"/>
    </row>
    <row r="42" spans="1:6" ht="12" customHeight="1">
      <c r="A42" s="904" t="s">
        <v>1327</v>
      </c>
      <c r="B42" s="905"/>
      <c r="C42" s="914"/>
      <c r="D42" s="906"/>
      <c r="E42" s="914"/>
      <c r="F42" s="883"/>
    </row>
    <row r="43" spans="1:6" ht="12" customHeight="1">
      <c r="A43" s="901" t="s">
        <v>83</v>
      </c>
      <c r="B43" s="902"/>
      <c r="C43" s="915"/>
      <c r="D43" s="920"/>
      <c r="E43" s="915"/>
      <c r="F43" s="883"/>
    </row>
    <row r="44" spans="1:6" ht="12" customHeight="1">
      <c r="A44" s="897" t="s">
        <v>99</v>
      </c>
      <c r="B44" s="898">
        <v>240</v>
      </c>
      <c r="C44" s="916"/>
      <c r="D44" s="899"/>
      <c r="E44" s="916"/>
      <c r="F44" s="883"/>
    </row>
    <row r="45" spans="1:6" ht="12" customHeight="1">
      <c r="A45" s="897" t="s">
        <v>100</v>
      </c>
      <c r="B45" s="898">
        <v>245</v>
      </c>
      <c r="C45" s="916"/>
      <c r="D45" s="899"/>
      <c r="E45" s="916"/>
      <c r="F45" s="883"/>
    </row>
    <row r="46" spans="1:6" ht="12" customHeight="1">
      <c r="A46" s="908" t="s">
        <v>1336</v>
      </c>
      <c r="B46" s="909">
        <v>250</v>
      </c>
      <c r="C46" s="917"/>
      <c r="D46" s="918"/>
      <c r="E46" s="917"/>
      <c r="F46" s="883"/>
    </row>
    <row r="47" spans="1:6" ht="12" customHeight="1">
      <c r="A47" s="904" t="s">
        <v>1337</v>
      </c>
      <c r="B47" s="905"/>
      <c r="C47" s="914"/>
      <c r="D47" s="906"/>
      <c r="E47" s="914"/>
      <c r="F47" s="883"/>
    </row>
    <row r="48" spans="1:6" ht="12" customHeight="1">
      <c r="A48" s="897" t="s">
        <v>84</v>
      </c>
      <c r="B48" s="898">
        <v>255</v>
      </c>
      <c r="C48" s="916">
        <v>580</v>
      </c>
      <c r="D48" s="899">
        <v>348</v>
      </c>
      <c r="E48" s="916">
        <v>1000</v>
      </c>
      <c r="F48" s="883"/>
    </row>
    <row r="49" spans="1:6" ht="12" customHeight="1">
      <c r="A49" s="897" t="s">
        <v>87</v>
      </c>
      <c r="B49" s="898">
        <v>260</v>
      </c>
      <c r="C49" s="916"/>
      <c r="D49" s="899"/>
      <c r="E49" s="916"/>
      <c r="F49" s="883"/>
    </row>
    <row r="50" spans="1:6" ht="12" customHeight="1">
      <c r="A50" s="2936" t="s">
        <v>1256</v>
      </c>
      <c r="B50" s="2937">
        <v>263</v>
      </c>
      <c r="C50" s="916"/>
      <c r="D50" s="899"/>
      <c r="E50" s="916"/>
      <c r="F50" s="883"/>
    </row>
    <row r="51" spans="1:6" ht="12" customHeight="1">
      <c r="A51" s="908" t="s">
        <v>1344</v>
      </c>
      <c r="B51" s="909">
        <v>265</v>
      </c>
      <c r="C51" s="917"/>
      <c r="D51" s="918"/>
      <c r="E51" s="917"/>
      <c r="F51" s="883"/>
    </row>
    <row r="52" spans="1:6" ht="12" customHeight="1">
      <c r="A52" s="908" t="s">
        <v>1345</v>
      </c>
      <c r="B52" s="909">
        <v>270</v>
      </c>
      <c r="C52" s="917"/>
      <c r="D52" s="918"/>
      <c r="E52" s="917"/>
      <c r="F52" s="883"/>
    </row>
    <row r="53" spans="1:6" ht="12" customHeight="1">
      <c r="A53" s="908" t="s">
        <v>1346</v>
      </c>
      <c r="B53" s="909">
        <v>275</v>
      </c>
      <c r="C53" s="917"/>
      <c r="D53" s="918"/>
      <c r="E53" s="917"/>
      <c r="F53" s="883"/>
    </row>
    <row r="54" spans="1:6" ht="12" customHeight="1">
      <c r="A54" s="904" t="s">
        <v>88</v>
      </c>
      <c r="B54" s="905"/>
      <c r="C54" s="914"/>
      <c r="D54" s="906"/>
      <c r="E54" s="914"/>
      <c r="F54" s="883"/>
    </row>
    <row r="55" spans="1:6" ht="12" customHeight="1">
      <c r="A55" s="901" t="s">
        <v>89</v>
      </c>
      <c r="B55" s="902"/>
      <c r="C55" s="915"/>
      <c r="D55" s="920"/>
      <c r="E55" s="915"/>
      <c r="F55" s="883"/>
    </row>
    <row r="56" spans="1:6" ht="12" customHeight="1">
      <c r="A56" s="901" t="s">
        <v>1309</v>
      </c>
      <c r="B56" s="902"/>
      <c r="C56" s="915"/>
      <c r="D56" s="920"/>
      <c r="E56" s="915"/>
      <c r="F56" s="883"/>
    </row>
    <row r="57" spans="1:6" ht="12" customHeight="1">
      <c r="A57" s="897" t="s">
        <v>1347</v>
      </c>
      <c r="B57" s="898">
        <v>280</v>
      </c>
      <c r="C57" s="916"/>
      <c r="D57" s="899"/>
      <c r="E57" s="916"/>
      <c r="F57" s="883"/>
    </row>
    <row r="58" spans="1:6" ht="12" customHeight="1">
      <c r="A58" s="897" t="s">
        <v>1270</v>
      </c>
      <c r="B58" s="898">
        <v>285</v>
      </c>
      <c r="C58" s="916"/>
      <c r="D58" s="899"/>
      <c r="E58" s="916"/>
      <c r="F58" s="883"/>
    </row>
    <row r="59" spans="1:6" ht="12" customHeight="1">
      <c r="A59" s="904" t="s">
        <v>1310</v>
      </c>
      <c r="B59" s="905"/>
      <c r="C59" s="914"/>
      <c r="D59" s="906"/>
      <c r="E59" s="914"/>
      <c r="F59" s="883"/>
    </row>
    <row r="60" spans="1:6" ht="12" customHeight="1">
      <c r="A60" s="897" t="s">
        <v>1311</v>
      </c>
      <c r="B60" s="898">
        <v>290</v>
      </c>
      <c r="C60" s="916"/>
      <c r="D60" s="899"/>
      <c r="E60" s="916"/>
      <c r="F60" s="883"/>
    </row>
    <row r="61" spans="1:6" ht="12" customHeight="1">
      <c r="A61" s="897" t="s">
        <v>1314</v>
      </c>
      <c r="B61" s="898">
        <v>295</v>
      </c>
      <c r="C61" s="916"/>
      <c r="D61" s="899"/>
      <c r="E61" s="916"/>
      <c r="F61" s="883"/>
    </row>
    <row r="62" spans="1:6" ht="12" customHeight="1">
      <c r="A62" s="908" t="s">
        <v>1315</v>
      </c>
      <c r="B62" s="909">
        <v>300</v>
      </c>
      <c r="C62" s="917"/>
      <c r="D62" s="918"/>
      <c r="E62" s="917"/>
      <c r="F62" s="883"/>
    </row>
    <row r="63" spans="1:6" ht="3.95" customHeight="1">
      <c r="A63" s="921"/>
      <c r="B63" s="921"/>
      <c r="C63" s="922"/>
      <c r="D63" s="922"/>
      <c r="E63" s="922"/>
      <c r="F63" s="923"/>
    </row>
    <row r="64" spans="1:6" ht="12" customHeight="1">
      <c r="A64" s="921"/>
      <c r="B64" s="921"/>
      <c r="C64" s="922"/>
      <c r="D64" s="922"/>
      <c r="E64" s="922"/>
      <c r="F64" s="923"/>
    </row>
    <row r="65" spans="1:6" ht="12" customHeight="1">
      <c r="A65" s="880" t="s">
        <v>1019</v>
      </c>
      <c r="B65" s="881">
        <f>B1</f>
        <v>270</v>
      </c>
      <c r="C65" s="882"/>
      <c r="D65" s="882"/>
      <c r="E65" s="880" t="s">
        <v>1020</v>
      </c>
      <c r="F65" s="883"/>
    </row>
    <row r="66" spans="1:6" ht="12" customHeight="1">
      <c r="A66" s="882"/>
      <c r="B66" s="881"/>
      <c r="C66" s="882"/>
      <c r="D66" s="882"/>
      <c r="E66" s="880" t="s">
        <v>1212</v>
      </c>
      <c r="F66" s="883"/>
    </row>
    <row r="67" spans="1:6" ht="12" customHeight="1">
      <c r="A67" s="882"/>
      <c r="B67" s="881"/>
      <c r="C67" s="882"/>
      <c r="D67" s="882"/>
      <c r="E67" s="880" t="str">
        <f>E3</f>
        <v>2016-2017</v>
      </c>
      <c r="F67" s="883"/>
    </row>
    <row r="68" spans="1:6" ht="3" customHeight="1">
      <c r="A68" s="882"/>
      <c r="B68" s="881"/>
      <c r="C68" s="882"/>
      <c r="D68" s="882"/>
      <c r="E68" s="882"/>
      <c r="F68" s="883"/>
    </row>
    <row r="69" spans="1:6" ht="12" customHeight="1">
      <c r="A69" s="882"/>
      <c r="B69" s="881"/>
      <c r="C69" s="885" t="s">
        <v>1213</v>
      </c>
      <c r="D69" s="885" t="s">
        <v>1213</v>
      </c>
      <c r="E69" s="885" t="s">
        <v>1213</v>
      </c>
      <c r="F69" s="883"/>
    </row>
    <row r="70" spans="1:6" ht="12" customHeight="1">
      <c r="A70" s="886" t="s">
        <v>164</v>
      </c>
      <c r="B70" s="887" t="s">
        <v>1045</v>
      </c>
      <c r="C70" s="888" t="str">
        <f>C6</f>
        <v>2014-2015</v>
      </c>
      <c r="D70" s="888" t="str">
        <f>D6</f>
        <v>2015-2016</v>
      </c>
      <c r="E70" s="888" t="str">
        <f>E6</f>
        <v>2016-2017</v>
      </c>
      <c r="F70" s="883"/>
    </row>
    <row r="71" spans="1:6" ht="12" customHeight="1">
      <c r="A71" s="886" t="s">
        <v>81</v>
      </c>
      <c r="B71" s="891">
        <v>18</v>
      </c>
      <c r="C71" s="892" t="s">
        <v>1139</v>
      </c>
      <c r="D71" s="892" t="s">
        <v>1139</v>
      </c>
      <c r="E71" s="892" t="s">
        <v>1215</v>
      </c>
      <c r="F71" s="883"/>
    </row>
    <row r="72" spans="1:6" ht="12" customHeight="1">
      <c r="A72" s="894"/>
      <c r="B72" s="895" t="s">
        <v>1051</v>
      </c>
      <c r="C72" s="896">
        <v>1</v>
      </c>
      <c r="D72" s="896">
        <v>2</v>
      </c>
      <c r="E72" s="896">
        <v>3</v>
      </c>
      <c r="F72" s="883"/>
    </row>
    <row r="73" spans="1:6" ht="12" customHeight="1">
      <c r="A73" s="904" t="s">
        <v>98</v>
      </c>
      <c r="B73" s="905">
        <v>305</v>
      </c>
      <c r="C73" s="2483"/>
      <c r="D73" s="919"/>
      <c r="E73" s="2483"/>
      <c r="F73" s="883"/>
    </row>
    <row r="74" spans="1:6" ht="12" customHeight="1">
      <c r="A74" s="2938" t="s">
        <v>1318</v>
      </c>
      <c r="B74" s="2939">
        <v>307</v>
      </c>
      <c r="C74" s="2483"/>
      <c r="D74" s="919"/>
      <c r="E74" s="2483"/>
      <c r="F74" s="883"/>
    </row>
    <row r="75" spans="1:6" ht="12" customHeight="1">
      <c r="A75" s="908" t="s">
        <v>1327</v>
      </c>
      <c r="B75" s="909">
        <v>310</v>
      </c>
      <c r="C75" s="917"/>
      <c r="D75" s="918"/>
      <c r="E75" s="917"/>
      <c r="F75" s="883"/>
    </row>
    <row r="76" spans="1:6" ht="12" customHeight="1">
      <c r="A76" s="908" t="s">
        <v>1337</v>
      </c>
      <c r="B76" s="909">
        <v>315</v>
      </c>
      <c r="C76" s="917"/>
      <c r="D76" s="918"/>
      <c r="E76" s="917"/>
      <c r="F76" s="883"/>
    </row>
    <row r="77" spans="1:6" ht="12" customHeight="1">
      <c r="A77" s="908" t="s">
        <v>1345</v>
      </c>
      <c r="B77" s="909">
        <v>320</v>
      </c>
      <c r="C77" s="917"/>
      <c r="D77" s="918"/>
      <c r="E77" s="917"/>
      <c r="F77" s="883"/>
    </row>
    <row r="78" spans="1:6" ht="12" customHeight="1">
      <c r="A78" s="904" t="s">
        <v>1346</v>
      </c>
      <c r="B78" s="905">
        <v>325</v>
      </c>
      <c r="C78" s="2483"/>
      <c r="D78" s="919"/>
      <c r="E78" s="2483"/>
      <c r="F78" s="883"/>
    </row>
    <row r="79" spans="1:6" ht="12" customHeight="1">
      <c r="A79" s="904" t="s">
        <v>90</v>
      </c>
      <c r="B79" s="905"/>
      <c r="C79" s="914"/>
      <c r="D79" s="906"/>
      <c r="E79" s="914"/>
      <c r="F79" s="883"/>
    </row>
    <row r="80" spans="1:6" ht="12" customHeight="1">
      <c r="A80" s="901" t="s">
        <v>1309</v>
      </c>
      <c r="B80" s="902"/>
      <c r="C80" s="915"/>
      <c r="D80" s="920"/>
      <c r="E80" s="915"/>
      <c r="F80" s="883"/>
    </row>
    <row r="81" spans="1:6" ht="12" customHeight="1">
      <c r="A81" s="897" t="s">
        <v>1347</v>
      </c>
      <c r="B81" s="898">
        <v>330</v>
      </c>
      <c r="C81" s="916"/>
      <c r="D81" s="899"/>
      <c r="E81" s="916"/>
      <c r="F81" s="883"/>
    </row>
    <row r="82" spans="1:6" ht="12" customHeight="1">
      <c r="A82" s="908" t="s">
        <v>1270</v>
      </c>
      <c r="B82" s="909">
        <v>335</v>
      </c>
      <c r="C82" s="917"/>
      <c r="D82" s="918"/>
      <c r="E82" s="917"/>
      <c r="F82" s="883"/>
    </row>
    <row r="83" spans="1:6" ht="12" customHeight="1">
      <c r="A83" s="904" t="s">
        <v>1310</v>
      </c>
      <c r="B83" s="905"/>
      <c r="C83" s="914"/>
      <c r="D83" s="906"/>
      <c r="E83" s="914"/>
      <c r="F83" s="883"/>
    </row>
    <row r="84" spans="1:6" ht="12" customHeight="1">
      <c r="A84" s="897" t="s">
        <v>1311</v>
      </c>
      <c r="B84" s="898">
        <v>340</v>
      </c>
      <c r="C84" s="916"/>
      <c r="D84" s="899"/>
      <c r="E84" s="916"/>
      <c r="F84" s="883"/>
    </row>
    <row r="85" spans="1:6" ht="12" customHeight="1">
      <c r="A85" s="908" t="s">
        <v>1314</v>
      </c>
      <c r="B85" s="909">
        <v>345</v>
      </c>
      <c r="C85" s="917"/>
      <c r="D85" s="918"/>
      <c r="E85" s="917"/>
      <c r="F85" s="883"/>
    </row>
    <row r="86" spans="1:6" ht="12" customHeight="1">
      <c r="A86" s="908" t="s">
        <v>1315</v>
      </c>
      <c r="B86" s="909">
        <v>350</v>
      </c>
      <c r="C86" s="917"/>
      <c r="D86" s="918"/>
      <c r="E86" s="917"/>
      <c r="F86" s="883"/>
    </row>
    <row r="87" spans="1:6" ht="12" customHeight="1">
      <c r="A87" s="897" t="s">
        <v>273</v>
      </c>
      <c r="B87" s="898">
        <v>355</v>
      </c>
      <c r="C87" s="916"/>
      <c r="D87" s="899"/>
      <c r="E87" s="916"/>
      <c r="F87" s="883"/>
    </row>
    <row r="88" spans="1:6" ht="12" customHeight="1">
      <c r="A88" s="2936" t="s">
        <v>1318</v>
      </c>
      <c r="B88" s="2937">
        <v>357</v>
      </c>
      <c r="C88" s="916"/>
      <c r="D88" s="899"/>
      <c r="E88" s="916"/>
      <c r="F88" s="883"/>
    </row>
    <row r="89" spans="1:6" ht="12" customHeight="1">
      <c r="A89" s="908" t="s">
        <v>1327</v>
      </c>
      <c r="B89" s="909">
        <v>360</v>
      </c>
      <c r="C89" s="917"/>
      <c r="D89" s="918"/>
      <c r="E89" s="917"/>
      <c r="F89" s="883"/>
    </row>
    <row r="90" spans="1:6" ht="12" customHeight="1">
      <c r="A90" s="904" t="s">
        <v>1337</v>
      </c>
      <c r="B90" s="905"/>
      <c r="C90" s="914"/>
      <c r="D90" s="906"/>
      <c r="E90" s="914"/>
      <c r="F90" s="883"/>
    </row>
    <row r="91" spans="1:6" ht="12" customHeight="1">
      <c r="A91" s="901" t="s">
        <v>85</v>
      </c>
      <c r="B91" s="902"/>
      <c r="C91" s="915"/>
      <c r="D91" s="920"/>
      <c r="E91" s="915"/>
      <c r="F91" s="883"/>
    </row>
    <row r="92" spans="1:6" ht="12" customHeight="1">
      <c r="A92" s="897" t="s">
        <v>86</v>
      </c>
      <c r="B92" s="898">
        <v>365</v>
      </c>
      <c r="C92" s="916"/>
      <c r="D92" s="899"/>
      <c r="E92" s="916"/>
      <c r="F92" s="883"/>
    </row>
    <row r="93" spans="1:6" ht="12" customHeight="1">
      <c r="A93" s="897" t="s">
        <v>796</v>
      </c>
      <c r="B93" s="898">
        <v>370</v>
      </c>
      <c r="C93" s="916"/>
      <c r="D93" s="899"/>
      <c r="E93" s="916"/>
      <c r="F93" s="883"/>
    </row>
    <row r="94" spans="1:6" ht="12" customHeight="1">
      <c r="A94" s="897" t="s">
        <v>1344</v>
      </c>
      <c r="B94" s="898">
        <v>375</v>
      </c>
      <c r="C94" s="916"/>
      <c r="D94" s="899"/>
      <c r="E94" s="916"/>
      <c r="F94" s="883"/>
    </row>
    <row r="95" spans="1:6" ht="12" customHeight="1">
      <c r="A95" s="908" t="s">
        <v>1345</v>
      </c>
      <c r="B95" s="909">
        <v>380</v>
      </c>
      <c r="C95" s="917"/>
      <c r="D95" s="918"/>
      <c r="E95" s="917"/>
      <c r="F95" s="883"/>
    </row>
    <row r="96" spans="1:6" ht="12" customHeight="1">
      <c r="A96" s="908" t="s">
        <v>1346</v>
      </c>
      <c r="B96" s="909">
        <v>385</v>
      </c>
      <c r="C96" s="917"/>
      <c r="D96" s="918"/>
      <c r="E96" s="917"/>
      <c r="F96" s="883"/>
    </row>
    <row r="97" spans="1:6" ht="12" customHeight="1">
      <c r="A97" s="904" t="s">
        <v>102</v>
      </c>
      <c r="B97" s="905"/>
      <c r="C97" s="914"/>
      <c r="D97" s="906"/>
      <c r="E97" s="914"/>
      <c r="F97" s="883"/>
    </row>
    <row r="98" spans="1:6" ht="12" customHeight="1">
      <c r="A98" s="901" t="s">
        <v>1309</v>
      </c>
      <c r="B98" s="902"/>
      <c r="C98" s="915"/>
      <c r="D98" s="920"/>
      <c r="E98" s="915"/>
      <c r="F98" s="883"/>
    </row>
    <row r="99" spans="1:6" ht="12" customHeight="1">
      <c r="A99" s="897" t="s">
        <v>1347</v>
      </c>
      <c r="B99" s="898">
        <v>390</v>
      </c>
      <c r="C99" s="916"/>
      <c r="D99" s="899"/>
      <c r="E99" s="916"/>
      <c r="F99" s="883"/>
    </row>
    <row r="100" spans="1:6" ht="12" customHeight="1">
      <c r="A100" s="908" t="s">
        <v>1270</v>
      </c>
      <c r="B100" s="909">
        <v>395</v>
      </c>
      <c r="C100" s="917"/>
      <c r="D100" s="918"/>
      <c r="E100" s="917"/>
      <c r="F100" s="883"/>
    </row>
    <row r="101" spans="1:6" ht="12" customHeight="1">
      <c r="A101" s="904" t="s">
        <v>1310</v>
      </c>
      <c r="B101" s="905"/>
      <c r="C101" s="914"/>
      <c r="D101" s="906"/>
      <c r="E101" s="914"/>
      <c r="F101" s="883"/>
    </row>
    <row r="102" spans="1:6" ht="12" customHeight="1">
      <c r="A102" s="897" t="s">
        <v>1311</v>
      </c>
      <c r="B102" s="898">
        <v>400</v>
      </c>
      <c r="C102" s="916"/>
      <c r="D102" s="899"/>
      <c r="E102" s="916"/>
      <c r="F102" s="883"/>
    </row>
    <row r="103" spans="1:6" ht="12" customHeight="1">
      <c r="A103" s="908" t="s">
        <v>1314</v>
      </c>
      <c r="B103" s="909">
        <v>405</v>
      </c>
      <c r="C103" s="917"/>
      <c r="D103" s="918"/>
      <c r="E103" s="917"/>
      <c r="F103" s="883"/>
    </row>
    <row r="104" spans="1:6" ht="12" customHeight="1">
      <c r="A104" s="908" t="s">
        <v>1315</v>
      </c>
      <c r="B104" s="909">
        <v>410</v>
      </c>
      <c r="C104" s="917"/>
      <c r="D104" s="918"/>
      <c r="E104" s="917"/>
      <c r="F104" s="883"/>
    </row>
    <row r="105" spans="1:6" ht="12" customHeight="1">
      <c r="A105" s="897" t="s">
        <v>911</v>
      </c>
      <c r="B105" s="898">
        <v>415</v>
      </c>
      <c r="C105" s="916"/>
      <c r="D105" s="899"/>
      <c r="E105" s="916"/>
      <c r="F105" s="883"/>
    </row>
    <row r="106" spans="1:6" ht="12" customHeight="1">
      <c r="A106" s="908" t="s">
        <v>1327</v>
      </c>
      <c r="B106" s="909">
        <v>420</v>
      </c>
      <c r="C106" s="917"/>
      <c r="D106" s="918"/>
      <c r="E106" s="917"/>
      <c r="F106" s="883"/>
    </row>
    <row r="107" spans="1:6" ht="12" customHeight="1">
      <c r="A107" s="908" t="s">
        <v>1337</v>
      </c>
      <c r="B107" s="909">
        <v>425</v>
      </c>
      <c r="C107" s="917"/>
      <c r="D107" s="918"/>
      <c r="E107" s="917"/>
      <c r="F107" s="883"/>
    </row>
    <row r="108" spans="1:6" ht="12" customHeight="1">
      <c r="A108" s="908" t="s">
        <v>1345</v>
      </c>
      <c r="B108" s="909">
        <v>430</v>
      </c>
      <c r="C108" s="917"/>
      <c r="D108" s="918"/>
      <c r="E108" s="917"/>
      <c r="F108" s="883"/>
    </row>
    <row r="109" spans="1:6" ht="12" customHeight="1">
      <c r="A109" s="908" t="s">
        <v>1346</v>
      </c>
      <c r="B109" s="909">
        <v>435</v>
      </c>
      <c r="C109" s="917"/>
      <c r="D109" s="918"/>
      <c r="E109" s="917"/>
      <c r="F109" s="883"/>
    </row>
    <row r="110" spans="1:6" ht="12" customHeight="1">
      <c r="A110" s="375" t="s">
        <v>1745</v>
      </c>
      <c r="B110" s="379"/>
      <c r="C110" s="3852"/>
      <c r="D110" s="3851"/>
      <c r="E110" s="3854"/>
      <c r="F110" s="883"/>
    </row>
    <row r="111" spans="1:6" ht="12" customHeight="1">
      <c r="A111" s="378" t="s">
        <v>1544</v>
      </c>
      <c r="B111" s="379"/>
      <c r="C111" s="3853"/>
      <c r="D111" s="2635"/>
      <c r="E111" s="3854"/>
      <c r="F111" s="883"/>
    </row>
    <row r="112" spans="1:6" ht="12" customHeight="1">
      <c r="A112" s="381" t="s">
        <v>1746</v>
      </c>
      <c r="B112" s="2903">
        <v>565</v>
      </c>
      <c r="C112" s="3959"/>
      <c r="D112" s="3951"/>
      <c r="E112" s="3958"/>
      <c r="F112" s="883"/>
    </row>
    <row r="113" spans="1:6" ht="12" customHeight="1">
      <c r="A113" s="384" t="s">
        <v>1732</v>
      </c>
      <c r="B113" s="2902">
        <v>570</v>
      </c>
      <c r="C113" s="3954"/>
      <c r="D113" s="3954"/>
      <c r="E113" s="3960"/>
      <c r="F113" s="883"/>
    </row>
    <row r="114" spans="1:6" ht="12" customHeight="1">
      <c r="A114" s="378" t="s">
        <v>944</v>
      </c>
      <c r="B114" s="2900"/>
      <c r="C114" s="3961"/>
      <c r="D114" s="3955"/>
      <c r="E114" s="3962"/>
      <c r="F114" s="883"/>
    </row>
    <row r="115" spans="1:6" ht="12" customHeight="1">
      <c r="A115" s="381" t="s">
        <v>1748</v>
      </c>
      <c r="B115" s="2900">
        <v>575</v>
      </c>
      <c r="C115" s="3959"/>
      <c r="D115" s="3951"/>
      <c r="E115" s="3963"/>
      <c r="F115" s="883"/>
    </row>
    <row r="116" spans="1:6" ht="12" customHeight="1">
      <c r="A116" s="384" t="s">
        <v>1747</v>
      </c>
      <c r="B116" s="2902">
        <v>580</v>
      </c>
      <c r="C116" s="3954"/>
      <c r="D116" s="3954"/>
      <c r="E116" s="3960"/>
      <c r="F116" s="883"/>
    </row>
    <row r="117" spans="1:6" ht="12" customHeight="1">
      <c r="A117" s="384" t="s">
        <v>1749</v>
      </c>
      <c r="B117" s="2902">
        <v>585</v>
      </c>
      <c r="C117" s="3954"/>
      <c r="D117" s="3954"/>
      <c r="E117" s="3960"/>
      <c r="F117" s="883"/>
    </row>
    <row r="118" spans="1:6" ht="12" customHeight="1">
      <c r="A118" s="384" t="s">
        <v>1439</v>
      </c>
      <c r="B118" s="2902">
        <v>590</v>
      </c>
      <c r="C118" s="3954"/>
      <c r="D118" s="3954"/>
      <c r="E118" s="3960"/>
      <c r="F118" s="883"/>
    </row>
    <row r="119" spans="1:6" ht="12" customHeight="1">
      <c r="A119" s="384" t="s">
        <v>711</v>
      </c>
      <c r="B119" s="2902">
        <v>595</v>
      </c>
      <c r="C119" s="3954"/>
      <c r="D119" s="3954"/>
      <c r="E119" s="3960"/>
      <c r="F119" s="883"/>
    </row>
    <row r="120" spans="1:6" ht="12" customHeight="1">
      <c r="A120" s="384" t="s">
        <v>683</v>
      </c>
      <c r="B120" s="2902">
        <v>600</v>
      </c>
      <c r="C120" s="3954"/>
      <c r="D120" s="3954"/>
      <c r="E120" s="3960"/>
      <c r="F120" s="883"/>
    </row>
    <row r="121" spans="1:6" ht="12" customHeight="1">
      <c r="A121" s="384" t="s">
        <v>1738</v>
      </c>
      <c r="B121" s="2902">
        <v>605</v>
      </c>
      <c r="C121" s="3954"/>
      <c r="D121" s="3954"/>
      <c r="E121" s="3960"/>
      <c r="F121" s="883"/>
    </row>
    <row r="122" spans="1:6" ht="12" customHeight="1">
      <c r="A122" s="384" t="s">
        <v>1739</v>
      </c>
      <c r="B122" s="2902">
        <v>610</v>
      </c>
      <c r="C122" s="3954"/>
      <c r="D122" s="3954"/>
      <c r="E122" s="3960"/>
      <c r="F122" s="883"/>
    </row>
    <row r="123" spans="1:6" ht="12" customHeight="1">
      <c r="A123" s="384" t="s">
        <v>943</v>
      </c>
      <c r="B123" s="2902">
        <v>615</v>
      </c>
      <c r="C123" s="3964"/>
      <c r="D123" s="3954"/>
      <c r="E123" s="3960"/>
      <c r="F123" s="883"/>
    </row>
    <row r="124" spans="1:6" ht="12" customHeight="1">
      <c r="A124" s="880" t="s">
        <v>1019</v>
      </c>
      <c r="B124" s="881">
        <f>B1</f>
        <v>270</v>
      </c>
      <c r="C124" s="882"/>
      <c r="D124" s="882"/>
      <c r="E124" s="880" t="s">
        <v>1020</v>
      </c>
      <c r="F124" s="883"/>
    </row>
    <row r="125" spans="1:6" ht="12" customHeight="1">
      <c r="A125" s="882"/>
      <c r="B125" s="881"/>
      <c r="C125" s="882"/>
      <c r="D125" s="882"/>
      <c r="E125" s="880" t="s">
        <v>1212</v>
      </c>
      <c r="F125" s="883"/>
    </row>
    <row r="126" spans="1:6" ht="12" customHeight="1">
      <c r="A126" s="882"/>
      <c r="B126" s="881"/>
      <c r="C126" s="882"/>
      <c r="D126" s="882"/>
      <c r="E126" s="880" t="str">
        <f>E3</f>
        <v>2016-2017</v>
      </c>
      <c r="F126" s="883"/>
    </row>
    <row r="127" spans="1:6" ht="12" customHeight="1">
      <c r="A127" s="882"/>
      <c r="B127" s="881"/>
      <c r="C127" s="882"/>
      <c r="D127" s="882"/>
      <c r="E127" s="882"/>
      <c r="F127" s="883"/>
    </row>
    <row r="128" spans="1:6" ht="12" customHeight="1">
      <c r="A128" s="882"/>
      <c r="B128" s="881"/>
      <c r="C128" s="885" t="s">
        <v>1213</v>
      </c>
      <c r="D128" s="885" t="s">
        <v>1213</v>
      </c>
      <c r="E128" s="885" t="s">
        <v>1213</v>
      </c>
      <c r="F128" s="883"/>
    </row>
    <row r="129" spans="1:6" ht="12" customHeight="1">
      <c r="A129" s="886" t="s">
        <v>164</v>
      </c>
      <c r="B129" s="887" t="s">
        <v>1045</v>
      </c>
      <c r="C129" s="888" t="str">
        <f>C6</f>
        <v>2014-2015</v>
      </c>
      <c r="D129" s="888" t="str">
        <f t="shared" ref="D129:E129" si="0">D6</f>
        <v>2015-2016</v>
      </c>
      <c r="E129" s="888" t="str">
        <f t="shared" si="0"/>
        <v>2016-2017</v>
      </c>
      <c r="F129" s="883"/>
    </row>
    <row r="130" spans="1:6" ht="12" customHeight="1">
      <c r="A130" s="886" t="s">
        <v>81</v>
      </c>
      <c r="B130" s="891">
        <v>18</v>
      </c>
      <c r="C130" s="892" t="s">
        <v>1139</v>
      </c>
      <c r="D130" s="892" t="s">
        <v>1139</v>
      </c>
      <c r="E130" s="892" t="s">
        <v>1215</v>
      </c>
      <c r="F130" s="883"/>
    </row>
    <row r="131" spans="1:6" ht="12" customHeight="1">
      <c r="A131" s="894"/>
      <c r="B131" s="895" t="s">
        <v>1051</v>
      </c>
      <c r="C131" s="896">
        <v>1</v>
      </c>
      <c r="D131" s="896">
        <v>2</v>
      </c>
      <c r="E131" s="896">
        <v>3</v>
      </c>
      <c r="F131" s="883"/>
    </row>
    <row r="132" spans="1:6" ht="12" customHeight="1">
      <c r="A132" s="904" t="s">
        <v>1308</v>
      </c>
      <c r="B132" s="905"/>
      <c r="C132" s="914"/>
      <c r="D132" s="906"/>
      <c r="E132" s="914"/>
      <c r="F132" s="883"/>
    </row>
    <row r="133" spans="1:6" ht="12" customHeight="1">
      <c r="A133" s="901" t="s">
        <v>1309</v>
      </c>
      <c r="B133" s="902"/>
      <c r="C133" s="915"/>
      <c r="D133" s="920"/>
      <c r="E133" s="915"/>
      <c r="F133" s="883"/>
    </row>
    <row r="134" spans="1:6" ht="12" customHeight="1">
      <c r="A134" s="897" t="s">
        <v>1270</v>
      </c>
      <c r="B134" s="898">
        <v>440</v>
      </c>
      <c r="C134" s="916"/>
      <c r="D134" s="899"/>
      <c r="E134" s="916"/>
      <c r="F134" s="883"/>
    </row>
    <row r="135" spans="1:6" ht="12" customHeight="1">
      <c r="A135" s="904" t="s">
        <v>1310</v>
      </c>
      <c r="B135" s="905"/>
      <c r="C135" s="914"/>
      <c r="D135" s="906"/>
      <c r="E135" s="914"/>
      <c r="F135" s="883"/>
    </row>
    <row r="136" spans="1:6" ht="12" customHeight="1">
      <c r="A136" s="901" t="s">
        <v>1311</v>
      </c>
      <c r="B136" s="902">
        <v>445</v>
      </c>
      <c r="C136" s="2479"/>
      <c r="D136" s="903"/>
      <c r="E136" s="2479"/>
      <c r="F136" s="883"/>
    </row>
    <row r="137" spans="1:6" ht="12" customHeight="1">
      <c r="A137" s="908" t="s">
        <v>1314</v>
      </c>
      <c r="B137" s="909">
        <v>450</v>
      </c>
      <c r="C137" s="917"/>
      <c r="D137" s="918"/>
      <c r="E137" s="917"/>
      <c r="F137" s="883"/>
    </row>
    <row r="138" spans="1:6" ht="12" customHeight="1">
      <c r="A138" s="908" t="s">
        <v>1315</v>
      </c>
      <c r="B138" s="909">
        <v>455</v>
      </c>
      <c r="C138" s="917"/>
      <c r="D138" s="918"/>
      <c r="E138" s="917"/>
      <c r="F138" s="883"/>
    </row>
    <row r="139" spans="1:6" ht="12" customHeight="1">
      <c r="A139" s="897" t="s">
        <v>911</v>
      </c>
      <c r="B139" s="898">
        <v>460</v>
      </c>
      <c r="C139" s="916"/>
      <c r="D139" s="899"/>
      <c r="E139" s="916"/>
      <c r="F139" s="883"/>
    </row>
    <row r="140" spans="1:6" ht="12" customHeight="1">
      <c r="A140" s="904" t="s">
        <v>1318</v>
      </c>
      <c r="B140" s="905">
        <v>465</v>
      </c>
      <c r="C140" s="2483"/>
      <c r="D140" s="919"/>
      <c r="E140" s="2483"/>
      <c r="F140" s="883"/>
    </row>
    <row r="141" spans="1:6" ht="12" customHeight="1">
      <c r="A141" s="908" t="s">
        <v>1327</v>
      </c>
      <c r="B141" s="909">
        <v>470</v>
      </c>
      <c r="C141" s="917"/>
      <c r="D141" s="918"/>
      <c r="E141" s="917"/>
      <c r="F141" s="883"/>
    </row>
    <row r="142" spans="1:6" ht="2.1" hidden="1" customHeight="1">
      <c r="A142" s="921"/>
      <c r="B142" s="921"/>
      <c r="C142" s="922"/>
      <c r="D142" s="922"/>
      <c r="E142" s="922"/>
      <c r="F142" s="923"/>
    </row>
    <row r="143" spans="1:6" ht="12" customHeight="1">
      <c r="A143" s="924" t="s">
        <v>1337</v>
      </c>
      <c r="B143" s="925"/>
      <c r="C143" s="914"/>
      <c r="D143" s="906"/>
      <c r="E143" s="914"/>
      <c r="F143" s="883"/>
    </row>
    <row r="144" spans="1:6" ht="12" customHeight="1">
      <c r="A144" s="926" t="s">
        <v>1338</v>
      </c>
      <c r="B144" s="927">
        <v>475</v>
      </c>
      <c r="C144" s="916"/>
      <c r="D144" s="899"/>
      <c r="E144" s="916"/>
      <c r="F144" s="883"/>
    </row>
    <row r="145" spans="1:6" ht="12" customHeight="1">
      <c r="A145" s="924" t="s">
        <v>1339</v>
      </c>
      <c r="B145" s="925"/>
      <c r="C145" s="914"/>
      <c r="D145" s="906"/>
      <c r="E145" s="914"/>
      <c r="F145" s="883"/>
    </row>
    <row r="146" spans="1:6" ht="12" customHeight="1">
      <c r="A146" s="926" t="s">
        <v>1340</v>
      </c>
      <c r="B146" s="927">
        <v>480</v>
      </c>
      <c r="C146" s="916"/>
      <c r="D146" s="899"/>
      <c r="E146" s="916"/>
      <c r="F146" s="883"/>
    </row>
    <row r="147" spans="1:6" ht="12" customHeight="1">
      <c r="A147" s="928" t="s">
        <v>1341</v>
      </c>
      <c r="B147" s="929">
        <v>485</v>
      </c>
      <c r="C147" s="917"/>
      <c r="D147" s="918"/>
      <c r="E147" s="917"/>
      <c r="F147" s="883"/>
    </row>
    <row r="148" spans="1:6" ht="12" customHeight="1">
      <c r="A148" s="928" t="s">
        <v>291</v>
      </c>
      <c r="B148" s="929">
        <v>490</v>
      </c>
      <c r="C148" s="917"/>
      <c r="D148" s="918"/>
      <c r="E148" s="917"/>
      <c r="F148" s="883"/>
    </row>
    <row r="149" spans="1:6" ht="12" customHeight="1">
      <c r="A149" s="928" t="s">
        <v>1343</v>
      </c>
      <c r="B149" s="929">
        <v>495</v>
      </c>
      <c r="C149" s="917"/>
      <c r="D149" s="918"/>
      <c r="E149" s="917"/>
      <c r="F149" s="883"/>
    </row>
    <row r="150" spans="1:6" ht="12" customHeight="1">
      <c r="A150" s="928" t="s">
        <v>1344</v>
      </c>
      <c r="B150" s="929">
        <v>500</v>
      </c>
      <c r="C150" s="917"/>
      <c r="D150" s="918"/>
      <c r="E150" s="917"/>
      <c r="F150" s="883"/>
    </row>
    <row r="151" spans="1:6" ht="12" customHeight="1">
      <c r="A151" s="926" t="s">
        <v>1345</v>
      </c>
      <c r="B151" s="927">
        <v>505</v>
      </c>
      <c r="C151" s="916"/>
      <c r="D151" s="899"/>
      <c r="E151" s="916"/>
      <c r="F151" s="883"/>
    </row>
    <row r="152" spans="1:6" ht="12" customHeight="1">
      <c r="A152" s="928" t="s">
        <v>1346</v>
      </c>
      <c r="B152" s="929">
        <v>510</v>
      </c>
      <c r="C152" s="917"/>
      <c r="D152" s="918"/>
      <c r="E152" s="917"/>
      <c r="F152" s="883"/>
    </row>
    <row r="153" spans="1:6" ht="12" customHeight="1">
      <c r="A153" s="924" t="s">
        <v>292</v>
      </c>
      <c r="B153" s="925"/>
      <c r="C153" s="914"/>
      <c r="D153" s="906"/>
      <c r="E153" s="914"/>
      <c r="F153" s="883"/>
    </row>
    <row r="154" spans="1:6" ht="12" customHeight="1">
      <c r="A154" s="930" t="s">
        <v>293</v>
      </c>
      <c r="B154" s="931"/>
      <c r="C154" s="915"/>
      <c r="D154" s="920"/>
      <c r="E154" s="915"/>
      <c r="F154" s="883"/>
    </row>
    <row r="155" spans="1:6" ht="12" customHeight="1">
      <c r="A155" s="930" t="s">
        <v>1309</v>
      </c>
      <c r="B155" s="931"/>
      <c r="C155" s="915"/>
      <c r="D155" s="920"/>
      <c r="E155" s="915"/>
      <c r="F155" s="923"/>
    </row>
    <row r="156" spans="1:6" ht="12" customHeight="1">
      <c r="A156" s="926" t="s">
        <v>1270</v>
      </c>
      <c r="B156" s="927">
        <v>515</v>
      </c>
      <c r="C156" s="916"/>
      <c r="D156" s="899"/>
      <c r="E156" s="916"/>
      <c r="F156" s="923"/>
    </row>
    <row r="157" spans="1:6" ht="12" customHeight="1">
      <c r="A157" s="924" t="s">
        <v>1310</v>
      </c>
      <c r="B157" s="925"/>
      <c r="C157" s="914"/>
      <c r="D157" s="906"/>
      <c r="E157" s="914"/>
      <c r="F157" s="883"/>
    </row>
    <row r="158" spans="1:6" ht="12" customHeight="1">
      <c r="A158" s="926" t="s">
        <v>1348</v>
      </c>
      <c r="B158" s="927">
        <v>520</v>
      </c>
      <c r="C158" s="916"/>
      <c r="D158" s="899"/>
      <c r="E158" s="916"/>
      <c r="F158" s="883"/>
    </row>
    <row r="159" spans="1:6" ht="12" customHeight="1">
      <c r="A159" s="928" t="s">
        <v>1314</v>
      </c>
      <c r="B159" s="929">
        <v>525</v>
      </c>
      <c r="C159" s="917"/>
      <c r="D159" s="918"/>
      <c r="E159" s="917"/>
      <c r="F159" s="883"/>
    </row>
    <row r="160" spans="1:6" ht="12" customHeight="1">
      <c r="A160" s="928" t="s">
        <v>1315</v>
      </c>
      <c r="B160" s="929">
        <v>530</v>
      </c>
      <c r="C160" s="917"/>
      <c r="D160" s="918"/>
      <c r="E160" s="917"/>
      <c r="F160" s="883"/>
    </row>
    <row r="161" spans="1:6" ht="12" customHeight="1">
      <c r="A161" s="926" t="s">
        <v>911</v>
      </c>
      <c r="B161" s="927">
        <v>535</v>
      </c>
      <c r="C161" s="916"/>
      <c r="D161" s="899"/>
      <c r="E161" s="916"/>
      <c r="F161" s="883"/>
    </row>
    <row r="162" spans="1:6" ht="12" customHeight="1">
      <c r="A162" s="928" t="s">
        <v>294</v>
      </c>
      <c r="B162" s="929">
        <v>540</v>
      </c>
      <c r="C162" s="917"/>
      <c r="D162" s="918"/>
      <c r="E162" s="917"/>
      <c r="F162" s="883"/>
    </row>
    <row r="163" spans="1:6" ht="12" customHeight="1">
      <c r="A163" s="928" t="s">
        <v>295</v>
      </c>
      <c r="B163" s="929">
        <v>545</v>
      </c>
      <c r="C163" s="917">
        <v>344</v>
      </c>
      <c r="D163" s="918">
        <v>357</v>
      </c>
      <c r="E163" s="917">
        <v>500</v>
      </c>
      <c r="F163" s="883"/>
    </row>
    <row r="164" spans="1:6" ht="12" customHeight="1">
      <c r="A164" s="926" t="s">
        <v>300</v>
      </c>
      <c r="B164" s="927">
        <v>550</v>
      </c>
      <c r="C164" s="916">
        <v>300</v>
      </c>
      <c r="D164" s="899">
        <v>391</v>
      </c>
      <c r="E164" s="916">
        <v>2000</v>
      </c>
      <c r="F164" s="883"/>
    </row>
    <row r="165" spans="1:6" ht="12" customHeight="1">
      <c r="A165" s="928" t="s">
        <v>1345</v>
      </c>
      <c r="B165" s="929">
        <v>555</v>
      </c>
      <c r="C165" s="917"/>
      <c r="D165" s="918"/>
      <c r="E165" s="917"/>
      <c r="F165" s="883"/>
    </row>
    <row r="166" spans="1:6" ht="12" customHeight="1">
      <c r="A166" s="928" t="s">
        <v>1346</v>
      </c>
      <c r="B166" s="929">
        <v>560</v>
      </c>
      <c r="C166" s="2483"/>
      <c r="D166" s="918"/>
      <c r="E166" s="917"/>
      <c r="F166" s="883"/>
    </row>
    <row r="167" spans="1:6" ht="12" customHeight="1">
      <c r="A167" s="924" t="s">
        <v>1751</v>
      </c>
      <c r="B167" s="925"/>
      <c r="C167" s="914"/>
      <c r="D167" s="906"/>
      <c r="E167" s="914"/>
      <c r="F167" s="883"/>
    </row>
    <row r="168" spans="1:6" ht="12" customHeight="1">
      <c r="A168" s="930" t="s">
        <v>1309</v>
      </c>
      <c r="B168" s="931"/>
      <c r="C168" s="915"/>
      <c r="D168" s="920"/>
      <c r="E168" s="915"/>
      <c r="F168" s="883"/>
    </row>
    <row r="169" spans="1:6" ht="12" customHeight="1">
      <c r="A169" s="926" t="s">
        <v>1347</v>
      </c>
      <c r="B169" s="3982">
        <v>630</v>
      </c>
      <c r="C169" s="3800"/>
      <c r="D169" s="899"/>
      <c r="E169" s="916"/>
      <c r="F169" s="883"/>
    </row>
    <row r="170" spans="1:6" ht="12" customHeight="1">
      <c r="A170" s="928" t="s">
        <v>1270</v>
      </c>
      <c r="B170" s="3983">
        <v>635</v>
      </c>
      <c r="C170" s="3800"/>
      <c r="D170" s="918"/>
      <c r="E170" s="917"/>
      <c r="F170" s="883"/>
    </row>
    <row r="171" spans="1:6" ht="12" customHeight="1">
      <c r="A171" s="924" t="s">
        <v>1310</v>
      </c>
      <c r="B171" s="3984"/>
      <c r="C171" s="3505"/>
      <c r="D171" s="906"/>
      <c r="E171" s="914"/>
      <c r="F171" s="883"/>
    </row>
    <row r="172" spans="1:6" ht="12" customHeight="1">
      <c r="A172" s="926" t="s">
        <v>1348</v>
      </c>
      <c r="B172" s="3610">
        <v>640</v>
      </c>
      <c r="C172" s="3800"/>
      <c r="D172" s="899"/>
      <c r="E172" s="916"/>
      <c r="F172" s="883"/>
    </row>
    <row r="173" spans="1:6" ht="12" customHeight="1">
      <c r="A173" s="928" t="s">
        <v>1314</v>
      </c>
      <c r="B173" s="3983">
        <v>645</v>
      </c>
      <c r="C173" s="3800"/>
      <c r="D173" s="918"/>
      <c r="E173" s="917"/>
      <c r="F173" s="883"/>
    </row>
    <row r="174" spans="1:6" ht="12" customHeight="1">
      <c r="A174" s="928" t="s">
        <v>1315</v>
      </c>
      <c r="B174" s="3983">
        <v>650</v>
      </c>
      <c r="C174" s="3800"/>
      <c r="D174" s="918"/>
      <c r="E174" s="917"/>
      <c r="F174" s="883"/>
    </row>
    <row r="175" spans="1:6" ht="12" customHeight="1">
      <c r="A175" s="926" t="s">
        <v>273</v>
      </c>
      <c r="B175" s="3982">
        <v>655</v>
      </c>
      <c r="C175" s="3800"/>
      <c r="D175" s="899"/>
      <c r="E175" s="916"/>
      <c r="F175" s="883"/>
    </row>
    <row r="176" spans="1:6" ht="12" customHeight="1">
      <c r="A176" s="928" t="s">
        <v>1318</v>
      </c>
      <c r="B176" s="3983">
        <v>660</v>
      </c>
      <c r="C176" s="3800"/>
      <c r="D176" s="918"/>
      <c r="E176" s="917"/>
      <c r="F176" s="883"/>
    </row>
    <row r="177" spans="1:7" ht="12" customHeight="1">
      <c r="A177" s="932" t="s">
        <v>1327</v>
      </c>
      <c r="B177" s="3985">
        <v>665</v>
      </c>
      <c r="C177" s="3800"/>
      <c r="D177" s="918"/>
      <c r="E177" s="917"/>
      <c r="F177" s="883"/>
    </row>
    <row r="178" spans="1:7" ht="12" customHeight="1">
      <c r="A178" s="932" t="s">
        <v>1337</v>
      </c>
      <c r="B178" s="3985">
        <v>670</v>
      </c>
      <c r="C178" s="3800"/>
      <c r="D178" s="918"/>
      <c r="E178" s="917"/>
      <c r="F178" s="883"/>
    </row>
    <row r="179" spans="1:7" ht="12" customHeight="1">
      <c r="A179" s="3541" t="s">
        <v>1345</v>
      </c>
      <c r="B179" s="3986">
        <v>675</v>
      </c>
      <c r="C179" s="3800"/>
      <c r="D179" s="918"/>
      <c r="E179" s="917"/>
      <c r="F179" s="883"/>
    </row>
    <row r="180" spans="1:7" ht="12" customHeight="1">
      <c r="A180" s="2427" t="s">
        <v>1346</v>
      </c>
      <c r="B180" s="3986">
        <v>680</v>
      </c>
      <c r="C180" s="4022"/>
      <c r="D180" s="3781"/>
      <c r="E180" s="2483"/>
      <c r="F180" s="883"/>
      <c r="G180" s="3513"/>
    </row>
    <row r="181" spans="1:7" ht="12" customHeight="1">
      <c r="A181" s="3415" t="s">
        <v>1501</v>
      </c>
      <c r="B181" s="3549"/>
      <c r="C181" s="3413"/>
      <c r="D181" s="3873"/>
      <c r="E181" s="3514"/>
      <c r="F181" s="883"/>
      <c r="G181" s="3513"/>
    </row>
    <row r="182" spans="1:7" ht="12" customHeight="1">
      <c r="A182" s="3542" t="s">
        <v>1503</v>
      </c>
      <c r="B182" s="3551">
        <v>625</v>
      </c>
      <c r="C182" s="3800"/>
      <c r="D182" s="3874"/>
      <c r="E182" s="916"/>
      <c r="F182" s="883"/>
      <c r="G182" s="3540"/>
    </row>
    <row r="183" spans="1:7" ht="12" customHeight="1">
      <c r="A183" s="3543" t="s">
        <v>1248</v>
      </c>
      <c r="B183" s="4023" t="s">
        <v>92</v>
      </c>
      <c r="C183" s="3875">
        <f>SUM(C132:C182,C73:C123,C32:C62)</f>
        <v>5398</v>
      </c>
      <c r="D183" s="2581">
        <f t="shared" ref="D183:E183" si="1">SUM(D132:D182,D73:D123,D32:D62)</f>
        <v>6848</v>
      </c>
      <c r="E183" s="2581">
        <f t="shared" si="1"/>
        <v>11760</v>
      </c>
      <c r="F183" s="883"/>
      <c r="G183" s="3540"/>
    </row>
    <row r="184" spans="1:7" ht="11.25" customHeight="1">
      <c r="A184" s="882"/>
      <c r="B184" s="881"/>
      <c r="C184" s="883"/>
      <c r="D184" s="883"/>
      <c r="E184" s="883"/>
      <c r="F184" s="883"/>
    </row>
    <row r="185" spans="1:7" ht="12" customHeight="1">
      <c r="A185" s="882"/>
      <c r="B185" s="881"/>
      <c r="C185" s="883"/>
      <c r="D185" s="883"/>
      <c r="E185" s="883"/>
      <c r="F185" s="883"/>
    </row>
    <row r="186" spans="1:7" ht="11.25" customHeight="1">
      <c r="A186" s="882"/>
      <c r="B186" s="881"/>
      <c r="C186" s="883"/>
      <c r="D186" s="883"/>
      <c r="E186" s="883"/>
      <c r="F186" s="883"/>
    </row>
    <row r="187" spans="1:7" ht="12" customHeight="1">
      <c r="A187" s="921"/>
      <c r="B187" s="921"/>
      <c r="C187" s="933"/>
      <c r="D187" s="933"/>
      <c r="E187" s="933"/>
      <c r="F187" s="923"/>
    </row>
    <row r="188" spans="1:7" ht="12" customHeight="1">
      <c r="A188" s="882"/>
      <c r="B188" s="881"/>
      <c r="C188" s="883"/>
      <c r="D188" s="883"/>
      <c r="E188" s="883"/>
      <c r="F188" s="883"/>
    </row>
    <row r="189" spans="1:7" ht="12" customHeight="1">
      <c r="A189" s="934"/>
      <c r="B189" s="881"/>
      <c r="C189" s="923"/>
      <c r="D189" s="923"/>
      <c r="E189" s="923"/>
      <c r="F189" s="883"/>
    </row>
    <row r="190" spans="1:7" ht="12" customHeight="1">
      <c r="A190" s="882"/>
      <c r="B190" s="881"/>
      <c r="C190" s="883"/>
      <c r="D190" s="883"/>
      <c r="E190" s="883"/>
      <c r="F190" s="883"/>
    </row>
    <row r="191" spans="1:7" ht="12" customHeight="1">
      <c r="A191" s="882"/>
      <c r="B191" s="881"/>
      <c r="C191" s="883"/>
      <c r="D191" s="883"/>
      <c r="E191" s="883"/>
      <c r="F191" s="883"/>
    </row>
    <row r="192" spans="1:7" ht="12" customHeight="1">
      <c r="A192" s="882"/>
      <c r="B192" s="881"/>
      <c r="C192" s="883"/>
      <c r="D192" s="883"/>
      <c r="E192" s="883"/>
      <c r="F192" s="883"/>
    </row>
    <row r="193" spans="1:6" ht="12" customHeight="1">
      <c r="A193" s="882"/>
      <c r="B193" s="881"/>
      <c r="C193" s="883"/>
      <c r="D193" s="883"/>
      <c r="E193" s="883"/>
      <c r="F193" s="883"/>
    </row>
    <row r="194" spans="1:6" ht="12" customHeight="1">
      <c r="A194" s="882"/>
      <c r="B194" s="881"/>
      <c r="C194" s="883"/>
      <c r="D194" s="883"/>
      <c r="E194" s="883"/>
      <c r="F194" s="883"/>
    </row>
    <row r="195" spans="1:6" ht="12" customHeight="1">
      <c r="A195" s="882"/>
      <c r="B195" s="881"/>
      <c r="C195" s="883"/>
      <c r="D195" s="883"/>
      <c r="E195" s="883"/>
      <c r="F195" s="883"/>
    </row>
    <row r="196" spans="1:6" ht="12" customHeight="1">
      <c r="A196" s="882"/>
      <c r="B196" s="881"/>
      <c r="C196" s="883"/>
      <c r="D196" s="883"/>
      <c r="E196" s="883"/>
      <c r="F196" s="883"/>
    </row>
    <row r="197" spans="1:6" ht="12" customHeight="1">
      <c r="A197" s="882"/>
      <c r="B197" s="881"/>
      <c r="C197" s="883"/>
      <c r="D197" s="883"/>
      <c r="E197" s="883"/>
      <c r="F197" s="883"/>
    </row>
    <row r="198" spans="1:6" ht="12" customHeight="1">
      <c r="A198" s="882"/>
      <c r="B198" s="881"/>
      <c r="C198" s="883"/>
      <c r="D198" s="883"/>
      <c r="E198" s="883"/>
      <c r="F198" s="883"/>
    </row>
    <row r="199" spans="1:6" ht="12" customHeight="1">
      <c r="A199" s="882"/>
      <c r="B199" s="881"/>
      <c r="C199" s="883"/>
      <c r="D199" s="883"/>
      <c r="E199" s="883"/>
      <c r="F199" s="883"/>
    </row>
    <row r="200" spans="1:6" ht="12" customHeight="1">
      <c r="A200" s="882"/>
      <c r="B200" s="881"/>
      <c r="C200" s="883"/>
      <c r="D200" s="883"/>
      <c r="E200" s="883"/>
      <c r="F200" s="883"/>
    </row>
    <row r="201" spans="1:6" ht="12" customHeight="1">
      <c r="A201" s="882"/>
      <c r="B201" s="881"/>
      <c r="C201" s="883"/>
      <c r="D201" s="883"/>
      <c r="E201" s="883"/>
      <c r="F201" s="883"/>
    </row>
    <row r="202" spans="1:6" ht="12" customHeight="1">
      <c r="A202" s="882"/>
      <c r="B202" s="881"/>
      <c r="C202" s="883"/>
      <c r="D202" s="883"/>
      <c r="E202" s="883"/>
      <c r="F202" s="883"/>
    </row>
    <row r="203" spans="1:6" ht="12" customHeight="1">
      <c r="A203" s="882"/>
      <c r="B203" s="881"/>
      <c r="C203" s="883"/>
      <c r="D203" s="883"/>
      <c r="E203" s="883"/>
      <c r="F203" s="883"/>
    </row>
    <row r="204" spans="1:6" ht="12" customHeight="1">
      <c r="A204" s="882"/>
      <c r="B204" s="881"/>
      <c r="C204" s="883"/>
      <c r="D204" s="883"/>
      <c r="E204" s="883"/>
      <c r="F204" s="883"/>
    </row>
    <row r="205" spans="1:6" ht="12" customHeight="1">
      <c r="A205" s="882"/>
      <c r="B205" s="881"/>
      <c r="C205" s="883"/>
      <c r="D205" s="883"/>
      <c r="E205" s="883"/>
      <c r="F205" s="883"/>
    </row>
    <row r="206" spans="1:6" ht="12" customHeight="1">
      <c r="A206" s="882"/>
      <c r="B206" s="881"/>
      <c r="C206" s="883"/>
      <c r="D206" s="883"/>
      <c r="E206" s="883"/>
      <c r="F206" s="883"/>
    </row>
    <row r="207" spans="1:6" ht="12" customHeight="1">
      <c r="A207" s="882"/>
      <c r="B207" s="881"/>
      <c r="C207" s="883"/>
      <c r="D207" s="883"/>
      <c r="E207" s="883"/>
      <c r="F207" s="923"/>
    </row>
  </sheetData>
  <sheetProtection algorithmName="SHA-512" hashValue="hNjIh+Xa9bTrF8aemaFZrN2/MyWDpM7O78uKjZ7Uw6ReyL+CO29JakW+K+o6CubFR967niWGYRlfloNDcAtCAA==" saltValue="Hyryzvdz/NjQvXkZwhBM/g==" spinCount="100000" sheet="1" objects="1" scenarios="1"/>
  <phoneticPr fontId="10" type="noConversion"/>
  <dataValidations count="4">
    <dataValidation type="whole" operator="greaterThanOrEqual" showInputMessage="1" showErrorMessage="1" errorTitle="Invalid Data Entry" error="Please enter a positive number or press the delete key or enter zero." sqref="C144:E144 C146:E152 C158:E166 C156:E156 C169:E170 C134:E141 C92:E96 C172:E182 C99:E100 C34:E35 C57:E58 C81:E82 C84:E89 C73:E78 C60:E62 C48:E53 C44:E46 C37:E41 C102:E109 C10:D10 C15:D18 E13 C12:C13 D13">
      <formula1>0</formula1>
    </dataValidation>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a zero." sqref="C112:E113 C115:E123">
      <formula1>0</formula1>
    </dataValidation>
    <dataValidation operator="greaterThanOrEqual" errorTitle="Invalid Data Entry " error="Please enter a positive number or press the delete key or enter zero." sqref="E12"/>
  </dataValidations>
  <hyperlinks>
    <hyperlink ref="G1" location="Contents!F1" display="Return to Contents page"/>
  </hyperlinks>
  <printOptions horizontalCentered="1"/>
  <pageMargins left="0.25" right="0.25" top="0.19" bottom="0.19" header="0.5" footer="0.25"/>
  <pageSetup scale="94" orientation="portrait" blackAndWhite="1" r:id="rId1"/>
  <headerFooter alignWithMargins="0">
    <oddFooter>&amp;L&amp;D     &amp;T &amp;CCode No. 18&amp;RPage &amp;P</oddFooter>
  </headerFooter>
  <rowBreaks count="2" manualBreakCount="2">
    <brk id="64" max="4" man="1"/>
    <brk id="123" max="4" man="1"/>
  </row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4" tint="0.39997558519241921"/>
  </sheetPr>
  <dimension ref="A1:K48"/>
  <sheetViews>
    <sheetView zoomScaleNormal="100" workbookViewId="0">
      <selection activeCell="C9" sqref="C9"/>
    </sheetView>
  </sheetViews>
  <sheetFormatPr defaultRowHeight="12.75"/>
  <cols>
    <col min="1" max="1" width="40.28515625" customWidth="1"/>
    <col min="2" max="2" width="4.85546875" customWidth="1"/>
    <col min="3" max="3" width="18.140625" customWidth="1"/>
    <col min="4" max="4" width="17.42578125" customWidth="1"/>
    <col min="5" max="5" width="17.5703125" customWidth="1"/>
    <col min="6" max="6" width="3.140625" customWidth="1"/>
    <col min="7" max="7" width="2.140625" customWidth="1"/>
    <col min="8" max="8" width="20.7109375" customWidth="1"/>
    <col min="9" max="9" width="11.5703125" customWidth="1"/>
  </cols>
  <sheetData>
    <row r="1" spans="1:9">
      <c r="A1" s="1575"/>
      <c r="B1" s="1577" t="s">
        <v>1019</v>
      </c>
      <c r="C1" s="1578">
        <f>OPEN!B4</f>
        <v>270</v>
      </c>
      <c r="D1" s="1578"/>
      <c r="E1" s="1577" t="s">
        <v>1020</v>
      </c>
      <c r="F1" s="1577"/>
      <c r="G1" s="1579"/>
      <c r="H1" s="3013" t="s">
        <v>866</v>
      </c>
    </row>
    <row r="2" spans="1:9">
      <c r="A2" s="1575"/>
      <c r="B2" s="1576"/>
      <c r="C2" s="1575"/>
      <c r="D2" s="1575"/>
      <c r="E2" s="1577" t="s">
        <v>1212</v>
      </c>
      <c r="F2" s="1577"/>
      <c r="G2" s="1579"/>
    </row>
    <row r="3" spans="1:9">
      <c r="A3" s="1575"/>
      <c r="B3" s="1576"/>
      <c r="C3" s="1575"/>
      <c r="D3" s="1575"/>
      <c r="E3" s="1577" t="str">
        <f>OPEN!N2</f>
        <v>2016-2017</v>
      </c>
      <c r="F3" s="1577"/>
      <c r="G3" s="1579"/>
    </row>
    <row r="4" spans="1:9">
      <c r="A4" s="1575"/>
      <c r="B4" s="1576"/>
      <c r="C4" s="1575"/>
      <c r="D4" s="1575"/>
      <c r="E4" s="1575"/>
      <c r="F4" s="1575"/>
      <c r="G4" s="1579"/>
    </row>
    <row r="5" spans="1:9">
      <c r="A5" s="1575"/>
      <c r="B5" s="1576"/>
      <c r="C5" s="1581" t="s">
        <v>1213</v>
      </c>
      <c r="D5" s="1581" t="s">
        <v>1213</v>
      </c>
      <c r="E5" s="1581" t="s">
        <v>1213</v>
      </c>
      <c r="F5" s="1615"/>
      <c r="G5" s="1579"/>
    </row>
    <row r="6" spans="1:9">
      <c r="A6" s="1582"/>
      <c r="B6" s="1583" t="s">
        <v>1045</v>
      </c>
      <c r="C6" s="1584" t="str">
        <f>OPEN!N4</f>
        <v>2014-2015</v>
      </c>
      <c r="D6" s="1584" t="str">
        <f>OPEN!O4</f>
        <v>2015-2016</v>
      </c>
      <c r="E6" s="1584" t="str">
        <f>OPEN!P4</f>
        <v>2016-2017</v>
      </c>
      <c r="G6" s="1579"/>
    </row>
    <row r="7" spans="1:9">
      <c r="A7" s="1582" t="s">
        <v>363</v>
      </c>
      <c r="B7" s="1585">
        <v>19</v>
      </c>
      <c r="C7" s="1586" t="s">
        <v>1139</v>
      </c>
      <c r="D7" s="1586" t="s">
        <v>1139</v>
      </c>
      <c r="E7" s="1586" t="s">
        <v>1215</v>
      </c>
      <c r="G7" s="1579"/>
    </row>
    <row r="8" spans="1:9">
      <c r="A8" s="1587"/>
      <c r="B8" s="1588" t="s">
        <v>1051</v>
      </c>
      <c r="C8" s="3033">
        <v>1</v>
      </c>
      <c r="D8" s="3033">
        <v>2</v>
      </c>
      <c r="E8" s="1589">
        <v>3</v>
      </c>
      <c r="G8" s="1579"/>
    </row>
    <row r="9" spans="1:9">
      <c r="A9" s="1590" t="s">
        <v>1402</v>
      </c>
      <c r="B9" s="3034">
        <v>1</v>
      </c>
      <c r="C9" s="1602"/>
      <c r="D9" s="1593">
        <f>C32</f>
        <v>0</v>
      </c>
      <c r="E9" s="1592">
        <f>D32</f>
        <v>0</v>
      </c>
      <c r="F9" s="3622"/>
      <c r="G9" s="1579"/>
    </row>
    <row r="10" spans="1:9">
      <c r="A10" s="1594" t="s">
        <v>1219</v>
      </c>
      <c r="B10" s="3035">
        <v>3</v>
      </c>
      <c r="C10" s="1602"/>
      <c r="D10" s="1591"/>
      <c r="E10" s="1596"/>
      <c r="F10" s="3622"/>
      <c r="G10" s="1579"/>
    </row>
    <row r="11" spans="1:9">
      <c r="A11" s="1597" t="s">
        <v>19</v>
      </c>
      <c r="B11" s="3036"/>
      <c r="C11" s="1596"/>
      <c r="D11" s="2757"/>
      <c r="E11" s="1596"/>
      <c r="F11" s="3622"/>
      <c r="G11" s="1579"/>
    </row>
    <row r="12" spans="1:9">
      <c r="A12" s="1594" t="s">
        <v>20</v>
      </c>
      <c r="B12" s="3035"/>
      <c r="C12" s="1596"/>
      <c r="D12" s="2757"/>
      <c r="E12" s="1596"/>
      <c r="F12" s="3622"/>
      <c r="G12" s="1579"/>
    </row>
    <row r="13" spans="1:9">
      <c r="A13" s="1594" t="s">
        <v>21</v>
      </c>
      <c r="B13" s="3035"/>
      <c r="C13" s="1596"/>
      <c r="D13" s="2757"/>
      <c r="E13" s="1596"/>
      <c r="F13" s="3622"/>
      <c r="G13" s="1579"/>
    </row>
    <row r="14" spans="1:9">
      <c r="A14" s="1590" t="str">
        <f>OPEN!N8</f>
        <v xml:space="preserve">    2013  $</v>
      </c>
      <c r="B14" s="3034">
        <v>5</v>
      </c>
      <c r="C14" s="1595"/>
      <c r="D14" s="2757"/>
      <c r="E14" s="1596"/>
      <c r="F14" s="3622"/>
      <c r="G14" s="1579"/>
    </row>
    <row r="15" spans="1:9">
      <c r="A15" s="1600" t="str">
        <f>OPEN!N9</f>
        <v xml:space="preserve">    2014  $</v>
      </c>
      <c r="B15" s="3037">
        <v>10</v>
      </c>
      <c r="C15" s="1602"/>
      <c r="D15" s="1591"/>
      <c r="E15" s="1596"/>
      <c r="F15" s="3622"/>
      <c r="G15" s="1579"/>
    </row>
    <row r="16" spans="1:9">
      <c r="A16" s="1590" t="str">
        <f>OPEN!N10</f>
        <v xml:space="preserve">    2015  $</v>
      </c>
      <c r="B16" s="3034">
        <v>15</v>
      </c>
      <c r="C16" s="1596"/>
      <c r="D16" s="3039">
        <f>'C04'!E15</f>
        <v>0</v>
      </c>
      <c r="E16" s="3635">
        <f>'F110'!$E$172</f>
        <v>0</v>
      </c>
      <c r="G16" s="1579"/>
      <c r="I16" s="3259" t="s">
        <v>990</v>
      </c>
    </row>
    <row r="17" spans="1:9">
      <c r="A17" s="1600" t="str">
        <f>OPEN!N11</f>
        <v xml:space="preserve">    2016  $</v>
      </c>
      <c r="B17" s="3037">
        <v>20</v>
      </c>
      <c r="C17" s="1596"/>
      <c r="D17" s="2757"/>
      <c r="E17" s="3641">
        <v>0</v>
      </c>
      <c r="G17" s="1579"/>
      <c r="I17" s="3259" t="s">
        <v>1548</v>
      </c>
    </row>
    <row r="18" spans="1:9">
      <c r="A18" s="1600" t="s">
        <v>1875</v>
      </c>
      <c r="B18" s="3037">
        <v>25</v>
      </c>
      <c r="C18" s="1591"/>
      <c r="D18" s="3038"/>
      <c r="E18" s="1593">
        <f>0.667*'F110'!$E$176</f>
        <v>0</v>
      </c>
      <c r="G18" s="1579"/>
      <c r="I18" s="3259"/>
    </row>
    <row r="19" spans="1:9">
      <c r="A19" s="1597" t="s">
        <v>28</v>
      </c>
      <c r="B19" s="3036"/>
      <c r="C19" s="1603"/>
      <c r="D19" s="2757"/>
      <c r="E19" s="1596"/>
      <c r="G19" s="1579"/>
    </row>
    <row r="20" spans="1:9">
      <c r="A20" s="1590" t="s">
        <v>285</v>
      </c>
      <c r="B20" s="3034">
        <v>45</v>
      </c>
      <c r="C20" s="1591"/>
      <c r="D20" s="3038"/>
      <c r="E20" s="1592">
        <f>IF(ISERROR('F194'!$H$92+'F194'!$P$92+'F194'!$H$34+'F194'!$P$34),0,('F194'!$H$92+'F194'!$P$92+'F194'!$H$34+'F194'!$P$34))</f>
        <v>0</v>
      </c>
      <c r="G20" s="1579"/>
    </row>
    <row r="21" spans="1:9">
      <c r="A21" s="1590" t="s">
        <v>31</v>
      </c>
      <c r="B21" s="3034">
        <v>55</v>
      </c>
      <c r="C21" s="1595"/>
      <c r="D21" s="4113"/>
      <c r="E21" s="1592">
        <f>IF(ISERROR('F194'!$L$92+'F194'!$L$34),0,('F194'!$L$92+'F194'!$L$34))</f>
        <v>0</v>
      </c>
      <c r="F21" s="3622"/>
      <c r="G21" s="1579"/>
    </row>
    <row r="22" spans="1:9" s="4107" customFormat="1">
      <c r="A22" s="5056" t="s">
        <v>1870</v>
      </c>
      <c r="B22" s="5057">
        <v>57</v>
      </c>
      <c r="C22" s="4182"/>
      <c r="D22" s="4182"/>
      <c r="E22" s="3039">
        <f>IF(ISERROR('F194'!$R$92+'F194'!$R$34),0,('F194'!$R$92+'F194'!$R$34))</f>
        <v>0</v>
      </c>
      <c r="F22" s="3622"/>
      <c r="G22" s="1579"/>
      <c r="H22" s="3820"/>
    </row>
    <row r="23" spans="1:9">
      <c r="A23" s="1590" t="s">
        <v>1938</v>
      </c>
      <c r="B23" s="3034">
        <v>60</v>
      </c>
      <c r="C23" s="4112"/>
      <c r="D23" s="1591"/>
      <c r="E23" s="3039">
        <f>IF(ISERROR('F194'!$N$92+'F194'!$N$34),0,('F194'!$N$92+'F194'!$N$34))</f>
        <v>0</v>
      </c>
      <c r="F23" s="3622"/>
      <c r="G23" s="1579"/>
    </row>
    <row r="24" spans="1:9">
      <c r="A24" s="2983" t="s">
        <v>324</v>
      </c>
      <c r="B24" s="2753"/>
      <c r="C24" s="2982"/>
      <c r="D24" s="3931"/>
      <c r="E24" s="2982"/>
      <c r="F24" s="3622"/>
      <c r="G24" s="1579"/>
    </row>
    <row r="25" spans="1:9">
      <c r="A25" s="2984" t="s">
        <v>1298</v>
      </c>
      <c r="B25" s="2764">
        <v>67</v>
      </c>
      <c r="C25" s="3933"/>
      <c r="D25" s="3932"/>
      <c r="E25" s="3271"/>
      <c r="F25" s="3622"/>
      <c r="G25" s="1579"/>
    </row>
    <row r="26" spans="1:9">
      <c r="A26" s="1606" t="s">
        <v>52</v>
      </c>
      <c r="B26" s="2755">
        <v>70</v>
      </c>
      <c r="C26" s="1592">
        <f>SUM(C9:C25)</f>
        <v>0</v>
      </c>
      <c r="D26" s="3039">
        <f>SUM(D9:D25)</f>
        <v>0</v>
      </c>
      <c r="E26" s="1592">
        <f>SUM(E9:E25)</f>
        <v>0</v>
      </c>
      <c r="G26" s="1579"/>
    </row>
    <row r="27" spans="1:9">
      <c r="A27" s="1607" t="s">
        <v>111</v>
      </c>
      <c r="B27" s="2753"/>
      <c r="C27" s="1596"/>
      <c r="D27" s="2757"/>
      <c r="E27" s="1596"/>
      <c r="G27" s="1579"/>
    </row>
    <row r="28" spans="1:9">
      <c r="A28" s="1608" t="s">
        <v>940</v>
      </c>
      <c r="B28" s="2754"/>
      <c r="C28" s="1596"/>
      <c r="D28" s="2757"/>
      <c r="E28" s="1596"/>
      <c r="F28" s="3622"/>
      <c r="G28" s="1579"/>
    </row>
    <row r="29" spans="1:9">
      <c r="A29" s="1608" t="s">
        <v>309</v>
      </c>
      <c r="B29" s="2754"/>
      <c r="C29" s="1596"/>
      <c r="D29" s="2757"/>
      <c r="E29" s="1596"/>
      <c r="G29" s="1579"/>
    </row>
    <row r="30" spans="1:9">
      <c r="A30" s="1609" t="s">
        <v>776</v>
      </c>
      <c r="B30" s="2764">
        <v>75</v>
      </c>
      <c r="C30" s="1591"/>
      <c r="D30" s="3038"/>
      <c r="E30" s="5239">
        <f>'F151'!$G$19</f>
        <v>0</v>
      </c>
      <c r="F30" s="2759"/>
      <c r="G30" s="1579"/>
      <c r="I30" s="3259" t="s">
        <v>1975</v>
      </c>
    </row>
    <row r="31" spans="1:9">
      <c r="A31" s="1604" t="s">
        <v>761</v>
      </c>
      <c r="B31" s="2755">
        <v>175</v>
      </c>
      <c r="C31" s="1592">
        <f>SUM(C27:C30)</f>
        <v>0</v>
      </c>
      <c r="D31" s="2763">
        <f>SUM(D27:D30)</f>
        <v>0</v>
      </c>
      <c r="E31" s="3621">
        <f>SUM(E27:E30)</f>
        <v>0</v>
      </c>
      <c r="F31" s="2759"/>
      <c r="G31" s="1579"/>
    </row>
    <row r="32" spans="1:9">
      <c r="A32" s="1609" t="s">
        <v>1250</v>
      </c>
      <c r="B32" s="1610">
        <v>190</v>
      </c>
      <c r="C32" s="3319">
        <f>C26-C31</f>
        <v>0</v>
      </c>
      <c r="D32" s="3319">
        <f>D26-D31</f>
        <v>0</v>
      </c>
      <c r="E32" s="4198" t="s">
        <v>1550</v>
      </c>
      <c r="F32" s="2759"/>
      <c r="G32" s="1579"/>
      <c r="H32" s="3166" t="s">
        <v>388</v>
      </c>
      <c r="I32" s="3167">
        <f>IF(ISERROR(E35/OPEN!A14*1000),"Check errors below",E35/OPEN!A14*1000)</f>
        <v>0</v>
      </c>
    </row>
    <row r="33" spans="1:11">
      <c r="A33" s="1614"/>
      <c r="B33" s="1610">
        <v>195</v>
      </c>
      <c r="C33" s="5283" t="s">
        <v>1547</v>
      </c>
      <c r="D33" s="5284"/>
      <c r="E33" s="4013">
        <f>IF((E31-E26)&lt;0,0,E31-E26)</f>
        <v>0</v>
      </c>
      <c r="F33" s="2759"/>
      <c r="G33" s="1579"/>
      <c r="H33" s="3168" t="str">
        <f>OPEN!N40</f>
        <v/>
      </c>
      <c r="I33" s="2697"/>
    </row>
    <row r="34" spans="1:11">
      <c r="A34" s="1575"/>
      <c r="B34" s="1605">
        <v>200</v>
      </c>
      <c r="C34" s="1612" t="s">
        <v>763</v>
      </c>
      <c r="D34" s="1613"/>
      <c r="E34" s="4014">
        <f>IF(J35&gt;0,ROUND(E33*J35,0),ROUND(E33*J37,0))</f>
        <v>0</v>
      </c>
      <c r="F34" s="2759"/>
      <c r="G34" s="1579"/>
    </row>
    <row r="35" spans="1:11">
      <c r="A35" s="1575"/>
      <c r="B35" s="1605">
        <v>205</v>
      </c>
      <c r="C35" s="1612" t="str">
        <f>OPEN!N6</f>
        <v>Amount of 2016 Tax to be Levied</v>
      </c>
      <c r="D35" s="1613"/>
      <c r="E35" s="4014">
        <f>E34+E33</f>
        <v>0</v>
      </c>
      <c r="F35" s="3634" t="s">
        <v>364</v>
      </c>
      <c r="G35" s="1579"/>
      <c r="H35" s="3774" t="s">
        <v>1558</v>
      </c>
      <c r="J35" s="3703"/>
      <c r="K35" s="3717" t="str">
        <f>IF(J35&lt;&gt;0,"&lt;-- Using this tax rate","")</f>
        <v/>
      </c>
    </row>
    <row r="36" spans="1:11">
      <c r="A36" s="1614"/>
      <c r="B36" s="2780"/>
      <c r="C36" s="1575"/>
      <c r="D36" s="1575"/>
      <c r="E36" s="1575"/>
      <c r="G36" s="1579"/>
      <c r="H36" s="3773" t="s">
        <v>1701</v>
      </c>
    </row>
    <row r="37" spans="1:11">
      <c r="A37" s="1614"/>
      <c r="B37" s="1615"/>
      <c r="C37" s="1575"/>
      <c r="D37" s="1575"/>
      <c r="E37" s="3633"/>
      <c r="F37" s="3622"/>
      <c r="G37" s="1579"/>
      <c r="H37" s="3645"/>
      <c r="I37" s="3646" t="s">
        <v>1559</v>
      </c>
      <c r="J37" s="3647">
        <f>ROUND('C01'!F119/100,3)</f>
        <v>7.0000000000000007E-2</v>
      </c>
      <c r="K37" s="3717" t="str">
        <f>IF(J35=0,"&lt;-- Using this tax rate","")</f>
        <v>&lt;-- Using this tax rate</v>
      </c>
    </row>
    <row r="38" spans="1:11">
      <c r="A38" s="1575" t="s">
        <v>1703</v>
      </c>
      <c r="B38" s="1581"/>
      <c r="C38" s="1575"/>
      <c r="D38" s="1575"/>
      <c r="E38" s="3633"/>
      <c r="G38" s="1579"/>
    </row>
    <row r="39" spans="1:11">
      <c r="A39" s="3056" t="s">
        <v>2484</v>
      </c>
      <c r="B39" s="1581"/>
      <c r="C39" s="1575"/>
      <c r="D39" s="1575"/>
      <c r="E39" s="3633"/>
      <c r="F39" s="3622"/>
      <c r="G39" s="1579"/>
    </row>
    <row r="40" spans="1:11">
      <c r="A40" s="1575"/>
      <c r="B40" s="2794"/>
      <c r="C40" s="1575"/>
      <c r="D40" s="1575"/>
      <c r="E40" s="1575"/>
      <c r="G40" s="1579"/>
    </row>
    <row r="41" spans="1:11">
      <c r="A41" s="1575"/>
      <c r="B41" s="1581"/>
      <c r="C41" s="1575"/>
      <c r="D41" s="1575"/>
      <c r="E41" s="1575"/>
      <c r="G41" s="1579"/>
    </row>
    <row r="42" spans="1:11">
      <c r="A42" s="1575"/>
      <c r="B42" s="1581"/>
      <c r="C42" s="1575"/>
      <c r="D42" s="1575"/>
      <c r="E42" s="1575"/>
      <c r="F42" s="1575"/>
      <c r="G42" s="1579"/>
    </row>
    <row r="43" spans="1:11">
      <c r="F43" s="1575"/>
      <c r="G43" s="1579"/>
    </row>
    <row r="44" spans="1:11">
      <c r="F44" s="1575"/>
      <c r="G44" s="1579"/>
    </row>
    <row r="45" spans="1:11">
      <c r="F45" s="1575"/>
      <c r="G45" s="1579"/>
    </row>
    <row r="46" spans="1:11">
      <c r="B46" t="s">
        <v>1364</v>
      </c>
      <c r="F46" s="1575"/>
      <c r="G46" s="1579"/>
    </row>
    <row r="47" spans="1:11">
      <c r="F47" s="1575"/>
      <c r="G47" s="1579"/>
    </row>
    <row r="48" spans="1:11">
      <c r="F48" s="1575"/>
    </row>
  </sheetData>
  <sheetProtection algorithmName="SHA-512" hashValue="SP4+LJ0FwsrVl+/fLC18FS3wtMd86DXcMBZa4xd+XteQCyKacQL3jRotYR6oIfuiTpubG9kxsGPpfwt26+1aRA==" saltValue="LDwXed8PeKiURAISTWbS/A==" spinCount="100000" sheet="1" objects="1" scenarios="1"/>
  <mergeCells count="1">
    <mergeCell ref="C33:D33"/>
  </mergeCells>
  <phoneticPr fontId="9" type="noConversion"/>
  <dataValidations count="2">
    <dataValidation type="whole" operator="greaterThanOrEqual" showInputMessage="1" showErrorMessage="1" errorTitle="Invalid Data Entry" error="Please enter a positive number or press the delete key or enter a zero." sqref="C25">
      <formula1>0</formula1>
    </dataValidation>
    <dataValidation type="whole" operator="greaterThanOrEqual" allowBlank="1" showInputMessage="1" showErrorMessage="1" errorTitle="Invalid Data Entry" error="Please enter a positive number or press the delete key or enter zero." sqref="C22">
      <formula1>0</formula1>
    </dataValidation>
  </dataValidations>
  <hyperlinks>
    <hyperlink ref="H1" location="Contents!F1" display="Return to Contents page"/>
  </hyperlinks>
  <pageMargins left="0.75" right="0.75" top="1" bottom="1" header="0.5" footer="0.5"/>
  <pageSetup scale="89" orientation="portrait" blackAndWhite="1" r:id="rId1"/>
  <headerFooter alignWithMargins="0">
    <oddFooter>&amp;L&amp;D  &amp;T &amp;CCode 19</oddFooter>
  </headerFooter>
  <colBreaks count="1" manualBreakCount="1">
    <brk id="6" max="42"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4" tint="0.39997558519241921"/>
  </sheetPr>
  <dimension ref="A1:Q191"/>
  <sheetViews>
    <sheetView zoomScaleNormal="100" workbookViewId="0">
      <selection activeCell="C9" sqref="C9"/>
    </sheetView>
  </sheetViews>
  <sheetFormatPr defaultColWidth="10.7109375" defaultRowHeight="12" customHeight="1"/>
  <cols>
    <col min="1" max="1" width="44.85546875" style="945" customWidth="1"/>
    <col min="2" max="2" width="4.85546875" style="999" customWidth="1"/>
    <col min="3" max="3" width="13.7109375" style="939" customWidth="1"/>
    <col min="4" max="4" width="13.42578125" style="939" customWidth="1"/>
    <col min="5" max="5" width="14.28515625" style="939" customWidth="1"/>
    <col min="6" max="6" width="2.28515625" style="939" customWidth="1"/>
    <col min="7" max="7" width="21.140625" style="939" customWidth="1"/>
    <col min="8" max="16384" width="10.7109375" style="939"/>
  </cols>
  <sheetData>
    <row r="1" spans="1:17" ht="12" customHeight="1">
      <c r="A1" s="936" t="s">
        <v>1019</v>
      </c>
      <c r="B1" s="937">
        <f>OPEN!$B$4</f>
        <v>270</v>
      </c>
      <c r="C1" s="938"/>
      <c r="D1" s="938"/>
      <c r="E1" s="936" t="s">
        <v>1020</v>
      </c>
      <c r="F1" s="938"/>
      <c r="G1" s="3013" t="s">
        <v>866</v>
      </c>
    </row>
    <row r="2" spans="1:17" ht="12" customHeight="1">
      <c r="A2" s="938"/>
      <c r="B2" s="940"/>
      <c r="C2" s="938"/>
      <c r="D2" s="938"/>
      <c r="E2" s="936" t="s">
        <v>1212</v>
      </c>
      <c r="F2" s="938"/>
    </row>
    <row r="3" spans="1:17" ht="12" customHeight="1">
      <c r="A3" s="938"/>
      <c r="B3" s="940"/>
      <c r="C3" s="938"/>
      <c r="D3" s="938"/>
      <c r="E3" s="936" t="str">
        <f>OPEN!N2</f>
        <v>2016-2017</v>
      </c>
      <c r="F3" s="938"/>
    </row>
    <row r="4" spans="1:17" ht="5.0999999999999996" customHeight="1">
      <c r="A4" s="938"/>
      <c r="B4" s="940"/>
      <c r="C4" s="938"/>
      <c r="D4" s="938"/>
      <c r="E4" s="938"/>
      <c r="F4" s="938"/>
    </row>
    <row r="5" spans="1:17" ht="11.1" customHeight="1">
      <c r="A5" s="938"/>
      <c r="B5" s="940"/>
      <c r="C5" s="941" t="s">
        <v>1213</v>
      </c>
      <c r="D5" s="941" t="s">
        <v>1213</v>
      </c>
      <c r="E5" s="941" t="s">
        <v>1213</v>
      </c>
      <c r="F5" s="938"/>
    </row>
    <row r="6" spans="1:17" ht="12" customHeight="1">
      <c r="A6" s="942" t="s">
        <v>301</v>
      </c>
      <c r="B6" s="943" t="s">
        <v>1045</v>
      </c>
      <c r="C6" s="944" t="str">
        <f>OPEN!N4</f>
        <v>2014-2015</v>
      </c>
      <c r="D6" s="944" t="str">
        <f>OPEN!O4</f>
        <v>2015-2016</v>
      </c>
      <c r="E6" s="944" t="str">
        <f>OPEN!P4</f>
        <v>2016-2017</v>
      </c>
      <c r="F6" s="938"/>
      <c r="K6" s="945"/>
      <c r="L6" s="945"/>
      <c r="M6" s="945"/>
      <c r="N6" s="946"/>
      <c r="O6" s="945"/>
      <c r="P6" s="945"/>
      <c r="Q6" s="945"/>
    </row>
    <row r="7" spans="1:17" ht="12" customHeight="1">
      <c r="A7" s="942" t="s">
        <v>302</v>
      </c>
      <c r="B7" s="947">
        <v>22</v>
      </c>
      <c r="C7" s="948" t="s">
        <v>1139</v>
      </c>
      <c r="D7" s="948" t="s">
        <v>1139</v>
      </c>
      <c r="E7" s="948" t="s">
        <v>1215</v>
      </c>
      <c r="F7" s="938"/>
      <c r="N7" s="945"/>
      <c r="O7" s="949"/>
      <c r="P7" s="949"/>
      <c r="Q7" s="949"/>
    </row>
    <row r="8" spans="1:17" ht="12" customHeight="1">
      <c r="A8" s="950"/>
      <c r="B8" s="951" t="s">
        <v>1051</v>
      </c>
      <c r="C8" s="952">
        <v>1</v>
      </c>
      <c r="D8" s="952">
        <v>2</v>
      </c>
      <c r="E8" s="952">
        <v>3</v>
      </c>
      <c r="F8" s="938"/>
      <c r="N8" s="945"/>
      <c r="O8" s="949"/>
      <c r="P8" s="949"/>
      <c r="Q8" s="949"/>
    </row>
    <row r="9" spans="1:17" ht="12" customHeight="1">
      <c r="A9" s="953" t="s">
        <v>1402</v>
      </c>
      <c r="B9" s="954">
        <v>1</v>
      </c>
      <c r="C9" s="974"/>
      <c r="D9" s="956">
        <f>C24</f>
        <v>0</v>
      </c>
      <c r="E9" s="2486">
        <f>D24</f>
        <v>0</v>
      </c>
      <c r="F9" s="957"/>
      <c r="N9" s="945"/>
      <c r="O9" s="949"/>
      <c r="P9" s="949"/>
      <c r="Q9" s="949"/>
    </row>
    <row r="10" spans="1:17" ht="12" customHeight="1">
      <c r="A10" s="958" t="s">
        <v>303</v>
      </c>
      <c r="B10" s="959">
        <v>3</v>
      </c>
      <c r="C10" s="973"/>
      <c r="D10" s="955"/>
      <c r="E10" s="972"/>
      <c r="F10" s="957"/>
      <c r="N10" s="945"/>
      <c r="O10" s="949"/>
      <c r="P10" s="949"/>
      <c r="Q10" s="949"/>
    </row>
    <row r="11" spans="1:17" ht="12" customHeight="1">
      <c r="A11" s="960" t="s">
        <v>19</v>
      </c>
      <c r="B11" s="961"/>
      <c r="C11" s="2484"/>
      <c r="D11" s="962"/>
      <c r="E11" s="972"/>
      <c r="F11" s="957"/>
      <c r="N11" s="945"/>
      <c r="O11" s="949"/>
      <c r="P11" s="949"/>
      <c r="Q11" s="949"/>
    </row>
    <row r="12" spans="1:17" ht="12" customHeight="1">
      <c r="A12" s="958" t="s">
        <v>1405</v>
      </c>
      <c r="B12" s="959"/>
      <c r="C12" s="2484"/>
      <c r="D12" s="962"/>
      <c r="E12" s="972"/>
      <c r="F12" s="957"/>
      <c r="N12" s="945"/>
      <c r="O12" s="949"/>
      <c r="P12" s="949"/>
      <c r="Q12" s="949"/>
    </row>
    <row r="13" spans="1:17" ht="12" customHeight="1">
      <c r="A13" s="953" t="s">
        <v>326</v>
      </c>
      <c r="B13" s="954">
        <v>5</v>
      </c>
      <c r="C13" s="973"/>
      <c r="D13" s="955"/>
      <c r="E13" s="973"/>
      <c r="F13" s="957"/>
      <c r="I13" s="963"/>
      <c r="N13" s="945"/>
      <c r="O13" s="945"/>
      <c r="P13" s="945"/>
      <c r="Q13" s="945"/>
    </row>
    <row r="14" spans="1:17" ht="12" customHeight="1">
      <c r="A14" s="964" t="s">
        <v>399</v>
      </c>
      <c r="B14" s="965">
        <v>10</v>
      </c>
      <c r="C14" s="973"/>
      <c r="D14" s="4992" t="s">
        <v>1431</v>
      </c>
      <c r="E14" s="4172" t="s">
        <v>1431</v>
      </c>
      <c r="F14" s="957"/>
      <c r="N14" s="946"/>
      <c r="O14" s="945"/>
      <c r="P14" s="945"/>
      <c r="Q14" s="945"/>
    </row>
    <row r="15" spans="1:17" ht="12" customHeight="1">
      <c r="A15" s="953" t="s">
        <v>25</v>
      </c>
      <c r="B15" s="954">
        <v>15</v>
      </c>
      <c r="C15" s="973"/>
      <c r="D15" s="955"/>
      <c r="E15" s="973"/>
      <c r="F15" s="957"/>
      <c r="N15" s="945"/>
      <c r="O15" s="966"/>
      <c r="P15" s="966"/>
      <c r="Q15" s="966"/>
    </row>
    <row r="16" spans="1:17" ht="12" customHeight="1">
      <c r="A16" s="3412" t="s">
        <v>325</v>
      </c>
      <c r="B16" s="943"/>
      <c r="C16" s="3412"/>
      <c r="D16"/>
      <c r="E16" s="3412"/>
      <c r="F16" s="957"/>
      <c r="N16" s="945"/>
      <c r="O16" s="966"/>
      <c r="P16" s="966"/>
      <c r="Q16" s="966"/>
    </row>
    <row r="17" spans="1:17" ht="12" customHeight="1">
      <c r="A17" s="3414" t="s">
        <v>1536</v>
      </c>
      <c r="B17" s="2580">
        <v>40</v>
      </c>
      <c r="C17" s="973"/>
      <c r="D17" s="973"/>
      <c r="E17" s="3801"/>
      <c r="F17" s="957"/>
      <c r="N17" s="945"/>
      <c r="O17" s="966"/>
      <c r="P17" s="966"/>
      <c r="Q17" s="966"/>
    </row>
    <row r="18" spans="1:17" ht="12" customHeight="1">
      <c r="A18" s="960" t="s">
        <v>48</v>
      </c>
      <c r="B18" s="961"/>
      <c r="C18" s="972"/>
      <c r="D18" s="962"/>
      <c r="E18" s="971"/>
      <c r="F18" s="957"/>
      <c r="N18" s="945"/>
      <c r="O18" s="966"/>
      <c r="P18" s="966"/>
      <c r="Q18" s="966"/>
    </row>
    <row r="19" spans="1:17" ht="12" customHeight="1">
      <c r="A19" s="953" t="s">
        <v>49</v>
      </c>
      <c r="B19" s="954">
        <v>85</v>
      </c>
      <c r="C19" s="2485">
        <f>'C06'!$C$343</f>
        <v>0</v>
      </c>
      <c r="D19" s="956">
        <f>'C06'!$D$343</f>
        <v>0</v>
      </c>
      <c r="E19" s="2485">
        <f>'C06'!$E$343</f>
        <v>0</v>
      </c>
      <c r="F19" s="957"/>
      <c r="N19" s="945"/>
      <c r="O19" s="966"/>
      <c r="P19" s="966"/>
      <c r="Q19" s="966"/>
    </row>
    <row r="20" spans="1:17" ht="12" customHeight="1">
      <c r="A20" s="953" t="s">
        <v>1426</v>
      </c>
      <c r="B20" s="954">
        <v>90</v>
      </c>
      <c r="C20" s="2485">
        <f>'C08'!$C$312</f>
        <v>0</v>
      </c>
      <c r="D20" s="956">
        <f>'C08'!$D$312</f>
        <v>0</v>
      </c>
      <c r="E20" s="2487">
        <f>'C08'!$E$312</f>
        <v>0</v>
      </c>
      <c r="F20" s="957"/>
      <c r="N20" s="945"/>
      <c r="O20" s="966"/>
      <c r="P20" s="966"/>
      <c r="Q20" s="966"/>
    </row>
    <row r="21" spans="1:17" ht="12" customHeight="1">
      <c r="A21" s="953" t="s">
        <v>50</v>
      </c>
      <c r="B21" s="954">
        <v>95</v>
      </c>
      <c r="C21" s="2485">
        <f>'C053'!$C$266</f>
        <v>0</v>
      </c>
      <c r="D21" s="956">
        <f>'C053'!$D$266</f>
        <v>0</v>
      </c>
      <c r="E21" s="2488" t="s">
        <v>1431</v>
      </c>
      <c r="F21" s="957"/>
      <c r="N21" s="945"/>
      <c r="O21" s="945"/>
      <c r="P21" s="945"/>
      <c r="Q21" s="945"/>
    </row>
    <row r="22" spans="1:17" ht="12" customHeight="1">
      <c r="A22" s="967" t="s">
        <v>52</v>
      </c>
      <c r="B22" s="968">
        <v>170</v>
      </c>
      <c r="C22" s="2485">
        <f>SUM(C9:C21)</f>
        <v>0</v>
      </c>
      <c r="D22" s="956">
        <f>SUM(D9:D21)</f>
        <v>0</v>
      </c>
      <c r="E22" s="2485">
        <f>SUM(E9:E20)</f>
        <v>0</v>
      </c>
      <c r="F22" s="957"/>
      <c r="H22" s="945"/>
      <c r="N22" s="945"/>
      <c r="O22" s="966"/>
      <c r="P22" s="966"/>
      <c r="Q22" s="966"/>
    </row>
    <row r="23" spans="1:17" ht="12" customHeight="1">
      <c r="A23" s="964" t="s">
        <v>53</v>
      </c>
      <c r="B23" s="965">
        <v>175</v>
      </c>
      <c r="C23" s="2485">
        <f>C168</f>
        <v>0</v>
      </c>
      <c r="D23" s="956">
        <f>D168</f>
        <v>0</v>
      </c>
      <c r="E23" s="2486">
        <f>IF(E168&lt;=E22,E168,"ERROR")</f>
        <v>0</v>
      </c>
      <c r="F23" s="957"/>
      <c r="G23" s="3099" t="str">
        <f>IF(E23="ERROR","Expenditures must be less than or equal to Resources Available","")</f>
        <v/>
      </c>
      <c r="H23" s="969"/>
    </row>
    <row r="24" spans="1:17" ht="12" customHeight="1">
      <c r="A24" s="964" t="s">
        <v>290</v>
      </c>
      <c r="B24" s="965">
        <v>190</v>
      </c>
      <c r="C24" s="2485">
        <f>C22-C23</f>
        <v>0</v>
      </c>
      <c r="D24" s="970">
        <f>D22-D23</f>
        <v>0</v>
      </c>
      <c r="E24" s="2614">
        <f>IF(ISERROR(E22-E23),"NEGATIVE",E22-E23)</f>
        <v>0</v>
      </c>
      <c r="F24" s="957"/>
      <c r="G24"/>
      <c r="H24" s="969"/>
    </row>
    <row r="25" spans="1:17" ht="13.5" customHeight="1">
      <c r="A25"/>
      <c r="B25"/>
      <c r="C25" s="3092"/>
      <c r="D25" s="3092"/>
      <c r="E25"/>
      <c r="F25" s="957"/>
      <c r="G25"/>
      <c r="H25" s="969"/>
    </row>
    <row r="26" spans="1:17" ht="12.75" customHeight="1">
      <c r="A26" s="506"/>
      <c r="B26" s="506"/>
      <c r="C26" s="506"/>
      <c r="D26" s="506"/>
      <c r="E26" s="506"/>
      <c r="F26" s="957"/>
    </row>
    <row r="27" spans="1:17" ht="11.1" customHeight="1">
      <c r="A27" s="938"/>
      <c r="B27" s="940"/>
      <c r="C27" s="941" t="s">
        <v>1213</v>
      </c>
      <c r="D27" s="941" t="s">
        <v>1213</v>
      </c>
      <c r="E27" s="941" t="s">
        <v>1213</v>
      </c>
      <c r="F27" s="957"/>
    </row>
    <row r="28" spans="1:17" ht="11.1" customHeight="1">
      <c r="A28" s="942" t="s">
        <v>301</v>
      </c>
      <c r="B28" s="943" t="s">
        <v>1045</v>
      </c>
      <c r="C28" s="944" t="str">
        <f>C6</f>
        <v>2014-2015</v>
      </c>
      <c r="D28" s="944" t="str">
        <f>D6</f>
        <v>2015-2016</v>
      </c>
      <c r="E28" s="944" t="str">
        <f>E6</f>
        <v>2016-2017</v>
      </c>
      <c r="F28" s="957"/>
    </row>
    <row r="29" spans="1:17" ht="11.1" customHeight="1">
      <c r="A29" s="942" t="s">
        <v>304</v>
      </c>
      <c r="B29" s="947">
        <v>22</v>
      </c>
      <c r="C29" s="948" t="s">
        <v>1139</v>
      </c>
      <c r="D29" s="948" t="s">
        <v>1139</v>
      </c>
      <c r="E29" s="948" t="s">
        <v>1215</v>
      </c>
      <c r="F29" s="957"/>
    </row>
    <row r="30" spans="1:17" ht="11.1" customHeight="1">
      <c r="A30" s="950"/>
      <c r="B30" s="951" t="s">
        <v>1051</v>
      </c>
      <c r="C30" s="952">
        <v>1</v>
      </c>
      <c r="D30" s="952">
        <v>2</v>
      </c>
      <c r="E30" s="952">
        <v>3</v>
      </c>
      <c r="F30" s="957"/>
    </row>
    <row r="31" spans="1:17" ht="12" customHeight="1">
      <c r="A31" s="960" t="s">
        <v>82</v>
      </c>
      <c r="B31" s="961"/>
      <c r="C31" s="971"/>
      <c r="D31" s="962"/>
      <c r="E31" s="971"/>
      <c r="F31" s="957"/>
    </row>
    <row r="32" spans="1:17" ht="12" customHeight="1">
      <c r="A32" s="958" t="s">
        <v>1309</v>
      </c>
      <c r="B32" s="959"/>
      <c r="C32" s="972"/>
      <c r="D32" s="962"/>
      <c r="E32" s="972"/>
      <c r="F32" s="957"/>
    </row>
    <row r="33" spans="1:6" ht="12" customHeight="1">
      <c r="A33" s="953" t="s">
        <v>1347</v>
      </c>
      <c r="B33" s="954">
        <v>210</v>
      </c>
      <c r="C33" s="973"/>
      <c r="D33" s="955"/>
      <c r="E33" s="973"/>
      <c r="F33" s="957"/>
    </row>
    <row r="34" spans="1:6" ht="12" customHeight="1">
      <c r="A34" s="964" t="s">
        <v>1270</v>
      </c>
      <c r="B34" s="965">
        <v>215</v>
      </c>
      <c r="C34" s="973"/>
      <c r="D34" s="955"/>
      <c r="E34" s="974"/>
      <c r="F34" s="957"/>
    </row>
    <row r="35" spans="1:6" ht="12" customHeight="1">
      <c r="A35" s="960" t="s">
        <v>1310</v>
      </c>
      <c r="B35" s="961"/>
      <c r="C35" s="972"/>
      <c r="D35" s="962"/>
      <c r="E35" s="971"/>
      <c r="F35" s="957"/>
    </row>
    <row r="36" spans="1:6" ht="12" customHeight="1">
      <c r="A36" s="953" t="s">
        <v>1311</v>
      </c>
      <c r="B36" s="954">
        <v>220</v>
      </c>
      <c r="C36" s="973"/>
      <c r="D36" s="955"/>
      <c r="E36" s="973"/>
      <c r="F36" s="957"/>
    </row>
    <row r="37" spans="1:6" ht="12" customHeight="1">
      <c r="A37" s="964" t="s">
        <v>1314</v>
      </c>
      <c r="B37" s="965">
        <v>225</v>
      </c>
      <c r="C37" s="974"/>
      <c r="D37" s="975"/>
      <c r="E37" s="974"/>
      <c r="F37" s="957"/>
    </row>
    <row r="38" spans="1:6" ht="12" customHeight="1">
      <c r="A38" s="964" t="s">
        <v>1315</v>
      </c>
      <c r="B38" s="965">
        <v>230</v>
      </c>
      <c r="C38" s="974"/>
      <c r="D38" s="975"/>
      <c r="E38" s="974"/>
      <c r="F38" s="957"/>
    </row>
    <row r="39" spans="1:6" ht="12" customHeight="1">
      <c r="A39" s="960" t="s">
        <v>98</v>
      </c>
      <c r="B39" s="961">
        <v>235</v>
      </c>
      <c r="C39" s="981"/>
      <c r="D39" s="976"/>
      <c r="E39" s="981"/>
      <c r="F39" s="957"/>
    </row>
    <row r="40" spans="1:6" ht="12" customHeight="1">
      <c r="A40" s="2940" t="s">
        <v>711</v>
      </c>
      <c r="B40" s="2941">
        <v>237</v>
      </c>
      <c r="C40" s="981"/>
      <c r="D40" s="976"/>
      <c r="E40" s="981"/>
      <c r="F40" s="957"/>
    </row>
    <row r="41" spans="1:6" ht="12" customHeight="1">
      <c r="A41" s="960" t="s">
        <v>1327</v>
      </c>
      <c r="B41" s="961"/>
      <c r="C41" s="971"/>
      <c r="D41" s="977"/>
      <c r="E41" s="971"/>
      <c r="F41" s="957"/>
    </row>
    <row r="42" spans="1:6" ht="12" customHeight="1">
      <c r="A42" s="958" t="s">
        <v>83</v>
      </c>
      <c r="B42" s="959"/>
      <c r="C42" s="972"/>
      <c r="D42" s="962"/>
      <c r="E42" s="972"/>
      <c r="F42" s="957"/>
    </row>
    <row r="43" spans="1:6" ht="12" customHeight="1">
      <c r="A43" s="953" t="s">
        <v>99</v>
      </c>
      <c r="B43" s="954">
        <v>240</v>
      </c>
      <c r="C43" s="973"/>
      <c r="D43" s="955"/>
      <c r="E43" s="973"/>
      <c r="F43" s="957"/>
    </row>
    <row r="44" spans="1:6" ht="12" customHeight="1">
      <c r="A44" s="953" t="s">
        <v>305</v>
      </c>
      <c r="B44" s="954">
        <v>245</v>
      </c>
      <c r="C44" s="973"/>
      <c r="D44" s="955"/>
      <c r="E44" s="973"/>
      <c r="F44" s="957"/>
    </row>
    <row r="45" spans="1:6" ht="12" customHeight="1">
      <c r="A45" s="953" t="s">
        <v>306</v>
      </c>
      <c r="B45" s="954">
        <v>250</v>
      </c>
      <c r="C45" s="973"/>
      <c r="D45" s="955"/>
      <c r="E45" s="973"/>
      <c r="F45" s="957"/>
    </row>
    <row r="46" spans="1:6" ht="12" customHeight="1">
      <c r="A46" s="964" t="s">
        <v>1336</v>
      </c>
      <c r="B46" s="965">
        <v>255</v>
      </c>
      <c r="C46" s="974"/>
      <c r="D46" s="975"/>
      <c r="E46" s="974"/>
      <c r="F46" s="957"/>
    </row>
    <row r="47" spans="1:6" ht="12" customHeight="1">
      <c r="A47" s="960" t="s">
        <v>1337</v>
      </c>
      <c r="B47" s="961"/>
      <c r="C47" s="971"/>
      <c r="D47" s="977"/>
      <c r="E47" s="971"/>
      <c r="F47" s="957"/>
    </row>
    <row r="48" spans="1:6" ht="12" customHeight="1">
      <c r="A48" s="953" t="s">
        <v>84</v>
      </c>
      <c r="B48" s="954">
        <v>260</v>
      </c>
      <c r="C48" s="973"/>
      <c r="D48" s="955"/>
      <c r="E48" s="973"/>
      <c r="F48" s="957"/>
    </row>
    <row r="49" spans="1:6" ht="12" customHeight="1">
      <c r="A49" s="953" t="s">
        <v>87</v>
      </c>
      <c r="B49" s="954">
        <v>265</v>
      </c>
      <c r="C49" s="973"/>
      <c r="D49" s="955"/>
      <c r="E49" s="973"/>
      <c r="F49" s="957"/>
    </row>
    <row r="50" spans="1:6" ht="12" customHeight="1">
      <c r="A50" s="2942" t="s">
        <v>1256</v>
      </c>
      <c r="B50" s="2943">
        <v>267</v>
      </c>
      <c r="C50" s="973"/>
      <c r="D50" s="955"/>
      <c r="E50" s="973"/>
      <c r="F50" s="957"/>
    </row>
    <row r="51" spans="1:6" ht="12" customHeight="1">
      <c r="A51" s="964" t="s">
        <v>1344</v>
      </c>
      <c r="B51" s="965">
        <v>270</v>
      </c>
      <c r="C51" s="974"/>
      <c r="D51" s="975"/>
      <c r="E51" s="974"/>
      <c r="F51" s="957"/>
    </row>
    <row r="52" spans="1:6" ht="12" customHeight="1">
      <c r="A52" s="964" t="s">
        <v>1345</v>
      </c>
      <c r="B52" s="965">
        <v>275</v>
      </c>
      <c r="C52" s="974"/>
      <c r="D52" s="975"/>
      <c r="E52" s="974"/>
      <c r="F52" s="957"/>
    </row>
    <row r="53" spans="1:6" ht="12" customHeight="1">
      <c r="A53" s="964" t="s">
        <v>1346</v>
      </c>
      <c r="B53" s="965">
        <v>280</v>
      </c>
      <c r="C53" s="974"/>
      <c r="D53" s="975"/>
      <c r="E53" s="974"/>
      <c r="F53" s="957"/>
    </row>
    <row r="54" spans="1:6" ht="12" customHeight="1">
      <c r="A54" s="960" t="s">
        <v>88</v>
      </c>
      <c r="B54" s="961"/>
      <c r="C54" s="972"/>
      <c r="D54" s="977"/>
      <c r="E54" s="971"/>
      <c r="F54" s="957"/>
    </row>
    <row r="55" spans="1:6" ht="12" customHeight="1">
      <c r="A55" s="958" t="s">
        <v>89</v>
      </c>
      <c r="B55" s="959"/>
      <c r="C55" s="972"/>
      <c r="D55" s="962"/>
      <c r="E55" s="972"/>
      <c r="F55" s="957"/>
    </row>
    <row r="56" spans="1:6" ht="12" customHeight="1">
      <c r="A56" s="958" t="s">
        <v>1309</v>
      </c>
      <c r="B56" s="959"/>
      <c r="C56" s="972"/>
      <c r="D56" s="962"/>
      <c r="E56" s="972"/>
      <c r="F56" s="957"/>
    </row>
    <row r="57" spans="1:6" ht="12" customHeight="1">
      <c r="A57" s="953" t="s">
        <v>1347</v>
      </c>
      <c r="B57" s="954">
        <v>285</v>
      </c>
      <c r="C57" s="973"/>
      <c r="D57" s="955"/>
      <c r="E57" s="973"/>
      <c r="F57" s="957"/>
    </row>
    <row r="58" spans="1:6" ht="12" customHeight="1">
      <c r="A58" s="953" t="s">
        <v>1270</v>
      </c>
      <c r="B58" s="954">
        <v>290</v>
      </c>
      <c r="C58" s="973"/>
      <c r="D58" s="955"/>
      <c r="E58" s="973"/>
      <c r="F58" s="957"/>
    </row>
    <row r="59" spans="1:6" ht="12" customHeight="1">
      <c r="A59" s="960" t="s">
        <v>1310</v>
      </c>
      <c r="B59" s="961"/>
      <c r="C59" s="971"/>
      <c r="D59" s="977"/>
      <c r="E59" s="971"/>
      <c r="F59" s="957"/>
    </row>
    <row r="60" spans="1:6" ht="12" customHeight="1">
      <c r="A60" s="953" t="s">
        <v>1311</v>
      </c>
      <c r="B60" s="954">
        <v>295</v>
      </c>
      <c r="C60" s="973"/>
      <c r="D60" s="955"/>
      <c r="E60" s="973"/>
      <c r="F60" s="957"/>
    </row>
    <row r="61" spans="1:6" ht="12" customHeight="1">
      <c r="A61" s="953" t="s">
        <v>1314</v>
      </c>
      <c r="B61" s="954">
        <v>300</v>
      </c>
      <c r="C61" s="973"/>
      <c r="D61" s="955"/>
      <c r="E61" s="973"/>
      <c r="F61" s="957"/>
    </row>
    <row r="62" spans="1:6" ht="12" customHeight="1">
      <c r="A62" s="960" t="s">
        <v>1315</v>
      </c>
      <c r="B62" s="961">
        <v>305</v>
      </c>
      <c r="C62" s="974"/>
      <c r="D62" s="976"/>
      <c r="E62" s="981"/>
      <c r="F62" s="957"/>
    </row>
    <row r="63" spans="1:6" ht="12" customHeight="1">
      <c r="A63" s="964" t="s">
        <v>98</v>
      </c>
      <c r="B63" s="965">
        <v>310</v>
      </c>
      <c r="C63" s="973"/>
      <c r="D63" s="975"/>
      <c r="E63" s="974"/>
      <c r="F63" s="957"/>
    </row>
    <row r="64" spans="1:6" ht="12" customHeight="1">
      <c r="A64" s="2944" t="s">
        <v>278</v>
      </c>
      <c r="B64" s="2945">
        <v>313</v>
      </c>
      <c r="C64" s="974"/>
      <c r="D64" s="974"/>
      <c r="E64" s="974"/>
      <c r="F64" s="957"/>
    </row>
    <row r="65" spans="1:6" ht="12.75" customHeight="1">
      <c r="A65" s="936" t="s">
        <v>1019</v>
      </c>
      <c r="B65" s="940">
        <f>B1</f>
        <v>270</v>
      </c>
      <c r="C65" s="938"/>
      <c r="D65" s="938"/>
      <c r="E65" s="936" t="s">
        <v>1020</v>
      </c>
      <c r="F65" s="957"/>
    </row>
    <row r="66" spans="1:6" ht="11.1" customHeight="1">
      <c r="A66" s="938"/>
      <c r="B66" s="940"/>
      <c r="C66" s="938"/>
      <c r="D66" s="938"/>
      <c r="E66" s="936" t="s">
        <v>1212</v>
      </c>
      <c r="F66" s="957"/>
    </row>
    <row r="67" spans="1:6" ht="11.1" customHeight="1">
      <c r="A67" s="938"/>
      <c r="B67" s="940"/>
      <c r="C67" s="938"/>
      <c r="D67" s="938"/>
      <c r="E67" s="936" t="str">
        <f>E3</f>
        <v>2016-2017</v>
      </c>
      <c r="F67" s="957"/>
    </row>
    <row r="68" spans="1:6" ht="4.5" customHeight="1">
      <c r="A68" s="938"/>
      <c r="B68" s="940"/>
      <c r="C68" s="938"/>
      <c r="D68" s="938"/>
      <c r="E68" s="938"/>
      <c r="F68" s="957"/>
    </row>
    <row r="69" spans="1:6" ht="11.1" customHeight="1">
      <c r="A69" s="938"/>
      <c r="B69" s="940"/>
      <c r="C69" s="941" t="s">
        <v>1213</v>
      </c>
      <c r="D69" s="941" t="s">
        <v>1213</v>
      </c>
      <c r="E69" s="941" t="s">
        <v>1213</v>
      </c>
      <c r="F69" s="957"/>
    </row>
    <row r="70" spans="1:6" ht="12" customHeight="1">
      <c r="A70" s="942" t="s">
        <v>301</v>
      </c>
      <c r="B70" s="943" t="s">
        <v>1045</v>
      </c>
      <c r="C70" s="944" t="str">
        <f>C6</f>
        <v>2014-2015</v>
      </c>
      <c r="D70" s="944" t="str">
        <f>D6</f>
        <v>2015-2016</v>
      </c>
      <c r="E70" s="944" t="str">
        <f>E6</f>
        <v>2016-2017</v>
      </c>
      <c r="F70" s="957"/>
    </row>
    <row r="71" spans="1:6" ht="12" customHeight="1">
      <c r="A71" s="942" t="s">
        <v>304</v>
      </c>
      <c r="B71" s="947">
        <v>22</v>
      </c>
      <c r="C71" s="948" t="s">
        <v>1139</v>
      </c>
      <c r="D71" s="948" t="s">
        <v>1139</v>
      </c>
      <c r="E71" s="948" t="s">
        <v>1215</v>
      </c>
      <c r="F71" s="957"/>
    </row>
    <row r="72" spans="1:6" ht="12" customHeight="1">
      <c r="A72" s="950"/>
      <c r="B72" s="951" t="s">
        <v>1051</v>
      </c>
      <c r="C72" s="952">
        <v>1</v>
      </c>
      <c r="D72" s="952">
        <v>2</v>
      </c>
      <c r="E72" s="952">
        <v>3</v>
      </c>
      <c r="F72" s="957"/>
    </row>
    <row r="73" spans="1:6" ht="12" customHeight="1">
      <c r="A73" s="964" t="s">
        <v>1327</v>
      </c>
      <c r="B73" s="965">
        <v>315</v>
      </c>
      <c r="C73" s="974"/>
      <c r="D73" s="975"/>
      <c r="E73" s="974"/>
      <c r="F73" s="957"/>
    </row>
    <row r="74" spans="1:6" ht="12" customHeight="1">
      <c r="A74" s="964" t="s">
        <v>1337</v>
      </c>
      <c r="B74" s="965">
        <v>320</v>
      </c>
      <c r="C74" s="974"/>
      <c r="D74" s="975"/>
      <c r="E74" s="974"/>
      <c r="F74" s="957"/>
    </row>
    <row r="75" spans="1:6" ht="12" customHeight="1">
      <c r="A75" s="964" t="s">
        <v>1345</v>
      </c>
      <c r="B75" s="965">
        <v>325</v>
      </c>
      <c r="C75" s="974"/>
      <c r="D75" s="975"/>
      <c r="E75" s="974"/>
      <c r="F75" s="957"/>
    </row>
    <row r="76" spans="1:6" ht="12" customHeight="1">
      <c r="A76" s="960" t="s">
        <v>1346</v>
      </c>
      <c r="B76" s="961">
        <v>330</v>
      </c>
      <c r="C76" s="981"/>
      <c r="D76" s="976"/>
      <c r="E76" s="981"/>
      <c r="F76" s="957"/>
    </row>
    <row r="77" spans="1:6" ht="12" customHeight="1">
      <c r="A77" s="960" t="s">
        <v>307</v>
      </c>
      <c r="B77" s="961"/>
      <c r="C77" s="971"/>
      <c r="D77" s="977"/>
      <c r="E77" s="971"/>
      <c r="F77" s="957"/>
    </row>
    <row r="78" spans="1:6" ht="12" customHeight="1">
      <c r="A78" s="958" t="s">
        <v>1309</v>
      </c>
      <c r="B78" s="959"/>
      <c r="C78" s="972"/>
      <c r="D78" s="962"/>
      <c r="E78" s="972"/>
      <c r="F78" s="957"/>
    </row>
    <row r="79" spans="1:6" ht="12" customHeight="1">
      <c r="A79" s="953" t="s">
        <v>1347</v>
      </c>
      <c r="B79" s="954">
        <v>335</v>
      </c>
      <c r="C79" s="973"/>
      <c r="D79" s="955"/>
      <c r="E79" s="973"/>
      <c r="F79" s="957"/>
    </row>
    <row r="80" spans="1:6" ht="12" customHeight="1">
      <c r="A80" s="964" t="s">
        <v>1270</v>
      </c>
      <c r="B80" s="965">
        <v>340</v>
      </c>
      <c r="C80" s="974"/>
      <c r="D80" s="975"/>
      <c r="E80" s="974"/>
      <c r="F80" s="957"/>
    </row>
    <row r="81" spans="1:6" ht="12" customHeight="1">
      <c r="A81" s="960" t="s">
        <v>1310</v>
      </c>
      <c r="B81" s="961"/>
      <c r="C81" s="971"/>
      <c r="D81" s="977"/>
      <c r="E81" s="971"/>
      <c r="F81" s="957"/>
    </row>
    <row r="82" spans="1:6" ht="12" customHeight="1">
      <c r="A82" s="953" t="s">
        <v>1311</v>
      </c>
      <c r="B82" s="954">
        <v>345</v>
      </c>
      <c r="C82" s="973"/>
      <c r="D82" s="955"/>
      <c r="E82" s="973"/>
      <c r="F82" s="957"/>
    </row>
    <row r="83" spans="1:6" ht="12" customHeight="1">
      <c r="A83" s="964" t="s">
        <v>1314</v>
      </c>
      <c r="B83" s="965">
        <v>350</v>
      </c>
      <c r="C83" s="974"/>
      <c r="D83" s="975"/>
      <c r="E83" s="974"/>
      <c r="F83" s="957"/>
    </row>
    <row r="84" spans="1:6" ht="12" customHeight="1">
      <c r="A84" s="964" t="s">
        <v>1315</v>
      </c>
      <c r="B84" s="965">
        <v>355</v>
      </c>
      <c r="C84" s="974"/>
      <c r="D84" s="975"/>
      <c r="E84" s="974"/>
      <c r="F84" s="957"/>
    </row>
    <row r="85" spans="1:6" ht="12" customHeight="1">
      <c r="A85" s="953" t="s">
        <v>1277</v>
      </c>
      <c r="B85" s="954">
        <v>360</v>
      </c>
      <c r="C85" s="973"/>
      <c r="D85" s="955"/>
      <c r="E85" s="973"/>
      <c r="F85" s="957"/>
    </row>
    <row r="86" spans="1:6" ht="12" customHeight="1">
      <c r="A86" s="2942" t="s">
        <v>711</v>
      </c>
      <c r="B86" s="954">
        <v>363</v>
      </c>
      <c r="C86" s="973"/>
      <c r="D86" s="955"/>
      <c r="E86" s="973"/>
      <c r="F86" s="957"/>
    </row>
    <row r="87" spans="1:6" ht="12" customHeight="1">
      <c r="A87" s="964" t="s">
        <v>1327</v>
      </c>
      <c r="B87" s="965">
        <v>365</v>
      </c>
      <c r="C87" s="974"/>
      <c r="D87" s="975"/>
      <c r="E87" s="974"/>
      <c r="F87" s="957"/>
    </row>
    <row r="88" spans="1:6" ht="12" customHeight="1">
      <c r="A88" s="960" t="s">
        <v>1337</v>
      </c>
      <c r="B88" s="961"/>
      <c r="C88" s="971"/>
      <c r="D88" s="977"/>
      <c r="E88" s="971"/>
      <c r="F88" s="957"/>
    </row>
    <row r="89" spans="1:6" ht="12" customHeight="1">
      <c r="A89" s="953" t="s">
        <v>1278</v>
      </c>
      <c r="B89" s="954">
        <v>370</v>
      </c>
      <c r="C89" s="973"/>
      <c r="D89" s="955"/>
      <c r="E89" s="973"/>
      <c r="F89" s="957"/>
    </row>
    <row r="90" spans="1:6" ht="12" customHeight="1">
      <c r="A90" s="964" t="s">
        <v>797</v>
      </c>
      <c r="B90" s="965">
        <v>375</v>
      </c>
      <c r="C90" s="974"/>
      <c r="D90" s="975"/>
      <c r="E90" s="974"/>
      <c r="F90" s="957"/>
    </row>
    <row r="91" spans="1:6" ht="12" customHeight="1">
      <c r="A91" s="953" t="s">
        <v>1344</v>
      </c>
      <c r="B91" s="954">
        <v>380</v>
      </c>
      <c r="C91" s="973"/>
      <c r="D91" s="955"/>
      <c r="E91" s="973"/>
      <c r="F91" s="957"/>
    </row>
    <row r="92" spans="1:6" ht="12" customHeight="1">
      <c r="A92" s="964" t="s">
        <v>1345</v>
      </c>
      <c r="B92" s="965">
        <v>385</v>
      </c>
      <c r="C92" s="974"/>
      <c r="D92" s="975"/>
      <c r="E92" s="974"/>
      <c r="F92" s="957"/>
    </row>
    <row r="93" spans="1:6" ht="12" customHeight="1">
      <c r="A93" s="964" t="s">
        <v>1346</v>
      </c>
      <c r="B93" s="965">
        <v>390</v>
      </c>
      <c r="C93" s="974"/>
      <c r="D93" s="974"/>
      <c r="E93" s="974"/>
      <c r="F93" s="957"/>
    </row>
    <row r="94" spans="1:6" ht="12" customHeight="1">
      <c r="A94" s="960" t="s">
        <v>102</v>
      </c>
      <c r="B94" s="961"/>
      <c r="C94" s="3040"/>
      <c r="D94" s="972"/>
      <c r="E94" s="3042"/>
      <c r="F94" s="957"/>
    </row>
    <row r="95" spans="1:6" ht="12" customHeight="1">
      <c r="A95" s="958" t="s">
        <v>1309</v>
      </c>
      <c r="B95" s="959"/>
      <c r="C95" s="3040"/>
      <c r="D95" s="972"/>
      <c r="E95" s="3042"/>
      <c r="F95" s="957"/>
    </row>
    <row r="96" spans="1:6" ht="12" customHeight="1">
      <c r="A96" s="953" t="s">
        <v>1347</v>
      </c>
      <c r="B96" s="954">
        <v>450</v>
      </c>
      <c r="C96" s="3041"/>
      <c r="D96" s="973"/>
      <c r="E96" s="3043"/>
      <c r="F96" s="957"/>
    </row>
    <row r="97" spans="1:6" ht="12" customHeight="1">
      <c r="A97" s="964" t="s">
        <v>1270</v>
      </c>
      <c r="B97" s="965">
        <v>455</v>
      </c>
      <c r="C97" s="974"/>
      <c r="D97" s="955"/>
      <c r="E97" s="974"/>
      <c r="F97" s="957"/>
    </row>
    <row r="98" spans="1:6" ht="12" customHeight="1">
      <c r="A98" s="960" t="s">
        <v>1310</v>
      </c>
      <c r="B98" s="961"/>
      <c r="C98" s="971"/>
      <c r="D98" s="977"/>
      <c r="E98" s="971"/>
      <c r="F98" s="957"/>
    </row>
    <row r="99" spans="1:6" ht="12" customHeight="1">
      <c r="A99" s="953" t="s">
        <v>1311</v>
      </c>
      <c r="B99" s="954">
        <v>460</v>
      </c>
      <c r="C99" s="973"/>
      <c r="D99" s="955"/>
      <c r="E99" s="973"/>
      <c r="F99" s="957"/>
    </row>
    <row r="100" spans="1:6" ht="12" customHeight="1">
      <c r="A100" s="964" t="s">
        <v>1314</v>
      </c>
      <c r="B100" s="965">
        <v>465</v>
      </c>
      <c r="C100" s="974"/>
      <c r="D100" s="975"/>
      <c r="E100" s="974"/>
      <c r="F100" s="957"/>
    </row>
    <row r="101" spans="1:6" ht="12" customHeight="1">
      <c r="A101" s="964" t="s">
        <v>1315</v>
      </c>
      <c r="B101" s="965">
        <v>470</v>
      </c>
      <c r="C101" s="974"/>
      <c r="D101" s="975"/>
      <c r="E101" s="974"/>
      <c r="F101" s="957"/>
    </row>
    <row r="102" spans="1:6" ht="12" customHeight="1">
      <c r="A102" s="964" t="s">
        <v>1</v>
      </c>
      <c r="B102" s="965">
        <v>475</v>
      </c>
      <c r="C102" s="974"/>
      <c r="D102" s="975"/>
      <c r="E102" s="974"/>
      <c r="F102" s="957"/>
    </row>
    <row r="103" spans="1:6" ht="12" customHeight="1">
      <c r="A103" s="964" t="s">
        <v>1327</v>
      </c>
      <c r="B103" s="965">
        <v>480</v>
      </c>
      <c r="C103" s="974"/>
      <c r="D103" s="975"/>
      <c r="E103" s="974"/>
      <c r="F103" s="957"/>
    </row>
    <row r="104" spans="1:6" ht="12" customHeight="1">
      <c r="A104" s="964" t="s">
        <v>1337</v>
      </c>
      <c r="B104" s="965">
        <v>485</v>
      </c>
      <c r="C104" s="974"/>
      <c r="D104" s="975"/>
      <c r="E104" s="974"/>
      <c r="F104" s="957"/>
    </row>
    <row r="105" spans="1:6" ht="12" customHeight="1">
      <c r="A105" s="964" t="s">
        <v>1345</v>
      </c>
      <c r="B105" s="965">
        <v>490</v>
      </c>
      <c r="C105" s="974"/>
      <c r="D105" s="975"/>
      <c r="E105" s="974"/>
      <c r="F105" s="957"/>
    </row>
    <row r="106" spans="1:6" ht="12" customHeight="1">
      <c r="A106" s="964" t="s">
        <v>1346</v>
      </c>
      <c r="B106" s="965">
        <v>495</v>
      </c>
      <c r="C106" s="974"/>
      <c r="D106" s="975"/>
      <c r="E106" s="974"/>
      <c r="F106" s="957"/>
    </row>
    <row r="107" spans="1:6" ht="12" customHeight="1">
      <c r="A107" s="375" t="s">
        <v>1745</v>
      </c>
      <c r="B107" s="379"/>
      <c r="C107" s="3852"/>
      <c r="D107" s="3851"/>
      <c r="E107" s="3854"/>
      <c r="F107" s="957"/>
    </row>
    <row r="108" spans="1:6" ht="12" customHeight="1">
      <c r="A108" s="378" t="s">
        <v>1544</v>
      </c>
      <c r="B108" s="379"/>
      <c r="C108" s="3853"/>
      <c r="D108" s="2635"/>
      <c r="E108" s="3854"/>
      <c r="F108" s="957"/>
    </row>
    <row r="109" spans="1:6" ht="12" customHeight="1">
      <c r="A109" s="381" t="s">
        <v>1746</v>
      </c>
      <c r="B109" s="2903">
        <v>595</v>
      </c>
      <c r="C109" s="3959"/>
      <c r="D109" s="3951"/>
      <c r="E109" s="3958"/>
      <c r="F109" s="957"/>
    </row>
    <row r="110" spans="1:6" ht="12" customHeight="1">
      <c r="A110" s="384" t="s">
        <v>1732</v>
      </c>
      <c r="B110" s="2902">
        <v>600</v>
      </c>
      <c r="C110" s="3954"/>
      <c r="D110" s="3954"/>
      <c r="E110" s="3960"/>
      <c r="F110" s="957"/>
    </row>
    <row r="111" spans="1:6" ht="12" customHeight="1">
      <c r="A111" s="378" t="s">
        <v>944</v>
      </c>
      <c r="B111" s="2900"/>
      <c r="C111" s="3961"/>
      <c r="D111" s="3955"/>
      <c r="E111" s="3962"/>
      <c r="F111" s="957"/>
    </row>
    <row r="112" spans="1:6" ht="12" customHeight="1">
      <c r="A112" s="381" t="s">
        <v>1748</v>
      </c>
      <c r="B112" s="2900">
        <v>605</v>
      </c>
      <c r="C112" s="3959"/>
      <c r="D112" s="3951"/>
      <c r="E112" s="3963"/>
      <c r="F112" s="957"/>
    </row>
    <row r="113" spans="1:6" ht="12" customHeight="1">
      <c r="A113" s="384" t="s">
        <v>1747</v>
      </c>
      <c r="B113" s="2902">
        <v>610</v>
      </c>
      <c r="C113" s="3954"/>
      <c r="D113" s="3954"/>
      <c r="E113" s="3960"/>
      <c r="F113" s="957"/>
    </row>
    <row r="114" spans="1:6" ht="12" customHeight="1">
      <c r="A114" s="384" t="s">
        <v>1749</v>
      </c>
      <c r="B114" s="2902">
        <v>615</v>
      </c>
      <c r="C114" s="3954"/>
      <c r="D114" s="3954"/>
      <c r="E114" s="3960"/>
      <c r="F114" s="957"/>
    </row>
    <row r="115" spans="1:6" ht="12" customHeight="1">
      <c r="A115" s="384" t="s">
        <v>1439</v>
      </c>
      <c r="B115" s="2902">
        <v>620</v>
      </c>
      <c r="C115" s="3954"/>
      <c r="D115" s="3954"/>
      <c r="E115" s="3960"/>
      <c r="F115" s="957"/>
    </row>
    <row r="116" spans="1:6" ht="12" customHeight="1">
      <c r="A116" s="384" t="s">
        <v>711</v>
      </c>
      <c r="B116" s="2902">
        <v>625</v>
      </c>
      <c r="C116" s="3954"/>
      <c r="D116" s="3954"/>
      <c r="E116" s="3960"/>
      <c r="F116" s="957"/>
    </row>
    <row r="117" spans="1:6" ht="12" customHeight="1">
      <c r="A117" s="384" t="s">
        <v>683</v>
      </c>
      <c r="B117" s="2902">
        <v>630</v>
      </c>
      <c r="C117" s="3954"/>
      <c r="D117" s="3954"/>
      <c r="E117" s="3960"/>
      <c r="F117" s="957"/>
    </row>
    <row r="118" spans="1:6" ht="12" customHeight="1">
      <c r="A118" s="384" t="s">
        <v>1738</v>
      </c>
      <c r="B118" s="2902">
        <v>635</v>
      </c>
      <c r="C118" s="3954"/>
      <c r="D118" s="3954"/>
      <c r="E118" s="3960"/>
      <c r="F118" s="957"/>
    </row>
    <row r="119" spans="1:6" ht="12" customHeight="1">
      <c r="A119" s="384" t="s">
        <v>1739</v>
      </c>
      <c r="B119" s="2902">
        <v>640</v>
      </c>
      <c r="C119" s="3954"/>
      <c r="D119" s="3954"/>
      <c r="E119" s="3960"/>
      <c r="F119" s="957"/>
    </row>
    <row r="120" spans="1:6" ht="12" customHeight="1">
      <c r="A120" s="384" t="s">
        <v>943</v>
      </c>
      <c r="B120" s="2902">
        <v>645</v>
      </c>
      <c r="C120" s="3964"/>
      <c r="D120" s="3954"/>
      <c r="E120" s="3960"/>
      <c r="F120" s="957"/>
    </row>
    <row r="121" spans="1:6" ht="12" customHeight="1">
      <c r="A121" s="960" t="s">
        <v>1308</v>
      </c>
      <c r="B121" s="959"/>
      <c r="C121" s="972"/>
      <c r="D121" s="962"/>
      <c r="E121" s="972"/>
      <c r="F121" s="957"/>
    </row>
    <row r="122" spans="1:6" ht="12" customHeight="1">
      <c r="A122" s="958" t="s">
        <v>1309</v>
      </c>
      <c r="B122" s="959"/>
      <c r="C122" s="972"/>
      <c r="D122" s="962"/>
      <c r="E122" s="972"/>
      <c r="F122" s="957"/>
    </row>
    <row r="123" spans="1:6" ht="12" customHeight="1">
      <c r="A123" s="953" t="s">
        <v>1270</v>
      </c>
      <c r="B123" s="954">
        <v>500</v>
      </c>
      <c r="C123" s="973"/>
      <c r="D123" s="955"/>
      <c r="E123" s="973"/>
      <c r="F123" s="957"/>
    </row>
    <row r="124" spans="1:6" ht="12" customHeight="1">
      <c r="A124" s="960" t="s">
        <v>1310</v>
      </c>
      <c r="B124" s="961"/>
      <c r="C124" s="971"/>
      <c r="D124" s="977"/>
      <c r="E124" s="971"/>
      <c r="F124" s="957"/>
    </row>
    <row r="125" spans="1:6" ht="12" customHeight="1">
      <c r="A125" s="953" t="s">
        <v>1311</v>
      </c>
      <c r="B125" s="954">
        <v>505</v>
      </c>
      <c r="C125" s="973"/>
      <c r="D125" s="955"/>
      <c r="E125" s="973"/>
      <c r="F125" s="957"/>
    </row>
    <row r="126" spans="1:6" ht="12" customHeight="1">
      <c r="A126" s="964" t="s">
        <v>1314</v>
      </c>
      <c r="B126" s="965">
        <v>510</v>
      </c>
      <c r="C126" s="974"/>
      <c r="D126" s="975"/>
      <c r="E126" s="974"/>
      <c r="F126" s="957"/>
    </row>
    <row r="127" spans="1:6" ht="12" customHeight="1">
      <c r="A127" s="964" t="s">
        <v>1315</v>
      </c>
      <c r="B127" s="3044">
        <v>515</v>
      </c>
      <c r="C127" s="974"/>
      <c r="D127" s="975"/>
      <c r="E127" s="974"/>
      <c r="F127" s="957"/>
    </row>
    <row r="128" spans="1:6" ht="12" customHeight="1">
      <c r="A128" s="953" t="s">
        <v>1277</v>
      </c>
      <c r="B128" s="954">
        <v>520</v>
      </c>
      <c r="C128" s="973"/>
      <c r="D128" s="955"/>
      <c r="E128" s="973"/>
      <c r="F128" s="957"/>
    </row>
    <row r="129" spans="1:6" ht="12" customHeight="1">
      <c r="A129" s="936" t="s">
        <v>1019</v>
      </c>
      <c r="B129" s="940">
        <f>B1</f>
        <v>270</v>
      </c>
      <c r="C129" s="938"/>
      <c r="D129" s="938"/>
      <c r="E129" s="936" t="s">
        <v>1020</v>
      </c>
      <c r="F129" s="957"/>
    </row>
    <row r="130" spans="1:6" ht="12" customHeight="1">
      <c r="A130" s="938"/>
      <c r="B130" s="940"/>
      <c r="C130" s="938"/>
      <c r="D130" s="938"/>
      <c r="E130" s="936" t="s">
        <v>1212</v>
      </c>
      <c r="F130" s="957"/>
    </row>
    <row r="131" spans="1:6" ht="12" customHeight="1">
      <c r="A131" s="938"/>
      <c r="B131" s="940"/>
      <c r="C131" s="938"/>
      <c r="D131" s="938"/>
      <c r="E131" s="936" t="str">
        <f>E3</f>
        <v>2016-2017</v>
      </c>
      <c r="F131" s="957"/>
    </row>
    <row r="132" spans="1:6" ht="12" customHeight="1">
      <c r="A132" s="938"/>
      <c r="B132" s="940"/>
      <c r="C132" s="938"/>
      <c r="D132" s="938"/>
      <c r="E132" s="938"/>
      <c r="F132" s="957"/>
    </row>
    <row r="133" spans="1:6" ht="12" customHeight="1">
      <c r="A133" s="938"/>
      <c r="B133" s="940"/>
      <c r="C133" s="941" t="s">
        <v>1213</v>
      </c>
      <c r="D133" s="941" t="s">
        <v>1213</v>
      </c>
      <c r="E133" s="941" t="s">
        <v>1213</v>
      </c>
      <c r="F133" s="957"/>
    </row>
    <row r="134" spans="1:6" ht="12" customHeight="1">
      <c r="A134" s="942" t="s">
        <v>301</v>
      </c>
      <c r="B134" s="943" t="s">
        <v>1045</v>
      </c>
      <c r="C134" s="944" t="str">
        <f>C6</f>
        <v>2014-2015</v>
      </c>
      <c r="D134" s="944" t="str">
        <f t="shared" ref="D134:E134" si="0">D6</f>
        <v>2015-2016</v>
      </c>
      <c r="E134" s="944" t="str">
        <f t="shared" si="0"/>
        <v>2016-2017</v>
      </c>
      <c r="F134" s="957"/>
    </row>
    <row r="135" spans="1:6" ht="12" customHeight="1">
      <c r="A135" s="942" t="s">
        <v>304</v>
      </c>
      <c r="B135" s="947">
        <v>22</v>
      </c>
      <c r="C135" s="948" t="s">
        <v>1139</v>
      </c>
      <c r="D135" s="948" t="s">
        <v>1139</v>
      </c>
      <c r="E135" s="948" t="s">
        <v>1215</v>
      </c>
      <c r="F135" s="957"/>
    </row>
    <row r="136" spans="1:6" ht="12" customHeight="1">
      <c r="A136" s="950"/>
      <c r="B136" s="951" t="s">
        <v>1051</v>
      </c>
      <c r="C136" s="952">
        <v>1</v>
      </c>
      <c r="D136" s="952">
        <v>2</v>
      </c>
      <c r="E136" s="952">
        <v>3</v>
      </c>
      <c r="F136" s="957"/>
    </row>
    <row r="137" spans="1:6" ht="12" customHeight="1">
      <c r="A137" s="960" t="s">
        <v>310</v>
      </c>
      <c r="B137" s="961"/>
      <c r="C137" s="971"/>
      <c r="D137" s="977"/>
      <c r="E137" s="971"/>
      <c r="F137" s="957"/>
    </row>
    <row r="138" spans="1:6" ht="12" customHeight="1">
      <c r="A138" s="953" t="s">
        <v>311</v>
      </c>
      <c r="B138" s="954">
        <v>525</v>
      </c>
      <c r="C138" s="973"/>
      <c r="D138" s="955"/>
      <c r="E138" s="973"/>
      <c r="F138" s="957"/>
    </row>
    <row r="139" spans="1:6" ht="12" customHeight="1">
      <c r="A139" s="953" t="s">
        <v>312</v>
      </c>
      <c r="B139" s="954">
        <v>530</v>
      </c>
      <c r="C139" s="973"/>
      <c r="D139" s="955"/>
      <c r="E139" s="973"/>
      <c r="F139" s="957"/>
    </row>
    <row r="140" spans="1:6" ht="12" customHeight="1">
      <c r="A140" s="953" t="s">
        <v>313</v>
      </c>
      <c r="B140" s="954">
        <v>535</v>
      </c>
      <c r="C140" s="973"/>
      <c r="D140" s="955"/>
      <c r="E140" s="973"/>
      <c r="F140" s="957"/>
    </row>
    <row r="141" spans="1:6" ht="12" customHeight="1">
      <c r="A141" s="953" t="s">
        <v>314</v>
      </c>
      <c r="B141" s="954">
        <v>540</v>
      </c>
      <c r="C141" s="973"/>
      <c r="D141" s="955"/>
      <c r="E141" s="973"/>
      <c r="F141" s="957"/>
    </row>
    <row r="142" spans="1:6" ht="12" customHeight="1">
      <c r="A142" s="953" t="s">
        <v>315</v>
      </c>
      <c r="B142" s="954">
        <v>545</v>
      </c>
      <c r="C142" s="973"/>
      <c r="D142" s="955"/>
      <c r="E142" s="973"/>
      <c r="F142" s="957"/>
    </row>
    <row r="143" spans="1:6" ht="12" customHeight="1">
      <c r="A143" s="964" t="s">
        <v>1327</v>
      </c>
      <c r="B143" s="965">
        <v>550</v>
      </c>
      <c r="C143" s="974"/>
      <c r="D143" s="975"/>
      <c r="E143" s="974"/>
      <c r="F143" s="957"/>
    </row>
    <row r="144" spans="1:6" ht="12" customHeight="1">
      <c r="A144" s="982" t="s">
        <v>1337</v>
      </c>
      <c r="B144" s="983"/>
      <c r="C144" s="2489"/>
      <c r="D144" s="984"/>
      <c r="E144" s="2489"/>
      <c r="F144" s="957"/>
    </row>
    <row r="145" spans="1:6" ht="12" customHeight="1">
      <c r="A145" s="985" t="s">
        <v>316</v>
      </c>
      <c r="B145" s="986">
        <v>555</v>
      </c>
      <c r="C145" s="2490"/>
      <c r="D145" s="987"/>
      <c r="E145" s="2490"/>
      <c r="F145" s="957"/>
    </row>
    <row r="146" spans="1:6" ht="12" customHeight="1">
      <c r="A146" s="988" t="s">
        <v>317</v>
      </c>
      <c r="B146" s="989"/>
      <c r="C146" s="2491"/>
      <c r="D146" s="990"/>
      <c r="E146" s="2491"/>
      <c r="F146" s="957"/>
    </row>
    <row r="147" spans="1:6" ht="12" customHeight="1">
      <c r="A147" s="985" t="s">
        <v>318</v>
      </c>
      <c r="B147" s="986">
        <v>560</v>
      </c>
      <c r="C147" s="2490"/>
      <c r="D147" s="987"/>
      <c r="E147" s="2490"/>
      <c r="F147" s="957"/>
    </row>
    <row r="148" spans="1:6" ht="12" customHeight="1">
      <c r="A148" s="985" t="s">
        <v>319</v>
      </c>
      <c r="B148" s="986">
        <v>565</v>
      </c>
      <c r="C148" s="2490"/>
      <c r="D148" s="987"/>
      <c r="E148" s="2490"/>
      <c r="F148" s="957"/>
    </row>
    <row r="149" spans="1:6" ht="12" customHeight="1">
      <c r="A149" s="985" t="s">
        <v>291</v>
      </c>
      <c r="B149" s="986">
        <v>570</v>
      </c>
      <c r="C149" s="2490"/>
      <c r="D149" s="987"/>
      <c r="E149" s="2490"/>
      <c r="F149" s="957"/>
    </row>
    <row r="150" spans="1:6" ht="12" customHeight="1">
      <c r="A150" s="985" t="s">
        <v>320</v>
      </c>
      <c r="B150" s="986">
        <v>575</v>
      </c>
      <c r="C150" s="2490"/>
      <c r="D150" s="987"/>
      <c r="E150" s="2490"/>
      <c r="F150" s="957"/>
    </row>
    <row r="151" spans="1:6" ht="12" customHeight="1">
      <c r="A151" s="985" t="s">
        <v>1399</v>
      </c>
      <c r="B151" s="986">
        <v>580</v>
      </c>
      <c r="C151" s="2490"/>
      <c r="D151" s="987"/>
      <c r="E151" s="2490"/>
      <c r="F151" s="957"/>
    </row>
    <row r="152" spans="1:6" ht="12" customHeight="1">
      <c r="A152" s="985" t="s">
        <v>1345</v>
      </c>
      <c r="B152" s="986">
        <v>585</v>
      </c>
      <c r="C152" s="2490"/>
      <c r="D152" s="987"/>
      <c r="E152" s="2490"/>
      <c r="F152" s="957"/>
    </row>
    <row r="153" spans="1:6" ht="12" customHeight="1">
      <c r="A153" s="991" t="s">
        <v>1346</v>
      </c>
      <c r="B153" s="992">
        <v>590</v>
      </c>
      <c r="C153" s="981"/>
      <c r="D153" s="975"/>
      <c r="E153" s="974"/>
      <c r="F153" s="957"/>
    </row>
    <row r="154" spans="1:6" ht="12" customHeight="1">
      <c r="A154" s="993" t="s">
        <v>1751</v>
      </c>
      <c r="B154" s="983"/>
      <c r="C154" s="3882"/>
      <c r="D154" s="977"/>
      <c r="E154" s="971"/>
      <c r="F154" s="957"/>
    </row>
    <row r="155" spans="1:6" ht="12" customHeight="1">
      <c r="A155" s="994" t="s">
        <v>1309</v>
      </c>
      <c r="B155" s="989"/>
      <c r="C155" s="3883"/>
      <c r="D155" s="962"/>
      <c r="E155" s="972"/>
      <c r="F155" s="957"/>
    </row>
    <row r="156" spans="1:6" ht="12" customHeight="1">
      <c r="A156" s="995" t="s">
        <v>1347</v>
      </c>
      <c r="B156" s="3987">
        <v>650</v>
      </c>
      <c r="C156" s="4024"/>
      <c r="D156" s="955"/>
      <c r="E156" s="973"/>
      <c r="F156" s="957"/>
    </row>
    <row r="157" spans="1:6" ht="12" customHeight="1">
      <c r="A157" s="996" t="s">
        <v>1270</v>
      </c>
      <c r="B157" s="3988">
        <v>655</v>
      </c>
      <c r="C157" s="4024"/>
      <c r="D157" s="975"/>
      <c r="E157" s="974"/>
      <c r="F157" s="957"/>
    </row>
    <row r="158" spans="1:6" ht="12" customHeight="1">
      <c r="A158" s="993" t="s">
        <v>1310</v>
      </c>
      <c r="B158" s="3989"/>
      <c r="C158" s="3883"/>
      <c r="D158" s="977"/>
      <c r="E158" s="971"/>
      <c r="F158" s="957"/>
    </row>
    <row r="159" spans="1:6" ht="12" customHeight="1">
      <c r="A159" s="995" t="s">
        <v>1348</v>
      </c>
      <c r="B159" s="3987">
        <v>660</v>
      </c>
      <c r="C159" s="4024"/>
      <c r="D159" s="955"/>
      <c r="E159" s="973"/>
      <c r="F159" s="957"/>
    </row>
    <row r="160" spans="1:6" ht="12" customHeight="1">
      <c r="A160" s="996" t="s">
        <v>1314</v>
      </c>
      <c r="B160" s="3988">
        <v>665</v>
      </c>
      <c r="C160" s="4024"/>
      <c r="D160" s="975"/>
      <c r="E160" s="974"/>
      <c r="F160" s="957"/>
    </row>
    <row r="161" spans="1:6" ht="12" customHeight="1">
      <c r="A161" s="996" t="s">
        <v>1315</v>
      </c>
      <c r="B161" s="3988">
        <v>670</v>
      </c>
      <c r="C161" s="4024"/>
      <c r="D161" s="975"/>
      <c r="E161" s="974"/>
      <c r="F161" s="957"/>
    </row>
    <row r="162" spans="1:6" ht="12" customHeight="1">
      <c r="A162" s="995" t="s">
        <v>1277</v>
      </c>
      <c r="B162" s="3987">
        <v>675</v>
      </c>
      <c r="C162" s="4024"/>
      <c r="D162" s="955"/>
      <c r="E162" s="973"/>
      <c r="F162" s="957"/>
    </row>
    <row r="163" spans="1:6" ht="12" customHeight="1">
      <c r="A163" s="996" t="s">
        <v>1318</v>
      </c>
      <c r="B163" s="3988">
        <v>680</v>
      </c>
      <c r="C163" s="4024"/>
      <c r="D163" s="975"/>
      <c r="E163" s="974"/>
      <c r="F163" s="957"/>
    </row>
    <row r="164" spans="1:6" ht="12" customHeight="1">
      <c r="A164" s="996" t="s">
        <v>1327</v>
      </c>
      <c r="B164" s="3990">
        <v>685</v>
      </c>
      <c r="C164" s="4024"/>
      <c r="D164" s="975"/>
      <c r="E164" s="974"/>
      <c r="F164" s="957"/>
    </row>
    <row r="165" spans="1:6" ht="12" customHeight="1">
      <c r="A165" s="996" t="s">
        <v>1337</v>
      </c>
      <c r="B165" s="3990">
        <v>690</v>
      </c>
      <c r="C165" s="4024"/>
      <c r="D165" s="975"/>
      <c r="E165" s="974"/>
      <c r="F165" s="957"/>
    </row>
    <row r="166" spans="1:6" ht="12" customHeight="1">
      <c r="A166" s="996" t="s">
        <v>1345</v>
      </c>
      <c r="B166" s="3990">
        <v>695</v>
      </c>
      <c r="C166" s="4024"/>
      <c r="D166" s="975"/>
      <c r="E166" s="974"/>
      <c r="F166" s="957"/>
    </row>
    <row r="167" spans="1:6" ht="12" customHeight="1">
      <c r="A167" s="996" t="s">
        <v>1346</v>
      </c>
      <c r="B167" s="3990">
        <v>700</v>
      </c>
      <c r="C167" s="4024"/>
      <c r="D167" s="975"/>
      <c r="E167" s="974"/>
      <c r="F167" s="957"/>
    </row>
    <row r="168" spans="1:6" ht="12" customHeight="1">
      <c r="A168" s="997" t="s">
        <v>1248</v>
      </c>
      <c r="B168" s="3592" t="s">
        <v>92</v>
      </c>
      <c r="C168" s="2485">
        <f>SUM(C138:C167,C73:C128,C31:C64)</f>
        <v>0</v>
      </c>
      <c r="D168" s="2486">
        <f>SUM(D138:D167,D73:D128,D31:D64)</f>
        <v>0</v>
      </c>
      <c r="E168" s="2486">
        <f>SUM(E138:E167,E73:E128,E31:E64)</f>
        <v>0</v>
      </c>
      <c r="F168" s="957"/>
    </row>
    <row r="169" spans="1:6" ht="12" customHeight="1">
      <c r="A169" s="938"/>
      <c r="B169" s="940"/>
      <c r="C169" s="938"/>
      <c r="D169" s="938"/>
      <c r="E169" s="938"/>
      <c r="F169" s="957"/>
    </row>
    <row r="170" spans="1:6" ht="11.1" customHeight="1">
      <c r="A170" s="978"/>
      <c r="B170" s="978"/>
      <c r="C170" s="998"/>
      <c r="D170" s="998"/>
      <c r="E170" s="998"/>
      <c r="F170" s="957"/>
    </row>
    <row r="171" spans="1:6" ht="2.1" customHeight="1">
      <c r="A171" s="978"/>
      <c r="B171" s="978"/>
      <c r="C171" s="979"/>
      <c r="D171" s="979"/>
      <c r="E171" s="979"/>
      <c r="F171" s="980"/>
    </row>
    <row r="172" spans="1:6" ht="12" customHeight="1">
      <c r="A172" s="938"/>
      <c r="B172" s="940"/>
      <c r="C172" s="957"/>
      <c r="D172" s="957"/>
      <c r="E172" s="957"/>
      <c r="F172" s="957"/>
    </row>
    <row r="173" spans="1:6" ht="12" customHeight="1">
      <c r="A173" s="998"/>
      <c r="B173" s="940"/>
      <c r="C173" s="980"/>
      <c r="D173" s="980"/>
      <c r="E173" s="980"/>
      <c r="F173" s="957"/>
    </row>
    <row r="174" spans="1:6" ht="12" customHeight="1">
      <c r="A174" s="938"/>
      <c r="B174" s="940"/>
      <c r="C174" s="957"/>
      <c r="D174" s="957"/>
      <c r="E174" s="957"/>
      <c r="F174" s="957"/>
    </row>
    <row r="175" spans="1:6" ht="12" customHeight="1">
      <c r="A175" s="938"/>
      <c r="B175" s="940"/>
      <c r="C175" s="957"/>
      <c r="D175" s="957"/>
      <c r="E175" s="957"/>
      <c r="F175" s="957"/>
    </row>
    <row r="176" spans="1:6" ht="12" customHeight="1">
      <c r="A176" s="938"/>
      <c r="B176" s="940"/>
      <c r="C176" s="957"/>
      <c r="D176" s="957"/>
      <c r="E176" s="957"/>
      <c r="F176" s="957"/>
    </row>
    <row r="177" spans="1:6" ht="12" customHeight="1">
      <c r="A177" s="938"/>
      <c r="B177" s="940"/>
      <c r="C177" s="957"/>
      <c r="D177" s="957"/>
      <c r="E177" s="957"/>
      <c r="F177" s="957"/>
    </row>
    <row r="178" spans="1:6" ht="12" customHeight="1">
      <c r="A178" s="938"/>
      <c r="B178" s="940"/>
      <c r="C178" s="957"/>
      <c r="D178" s="957"/>
      <c r="E178" s="957"/>
      <c r="F178" s="957"/>
    </row>
    <row r="179" spans="1:6" ht="12" customHeight="1">
      <c r="A179" s="938"/>
      <c r="B179" s="940"/>
      <c r="C179" s="957"/>
      <c r="D179" s="957"/>
      <c r="E179" s="957"/>
      <c r="F179" s="957"/>
    </row>
    <row r="180" spans="1:6" ht="12" customHeight="1">
      <c r="A180" s="938"/>
      <c r="B180" s="940"/>
      <c r="C180" s="957"/>
      <c r="D180" s="957"/>
      <c r="E180" s="957"/>
      <c r="F180" s="957"/>
    </row>
    <row r="181" spans="1:6" ht="12" customHeight="1">
      <c r="A181" s="938"/>
      <c r="B181" s="940"/>
      <c r="C181" s="957"/>
      <c r="D181" s="957"/>
      <c r="E181" s="957"/>
      <c r="F181" s="957"/>
    </row>
    <row r="182" spans="1:6" ht="12" customHeight="1">
      <c r="A182" s="938"/>
      <c r="B182" s="940"/>
      <c r="C182" s="957"/>
      <c r="D182" s="957"/>
      <c r="E182" s="957"/>
      <c r="F182" s="957"/>
    </row>
    <row r="183" spans="1:6" ht="12" customHeight="1">
      <c r="A183" s="938"/>
      <c r="B183" s="940"/>
      <c r="C183" s="957"/>
      <c r="D183" s="957"/>
      <c r="E183" s="957"/>
      <c r="F183" s="957"/>
    </row>
    <row r="184" spans="1:6" ht="12" customHeight="1">
      <c r="A184" s="938"/>
      <c r="B184" s="940"/>
      <c r="C184" s="957"/>
      <c r="D184" s="957"/>
      <c r="E184" s="957"/>
      <c r="F184" s="957"/>
    </row>
    <row r="185" spans="1:6" ht="12" customHeight="1">
      <c r="A185" s="938"/>
      <c r="B185" s="940"/>
      <c r="C185" s="957"/>
      <c r="D185" s="957"/>
      <c r="E185" s="957"/>
      <c r="F185" s="957"/>
    </row>
    <row r="186" spans="1:6" ht="12" customHeight="1">
      <c r="A186" s="938"/>
      <c r="B186" s="940"/>
      <c r="C186" s="957"/>
      <c r="D186" s="957"/>
      <c r="E186" s="957"/>
      <c r="F186" s="957"/>
    </row>
    <row r="187" spans="1:6" ht="12" customHeight="1">
      <c r="A187" s="938"/>
      <c r="B187" s="940"/>
      <c r="C187" s="957"/>
      <c r="D187" s="957"/>
      <c r="E187" s="957"/>
      <c r="F187" s="957"/>
    </row>
    <row r="188" spans="1:6" ht="12" customHeight="1">
      <c r="A188" s="938"/>
      <c r="B188" s="940"/>
      <c r="C188" s="957"/>
      <c r="D188" s="957"/>
      <c r="E188" s="957"/>
      <c r="F188" s="957"/>
    </row>
    <row r="189" spans="1:6" ht="12" customHeight="1">
      <c r="A189" s="938"/>
      <c r="B189" s="940"/>
      <c r="C189" s="957"/>
      <c r="D189" s="957"/>
      <c r="E189" s="957"/>
      <c r="F189" s="957"/>
    </row>
    <row r="190" spans="1:6" ht="12" customHeight="1">
      <c r="A190" s="938"/>
      <c r="B190" s="940"/>
      <c r="C190" s="957"/>
      <c r="D190" s="957"/>
      <c r="E190" s="957"/>
      <c r="F190" s="957"/>
    </row>
    <row r="191" spans="1:6" ht="12" customHeight="1">
      <c r="A191" s="938"/>
      <c r="B191" s="940"/>
      <c r="C191" s="957"/>
      <c r="D191" s="957"/>
      <c r="E191" s="957"/>
      <c r="F191" s="980"/>
    </row>
  </sheetData>
  <sheetProtection algorithmName="SHA-512" hashValue="vUp/SjDH1Ey9OyqvgV2AZLPhS+sjTK3S5qx0YALAe7sPwt7R5f8wP2VxqMZdDU9SewUXg+pw30NLUENrnzoZTg==" saltValue="eiiCv4g8ygG8pm3ulMxp3Q==" spinCount="100000" sheet="1" objects="1" scenarios="1"/>
  <phoneticPr fontId="10" type="noConversion"/>
  <dataValidations count="4">
    <dataValidation type="whole" operator="greaterThanOrEqual" showInputMessage="1" showErrorMessage="1" errorTitle="Invalid Data Entry" error="Please enter a positive number or press the delete key or enter zero." sqref="C123:E123 C99:E106 C159:E167 C156:E157 C147:E153 C145:E145 C138:E143 C60:E64 C57:E58 C48:E53 C43:E46 C36:E40 C32:E34 C125:E128 C10:D10 C89:E93 C73:E76 C79:E80 C82:E87 C96:E97 E15:E17 E13 C13:C17 D13 D15:D17">
      <formula1>0</formula1>
    </dataValidation>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a zero." sqref="C109:E110 C112:E120">
      <formula1>0</formula1>
    </dataValidation>
    <dataValidation operator="greaterThanOrEqual" errorTitle="Invalid Data Entry " error="Please enter a positive number or press the delete key or enter zero." sqref="E14"/>
  </dataValidations>
  <hyperlinks>
    <hyperlink ref="G1" location="Contents!F1" display="Return to Contents page"/>
  </hyperlinks>
  <printOptions horizontalCentered="1"/>
  <pageMargins left="0.25" right="0.25" top="0.5" bottom="0.19" header="0.5" footer="0.25"/>
  <pageSetup scale="88" orientation="portrait" blackAndWhite="1" r:id="rId1"/>
  <headerFooter alignWithMargins="0">
    <oddFooter>&amp;L&amp;D     &amp;T &amp;CCode No. 22&amp;RPage &amp;P</oddFooter>
  </headerFooter>
  <rowBreaks count="2" manualBreakCount="2">
    <brk id="64" max="4" man="1"/>
    <brk id="128" max="4"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sheetPr>
  <dimension ref="A1:Q238"/>
  <sheetViews>
    <sheetView workbookViewId="0">
      <selection activeCell="E99" sqref="E99"/>
    </sheetView>
  </sheetViews>
  <sheetFormatPr defaultColWidth="10.7109375" defaultRowHeight="12" customHeight="1"/>
  <cols>
    <col min="1" max="1" width="39.5703125" style="1010" customWidth="1"/>
    <col min="2" max="2" width="4.85546875" style="1053" customWidth="1"/>
    <col min="3" max="3" width="15.7109375" style="1004" customWidth="1"/>
    <col min="4" max="4" width="15.85546875" style="1004" customWidth="1"/>
    <col min="5" max="5" width="15.7109375" style="1004" customWidth="1"/>
    <col min="6" max="6" width="2.28515625" style="1004" customWidth="1"/>
    <col min="7" max="7" width="21" style="1004" customWidth="1"/>
    <col min="8" max="16384" width="10.7109375" style="1004"/>
  </cols>
  <sheetData>
    <row r="1" spans="1:17" ht="12" customHeight="1">
      <c r="A1" s="1000" t="s">
        <v>1019</v>
      </c>
      <c r="B1" s="1001">
        <f>OPEN!$B$4</f>
        <v>270</v>
      </c>
      <c r="C1" s="1002"/>
      <c r="D1" s="1002"/>
      <c r="E1" s="1000" t="s">
        <v>1020</v>
      </c>
      <c r="F1" s="1003"/>
      <c r="G1" s="3013" t="s">
        <v>866</v>
      </c>
    </row>
    <row r="2" spans="1:17" ht="12" customHeight="1">
      <c r="A2" s="1002"/>
      <c r="B2" s="1005"/>
      <c r="C2" s="1002"/>
      <c r="D2" s="1002"/>
      <c r="E2" s="1000" t="s">
        <v>1212</v>
      </c>
      <c r="F2" s="1003"/>
    </row>
    <row r="3" spans="1:17" ht="12" customHeight="1">
      <c r="A3" s="1002"/>
      <c r="B3" s="1005"/>
      <c r="C3" s="1002"/>
      <c r="D3" s="1002"/>
      <c r="E3" s="1000" t="str">
        <f>OPEN!N2</f>
        <v>2016-2017</v>
      </c>
      <c r="F3" s="1003"/>
    </row>
    <row r="4" spans="1:17" ht="5.0999999999999996" customHeight="1">
      <c r="A4" s="1002"/>
      <c r="B4" s="1005"/>
      <c r="C4" s="1002"/>
      <c r="D4" s="1002"/>
      <c r="E4" s="1002"/>
      <c r="F4" s="1003"/>
    </row>
    <row r="5" spans="1:17" ht="12" customHeight="1">
      <c r="A5" s="1002"/>
      <c r="B5" s="1005"/>
      <c r="C5" s="1006" t="s">
        <v>1213</v>
      </c>
      <c r="D5" s="1006" t="s">
        <v>1213</v>
      </c>
      <c r="E5" s="1006" t="s">
        <v>1213</v>
      </c>
      <c r="F5" s="1003"/>
    </row>
    <row r="6" spans="1:17" ht="12" customHeight="1">
      <c r="A6" s="1007"/>
      <c r="B6" s="1008" t="s">
        <v>1045</v>
      </c>
      <c r="C6" s="1009" t="str">
        <f>OPEN!N4</f>
        <v>2014-2015</v>
      </c>
      <c r="D6" s="1009" t="str">
        <f>OPEN!O4</f>
        <v>2015-2016</v>
      </c>
      <c r="E6" s="1009" t="str">
        <f>OPEN!P4</f>
        <v>2016-2017</v>
      </c>
      <c r="F6" s="1003"/>
      <c r="K6" s="1010"/>
      <c r="L6" s="1010"/>
      <c r="M6" s="1010"/>
      <c r="N6" s="1011"/>
      <c r="O6" s="1010"/>
      <c r="P6" s="1010"/>
      <c r="Q6" s="1010"/>
    </row>
    <row r="7" spans="1:17" ht="12" customHeight="1">
      <c r="A7" s="1007" t="s">
        <v>321</v>
      </c>
      <c r="B7" s="1012">
        <v>24</v>
      </c>
      <c r="C7" s="1013" t="s">
        <v>1139</v>
      </c>
      <c r="D7" s="1013" t="s">
        <v>1139</v>
      </c>
      <c r="E7" s="1013" t="s">
        <v>1215</v>
      </c>
      <c r="F7" s="1003"/>
      <c r="N7" s="1010"/>
      <c r="O7" s="1010"/>
      <c r="P7" s="1010"/>
      <c r="Q7" s="1010"/>
    </row>
    <row r="8" spans="1:17" ht="12" customHeight="1">
      <c r="A8" s="1014"/>
      <c r="B8" s="1015" t="s">
        <v>1051</v>
      </c>
      <c r="C8" s="1016">
        <v>1</v>
      </c>
      <c r="D8" s="1016">
        <v>2</v>
      </c>
      <c r="E8" s="1016">
        <v>3</v>
      </c>
      <c r="F8" s="1003"/>
      <c r="N8" s="1010"/>
      <c r="O8" s="1010"/>
      <c r="P8" s="1010"/>
      <c r="Q8" s="1010"/>
    </row>
    <row r="9" spans="1:17" ht="12" customHeight="1">
      <c r="A9" s="1017" t="s">
        <v>1402</v>
      </c>
      <c r="B9" s="1018">
        <v>1</v>
      </c>
      <c r="C9" s="1051">
        <v>75774</v>
      </c>
      <c r="D9" s="1020">
        <f>C33</f>
        <v>95843</v>
      </c>
      <c r="E9" s="2495">
        <f>D33</f>
        <v>96385</v>
      </c>
      <c r="F9" s="1003"/>
      <c r="N9" s="1010"/>
      <c r="O9" s="1010"/>
      <c r="P9" s="1010"/>
      <c r="Q9" s="1010"/>
    </row>
    <row r="10" spans="1:17" ht="12" customHeight="1">
      <c r="A10" s="1021" t="s">
        <v>73</v>
      </c>
      <c r="B10" s="1022">
        <v>3</v>
      </c>
      <c r="C10" s="2492"/>
      <c r="D10" s="1023"/>
      <c r="E10" s="1045"/>
      <c r="F10" s="1003"/>
      <c r="N10" s="1010"/>
      <c r="O10" s="1024"/>
      <c r="P10" s="1024"/>
      <c r="Q10" s="1024"/>
    </row>
    <row r="11" spans="1:17" ht="12" customHeight="1">
      <c r="A11" s="1025" t="s">
        <v>19</v>
      </c>
      <c r="B11" s="1026"/>
      <c r="C11" s="1044"/>
      <c r="D11" s="1027"/>
      <c r="E11" s="1045"/>
      <c r="F11" s="1003"/>
      <c r="N11" s="1010"/>
      <c r="O11" s="1010"/>
      <c r="P11" s="1010"/>
      <c r="Q11" s="1010"/>
    </row>
    <row r="12" spans="1:17" ht="12" customHeight="1">
      <c r="A12" s="1021" t="s">
        <v>20</v>
      </c>
      <c r="B12" s="1022"/>
      <c r="C12" s="1045"/>
      <c r="D12" s="1028"/>
      <c r="E12" s="1045"/>
      <c r="F12" s="1003"/>
      <c r="N12" s="1010"/>
      <c r="O12" s="1010"/>
      <c r="P12" s="1010"/>
      <c r="Q12" s="1010"/>
    </row>
    <row r="13" spans="1:17" ht="12" customHeight="1">
      <c r="A13" s="1017" t="s">
        <v>95</v>
      </c>
      <c r="B13" s="1018">
        <v>5</v>
      </c>
      <c r="C13" s="1046"/>
      <c r="D13" s="5001"/>
      <c r="E13" s="5245"/>
      <c r="F13" s="1003"/>
      <c r="N13" s="1010"/>
      <c r="O13" s="1024"/>
      <c r="P13" s="1024"/>
      <c r="Q13" s="1024"/>
    </row>
    <row r="14" spans="1:17" ht="12" customHeight="1">
      <c r="A14" s="1025" t="s">
        <v>322</v>
      </c>
      <c r="B14" s="1026"/>
      <c r="C14" s="1044"/>
      <c r="D14" s="1027"/>
      <c r="E14" s="1044"/>
      <c r="F14" s="1003"/>
      <c r="N14" s="1011"/>
      <c r="O14" s="1010"/>
      <c r="P14" s="1010"/>
      <c r="Q14" s="1010"/>
    </row>
    <row r="15" spans="1:17" ht="12" customHeight="1">
      <c r="A15" s="1017" t="s">
        <v>323</v>
      </c>
      <c r="B15" s="1018">
        <v>15</v>
      </c>
      <c r="C15" s="1046">
        <v>76218</v>
      </c>
      <c r="D15" s="1019">
        <v>68636</v>
      </c>
      <c r="E15" s="2494">
        <f>SUM('F162'!$I$12+'F162'!$I$13+'F162'!$I$14+'F162'!$I$16)</f>
        <v>66114</v>
      </c>
      <c r="F15" s="1003"/>
      <c r="G15" s="3949" t="str">
        <f>IF(E15&gt;0,IF(AND(C15&gt;0,D15&gt;0),"","&lt;--Enter data for columns 1 &amp; 2")," ")</f>
        <v/>
      </c>
      <c r="N15" s="1010"/>
      <c r="O15" s="1010"/>
      <c r="P15" s="1010"/>
      <c r="Q15" s="1010"/>
    </row>
    <row r="16" spans="1:17" ht="12" customHeight="1">
      <c r="A16" s="1017" t="s">
        <v>327</v>
      </c>
      <c r="B16" s="1018">
        <v>25</v>
      </c>
      <c r="C16" s="1046">
        <v>0</v>
      </c>
      <c r="D16" s="1019">
        <v>0</v>
      </c>
      <c r="E16" s="2494">
        <f>SUM('F162'!$I$21+'F162'!$I$22+'F162'!$I$23+'F162'!$I$25)</f>
        <v>1446</v>
      </c>
      <c r="F16" s="1003"/>
      <c r="G16" s="3949" t="str">
        <f t="shared" ref="G16:G18" si="0">IF(E16&gt;0,IF(AND(C16&gt;0,D16&gt;0),"","&lt;--Enter data for columns 1 &amp; 2")," ")</f>
        <v>&lt;--Enter data for columns 1 &amp; 2</v>
      </c>
      <c r="N16" s="1010"/>
      <c r="O16" s="1010"/>
      <c r="P16" s="1010"/>
      <c r="Q16" s="1010"/>
    </row>
    <row r="17" spans="1:17" ht="12" customHeight="1">
      <c r="A17" s="1029" t="s">
        <v>328</v>
      </c>
      <c r="B17" s="1030">
        <v>35</v>
      </c>
      <c r="C17" s="1051"/>
      <c r="D17" s="1031"/>
      <c r="E17" s="2495">
        <f>'F162'!$I$40</f>
        <v>0</v>
      </c>
      <c r="F17" s="1003"/>
      <c r="G17" s="3949" t="str">
        <f t="shared" si="0"/>
        <v xml:space="preserve"> </v>
      </c>
      <c r="N17" s="1010"/>
      <c r="O17" s="1010"/>
      <c r="P17" s="1010"/>
      <c r="Q17" s="1010"/>
    </row>
    <row r="18" spans="1:17" ht="12" customHeight="1">
      <c r="A18" s="1025" t="s">
        <v>329</v>
      </c>
      <c r="B18" s="1026">
        <v>40</v>
      </c>
      <c r="C18" s="2493"/>
      <c r="D18" s="1032"/>
      <c r="E18" s="2494">
        <f>SUM('F162'!$I$30+'F162'!$I$31+'F162'!$I$32+'F162'!$I$34)</f>
        <v>0</v>
      </c>
      <c r="F18" s="1003"/>
      <c r="G18" s="3949" t="str">
        <f t="shared" si="0"/>
        <v xml:space="preserve"> </v>
      </c>
      <c r="N18" s="1010"/>
      <c r="O18" s="1033"/>
      <c r="P18" s="1033"/>
      <c r="Q18" s="1033"/>
    </row>
    <row r="19" spans="1:17" ht="12" customHeight="1">
      <c r="A19" s="1025" t="s">
        <v>330</v>
      </c>
      <c r="B19" s="1026"/>
      <c r="C19" s="1044"/>
      <c r="D19" s="1027"/>
      <c r="E19" s="1044"/>
      <c r="F19" s="1003"/>
      <c r="N19" s="1010"/>
      <c r="O19" s="1010"/>
      <c r="P19" s="1010"/>
      <c r="Q19" s="1010"/>
    </row>
    <row r="20" spans="1:17" ht="12" customHeight="1">
      <c r="A20" s="1017" t="s">
        <v>331</v>
      </c>
      <c r="B20" s="1018">
        <v>45</v>
      </c>
      <c r="C20" s="1046">
        <v>4838</v>
      </c>
      <c r="D20" s="1019">
        <v>3840</v>
      </c>
      <c r="E20" s="2494">
        <f>'F162'!$I$17+'F162'!$I$26+'F162'!$I$45+'F162'!$J$35</f>
        <v>3990</v>
      </c>
      <c r="F20" s="1003"/>
      <c r="N20" s="1010"/>
      <c r="O20" s="1010"/>
      <c r="P20" s="1010"/>
      <c r="Q20" s="1010"/>
    </row>
    <row r="21" spans="1:17" ht="12" customHeight="1">
      <c r="A21" s="1017" t="s">
        <v>27</v>
      </c>
      <c r="B21" s="1018">
        <v>55</v>
      </c>
      <c r="C21" s="1046">
        <v>938</v>
      </c>
      <c r="D21" s="1019">
        <v>829</v>
      </c>
      <c r="E21" s="1046"/>
      <c r="F21" s="1003"/>
      <c r="N21" s="1010"/>
      <c r="O21" s="1033"/>
      <c r="P21" s="1033"/>
      <c r="Q21" s="1033"/>
    </row>
    <row r="22" spans="1:17" ht="12" customHeight="1">
      <c r="A22" s="1025" t="s">
        <v>33</v>
      </c>
      <c r="B22" s="1026"/>
      <c r="C22" s="1044"/>
      <c r="D22" s="1027"/>
      <c r="E22" s="1044"/>
      <c r="F22" s="1003"/>
    </row>
    <row r="23" spans="1:17" ht="12" customHeight="1">
      <c r="A23" s="1017" t="s">
        <v>332</v>
      </c>
      <c r="B23" s="1018">
        <v>65</v>
      </c>
      <c r="C23" s="1046">
        <v>2219</v>
      </c>
      <c r="D23" s="1019">
        <v>1696</v>
      </c>
      <c r="E23" s="2496">
        <f>'F162'!$G$48</f>
        <v>1696</v>
      </c>
      <c r="F23" s="1003"/>
    </row>
    <row r="24" spans="1:17" ht="12" customHeight="1">
      <c r="A24" s="1025" t="s">
        <v>46</v>
      </c>
      <c r="B24" s="1026"/>
      <c r="C24" s="1044"/>
      <c r="D24" s="1027"/>
      <c r="E24" s="1044"/>
      <c r="F24" s="1003"/>
    </row>
    <row r="25" spans="1:17" ht="12" customHeight="1">
      <c r="A25" s="1017" t="s">
        <v>333</v>
      </c>
      <c r="B25" s="1018">
        <v>75</v>
      </c>
      <c r="C25" s="1046">
        <v>96365</v>
      </c>
      <c r="D25" s="1019">
        <v>82186</v>
      </c>
      <c r="E25" s="2494">
        <f>'F162'!$E$48</f>
        <v>80525</v>
      </c>
      <c r="F25" s="1003"/>
    </row>
    <row r="26" spans="1:17" ht="12" customHeight="1">
      <c r="A26" s="2427" t="s">
        <v>1536</v>
      </c>
      <c r="B26" s="1022">
        <v>80</v>
      </c>
      <c r="C26" s="2492"/>
      <c r="D26" s="1051"/>
      <c r="E26" s="3802"/>
      <c r="F26" s="1003"/>
    </row>
    <row r="27" spans="1:17" ht="12" customHeight="1">
      <c r="A27" s="1034" t="s">
        <v>334</v>
      </c>
      <c r="B27" s="1035"/>
      <c r="C27" s="1044"/>
      <c r="D27" s="1027"/>
      <c r="E27" s="1044"/>
      <c r="F27" s="1003"/>
    </row>
    <row r="28" spans="1:17" ht="12" customHeight="1">
      <c r="A28" s="1036" t="s">
        <v>49</v>
      </c>
      <c r="B28" s="1037">
        <v>85</v>
      </c>
      <c r="C28" s="2494">
        <f>'C06'!$C$344</f>
        <v>0</v>
      </c>
      <c r="D28" s="1020">
        <f>'C06'!$D$344</f>
        <v>0</v>
      </c>
      <c r="E28" s="2494">
        <f>'C06'!$E$344</f>
        <v>0</v>
      </c>
      <c r="F28" s="1003"/>
    </row>
    <row r="29" spans="1:17" ht="12" customHeight="1">
      <c r="A29" s="1038" t="s">
        <v>335</v>
      </c>
      <c r="B29" s="1039">
        <v>90</v>
      </c>
      <c r="C29" s="2495">
        <f>'C08'!$C$313</f>
        <v>106000</v>
      </c>
      <c r="D29" s="1040">
        <f>'C08'!$D$313</f>
        <v>73000</v>
      </c>
      <c r="E29" s="2495">
        <f>'C08'!$E$313</f>
        <v>87000</v>
      </c>
      <c r="F29" s="1003"/>
    </row>
    <row r="30" spans="1:17" ht="12" customHeight="1">
      <c r="A30" s="1038" t="s">
        <v>50</v>
      </c>
      <c r="B30" s="1039">
        <v>95</v>
      </c>
      <c r="C30" s="2494">
        <f>'C053'!$C$267</f>
        <v>0</v>
      </c>
      <c r="D30" s="1040">
        <f>'C053'!$D$267</f>
        <v>0</v>
      </c>
      <c r="E30" s="2497" t="s">
        <v>1431</v>
      </c>
      <c r="F30" s="1003"/>
    </row>
    <row r="31" spans="1:17" ht="12" customHeight="1">
      <c r="A31" s="1041" t="s">
        <v>52</v>
      </c>
      <c r="B31" s="1039">
        <v>170</v>
      </c>
      <c r="C31" s="2494">
        <f>SUM(C9:C30)</f>
        <v>362352</v>
      </c>
      <c r="D31" s="1020">
        <f>SUM(D9:D30)</f>
        <v>326030</v>
      </c>
      <c r="E31" s="2494">
        <f>SUM(E9:E30)</f>
        <v>337156</v>
      </c>
      <c r="F31" s="1003"/>
    </row>
    <row r="32" spans="1:17" ht="12" customHeight="1">
      <c r="A32" s="1038" t="s">
        <v>53</v>
      </c>
      <c r="B32" s="1039">
        <v>175</v>
      </c>
      <c r="C32" s="2495">
        <f>C100</f>
        <v>266509</v>
      </c>
      <c r="D32" s="1040">
        <f>D100</f>
        <v>229645</v>
      </c>
      <c r="E32" s="2495">
        <f>IF(E100&lt;=E31,E100,"ERROR")</f>
        <v>307550</v>
      </c>
      <c r="F32" s="1003"/>
      <c r="G32" s="3100" t="str">
        <f>IF(E32="ERROR","Expenditures must be less than or equal to Resources Available","")</f>
        <v/>
      </c>
      <c r="H32" s="1042"/>
    </row>
    <row r="33" spans="1:8" ht="12" customHeight="1">
      <c r="A33" s="1038" t="s">
        <v>290</v>
      </c>
      <c r="B33" s="1039">
        <v>190</v>
      </c>
      <c r="C33" s="2495">
        <f>SUM(C31-C32)</f>
        <v>95843</v>
      </c>
      <c r="D33" s="1040">
        <f>SUM(D31-D32)</f>
        <v>96385</v>
      </c>
      <c r="E33" s="2615">
        <f>IF(ISERROR(E31-E32),"NEGATIVE",E31-E32)</f>
        <v>29606</v>
      </c>
      <c r="F33" s="1003"/>
      <c r="G33" s="1042"/>
      <c r="H33" s="1042"/>
    </row>
    <row r="34" spans="1:8" ht="12" customHeight="1">
      <c r="A34" s="1002"/>
      <c r="B34" s="1006"/>
      <c r="C34" s="1002"/>
      <c r="D34" s="1002"/>
      <c r="E34" s="1002"/>
      <c r="F34" s="1002"/>
    </row>
    <row r="35" spans="1:8" ht="12" customHeight="1">
      <c r="A35" s="1002" t="s">
        <v>1803</v>
      </c>
      <c r="B35" s="1006"/>
      <c r="C35" s="1002"/>
      <c r="D35" s="1002"/>
      <c r="E35" s="1002"/>
      <c r="F35" s="1002"/>
    </row>
    <row r="36" spans="1:8" ht="12" customHeight="1">
      <c r="A36" s="1002"/>
      <c r="B36" s="1006"/>
      <c r="C36" s="1002"/>
      <c r="D36" s="1002"/>
      <c r="E36" s="1002"/>
      <c r="F36" s="1002"/>
    </row>
    <row r="37" spans="1:8" ht="12" customHeight="1">
      <c r="A37" s="1002"/>
      <c r="B37" s="1006"/>
      <c r="C37" s="1002"/>
      <c r="D37" s="1002"/>
      <c r="E37" s="1002"/>
      <c r="F37" s="1002"/>
    </row>
    <row r="38" spans="1:8" ht="12" customHeight="1">
      <c r="A38" s="1002"/>
      <c r="B38" s="1006"/>
      <c r="C38" s="1002"/>
      <c r="D38" s="1002"/>
      <c r="E38" s="1002"/>
      <c r="F38" s="1002"/>
    </row>
    <row r="39" spans="1:8" ht="12" customHeight="1">
      <c r="A39" s="1002"/>
      <c r="B39" s="1006"/>
      <c r="C39" s="1002"/>
      <c r="D39" s="1002"/>
      <c r="E39" s="1002"/>
      <c r="F39" s="1002"/>
    </row>
    <row r="40" spans="1:8" ht="12" customHeight="1">
      <c r="A40" s="1002"/>
      <c r="B40" s="1006"/>
      <c r="C40" s="1002"/>
      <c r="D40" s="1002"/>
      <c r="E40" s="1002"/>
      <c r="F40" s="1002"/>
    </row>
    <row r="41" spans="1:8" ht="12" customHeight="1">
      <c r="A41" s="1002"/>
      <c r="B41" s="1006"/>
      <c r="C41" s="1002"/>
      <c r="D41" s="1002"/>
      <c r="E41" s="1002"/>
      <c r="F41" s="1002"/>
    </row>
    <row r="42" spans="1:8" ht="12" customHeight="1">
      <c r="A42" s="1002"/>
      <c r="B42" s="1006"/>
      <c r="C42" s="1002"/>
      <c r="D42" s="1002"/>
      <c r="E42" s="1002"/>
      <c r="F42" s="1002"/>
    </row>
    <row r="43" spans="1:8" ht="12" customHeight="1">
      <c r="A43" s="1002"/>
      <c r="B43" s="1006"/>
      <c r="C43" s="1002"/>
      <c r="D43" s="1002"/>
      <c r="E43" s="1002"/>
      <c r="F43" s="1002"/>
    </row>
    <row r="44" spans="1:8" ht="12" customHeight="1">
      <c r="A44" s="1002"/>
      <c r="B44" s="1006"/>
      <c r="C44" s="1002"/>
      <c r="D44" s="1002"/>
      <c r="E44" s="1002"/>
      <c r="F44" s="1002"/>
    </row>
    <row r="45" spans="1:8" ht="12" customHeight="1">
      <c r="A45" s="1002"/>
      <c r="B45" s="1006"/>
      <c r="C45" s="1002"/>
      <c r="D45" s="1002"/>
      <c r="E45" s="1002"/>
      <c r="F45" s="1002"/>
    </row>
    <row r="46" spans="1:8" ht="12" customHeight="1">
      <c r="A46" s="1002"/>
      <c r="B46" s="1006"/>
      <c r="C46" s="1002"/>
      <c r="D46" s="1002"/>
      <c r="E46" s="1002"/>
      <c r="F46" s="1002"/>
    </row>
    <row r="47" spans="1:8" ht="12" customHeight="1">
      <c r="A47" s="1002"/>
      <c r="B47" s="1006"/>
      <c r="C47" s="1002"/>
      <c r="D47" s="1002"/>
      <c r="E47" s="1002"/>
      <c r="F47" s="1002"/>
    </row>
    <row r="48" spans="1:8" ht="12" customHeight="1">
      <c r="A48" s="1002"/>
      <c r="B48" s="1006"/>
      <c r="C48" s="1002"/>
      <c r="D48" s="1002"/>
      <c r="E48" s="1002"/>
      <c r="F48" s="1002"/>
    </row>
    <row r="49" spans="1:6" ht="12" customHeight="1">
      <c r="A49" s="1002"/>
      <c r="B49" s="1006"/>
      <c r="C49" s="1002"/>
      <c r="D49" s="1002"/>
      <c r="E49" s="1002"/>
      <c r="F49" s="1002"/>
    </row>
    <row r="50" spans="1:6" ht="12" customHeight="1">
      <c r="A50" s="1002"/>
      <c r="B50" s="1006"/>
      <c r="C50" s="1002"/>
      <c r="D50" s="1002"/>
      <c r="E50" s="1002"/>
      <c r="F50" s="1002"/>
    </row>
    <row r="51" spans="1:6" ht="12.75" customHeight="1">
      <c r="A51" s="1002"/>
      <c r="B51" s="1006"/>
      <c r="C51" s="1002"/>
      <c r="D51" s="1002"/>
      <c r="E51" s="1002"/>
      <c r="F51" s="1002"/>
    </row>
    <row r="52" spans="1:6" ht="11.25" customHeight="1">
      <c r="A52" s="1043"/>
      <c r="B52" s="1043"/>
      <c r="C52" s="1043"/>
      <c r="D52" s="1043"/>
      <c r="E52" s="1043"/>
      <c r="F52" s="1043"/>
    </row>
    <row r="53" spans="1:6" ht="12" customHeight="1">
      <c r="A53" s="1000" t="s">
        <v>1019</v>
      </c>
      <c r="B53" s="1001">
        <f>B1</f>
        <v>270</v>
      </c>
      <c r="C53" s="1002"/>
      <c r="D53" s="1002"/>
      <c r="E53" s="1000" t="s">
        <v>1020</v>
      </c>
      <c r="F53" s="1002"/>
    </row>
    <row r="54" spans="1:6" ht="12" customHeight="1">
      <c r="A54" s="1002"/>
      <c r="B54" s="1006"/>
      <c r="C54" s="1002"/>
      <c r="D54" s="1002"/>
      <c r="E54" s="1000" t="s">
        <v>1212</v>
      </c>
      <c r="F54" s="1002"/>
    </row>
    <row r="55" spans="1:6" ht="12" customHeight="1">
      <c r="A55" s="1002"/>
      <c r="B55" s="1006"/>
      <c r="C55" s="1002"/>
      <c r="D55" s="1002"/>
      <c r="E55" s="1000" t="str">
        <f>E3</f>
        <v>2016-2017</v>
      </c>
      <c r="F55" s="1002"/>
    </row>
    <row r="56" spans="1:6" ht="5.0999999999999996" customHeight="1">
      <c r="A56" s="1002"/>
      <c r="B56" s="1006"/>
      <c r="C56" s="1002"/>
      <c r="D56" s="1002"/>
      <c r="E56" s="1002"/>
      <c r="F56" s="1002"/>
    </row>
    <row r="57" spans="1:6" ht="12" customHeight="1">
      <c r="A57" s="1002"/>
      <c r="B57" s="1005"/>
      <c r="C57" s="1006" t="s">
        <v>1213</v>
      </c>
      <c r="D57" s="1006" t="s">
        <v>1213</v>
      </c>
      <c r="E57" s="1006" t="s">
        <v>1213</v>
      </c>
      <c r="F57" s="1002"/>
    </row>
    <row r="58" spans="1:6" ht="12" customHeight="1">
      <c r="A58" s="1007"/>
      <c r="B58" s="1008" t="s">
        <v>1045</v>
      </c>
      <c r="C58" s="1009" t="str">
        <f>C6</f>
        <v>2014-2015</v>
      </c>
      <c r="D58" s="1009" t="str">
        <f>D6</f>
        <v>2015-2016</v>
      </c>
      <c r="E58" s="1009" t="str">
        <f>E6</f>
        <v>2016-2017</v>
      </c>
      <c r="F58" s="1002"/>
    </row>
    <row r="59" spans="1:6" ht="12" customHeight="1">
      <c r="A59" s="1007" t="s">
        <v>341</v>
      </c>
      <c r="B59" s="1012">
        <v>24</v>
      </c>
      <c r="C59" s="1013" t="s">
        <v>1139</v>
      </c>
      <c r="D59" s="1013" t="s">
        <v>1139</v>
      </c>
      <c r="E59" s="1013" t="s">
        <v>1215</v>
      </c>
      <c r="F59" s="1002"/>
    </row>
    <row r="60" spans="1:6" ht="12" customHeight="1">
      <c r="A60" s="1014"/>
      <c r="B60" s="1015" t="s">
        <v>1051</v>
      </c>
      <c r="C60" s="1016">
        <v>1</v>
      </c>
      <c r="D60" s="1016">
        <v>2</v>
      </c>
      <c r="E60" s="1016">
        <v>3</v>
      </c>
      <c r="F60" s="1002"/>
    </row>
    <row r="61" spans="1:6" ht="12" customHeight="1">
      <c r="A61" s="1025" t="s">
        <v>342</v>
      </c>
      <c r="B61" s="1026"/>
      <c r="C61" s="1044"/>
      <c r="D61" s="1027"/>
      <c r="E61" s="1044"/>
      <c r="F61" s="1002"/>
    </row>
    <row r="62" spans="1:6" ht="12" customHeight="1">
      <c r="A62" s="1021" t="s">
        <v>1268</v>
      </c>
      <c r="B62" s="1022"/>
      <c r="C62" s="1045"/>
      <c r="D62" s="1028"/>
      <c r="E62" s="1045"/>
      <c r="F62" s="1002"/>
    </row>
    <row r="63" spans="1:6" ht="12" customHeight="1">
      <c r="A63" s="1036" t="s">
        <v>343</v>
      </c>
      <c r="B63" s="1037">
        <v>210</v>
      </c>
      <c r="C63" s="1046">
        <v>12355</v>
      </c>
      <c r="D63" s="1019">
        <v>9200</v>
      </c>
      <c r="E63" s="1046">
        <v>13000</v>
      </c>
      <c r="F63" s="1003"/>
    </row>
    <row r="64" spans="1:6" ht="12" customHeight="1">
      <c r="A64" s="1034" t="s">
        <v>1271</v>
      </c>
      <c r="B64" s="1035"/>
      <c r="C64" s="1044"/>
      <c r="D64" s="1027"/>
      <c r="E64" s="1044"/>
      <c r="F64" s="1003"/>
    </row>
    <row r="65" spans="1:6" ht="12" customHeight="1">
      <c r="A65" s="1036" t="s">
        <v>1272</v>
      </c>
      <c r="B65" s="1037">
        <v>215</v>
      </c>
      <c r="C65" s="1046"/>
      <c r="D65" s="1019"/>
      <c r="E65" s="1046"/>
      <c r="F65" s="1003"/>
    </row>
    <row r="66" spans="1:6" ht="12" customHeight="1">
      <c r="A66" s="1036" t="s">
        <v>1273</v>
      </c>
      <c r="B66" s="1037">
        <v>220</v>
      </c>
      <c r="C66" s="1046"/>
      <c r="D66" s="1019"/>
      <c r="E66" s="1046"/>
      <c r="F66" s="1003"/>
    </row>
    <row r="67" spans="1:6" ht="12" customHeight="1">
      <c r="A67" s="1038" t="s">
        <v>1276</v>
      </c>
      <c r="B67" s="1039">
        <v>225</v>
      </c>
      <c r="C67" s="1051">
        <v>40</v>
      </c>
      <c r="D67" s="1031">
        <v>24</v>
      </c>
      <c r="E67" s="1051">
        <v>50</v>
      </c>
      <c r="F67" s="1003"/>
    </row>
    <row r="68" spans="1:6" ht="12" customHeight="1">
      <c r="A68" s="1034" t="s">
        <v>1303</v>
      </c>
      <c r="B68" s="1035"/>
      <c r="C68" s="1044"/>
      <c r="D68" s="1027"/>
      <c r="E68" s="1044"/>
      <c r="F68" s="1003"/>
    </row>
    <row r="69" spans="1:6" ht="12" customHeight="1">
      <c r="A69" s="1036" t="s">
        <v>344</v>
      </c>
      <c r="B69" s="1037">
        <v>230</v>
      </c>
      <c r="C69" s="1046">
        <v>994</v>
      </c>
      <c r="D69" s="1019">
        <v>404</v>
      </c>
      <c r="E69" s="1046">
        <v>1000</v>
      </c>
      <c r="F69" s="1003"/>
    </row>
    <row r="70" spans="1:6" ht="12" customHeight="1">
      <c r="A70" s="1038" t="s">
        <v>345</v>
      </c>
      <c r="B70" s="1039">
        <v>235</v>
      </c>
      <c r="C70" s="1051"/>
      <c r="D70" s="1031"/>
      <c r="E70" s="1051"/>
      <c r="F70" s="1003"/>
    </row>
    <row r="71" spans="1:6" ht="12" customHeight="1">
      <c r="A71" s="1038" t="s">
        <v>1282</v>
      </c>
      <c r="B71" s="1039">
        <v>240</v>
      </c>
      <c r="C71" s="1051"/>
      <c r="D71" s="1031"/>
      <c r="E71" s="1051"/>
      <c r="F71" s="1003"/>
    </row>
    <row r="72" spans="1:6" ht="12" customHeight="1">
      <c r="A72" s="1034" t="s">
        <v>1288</v>
      </c>
      <c r="B72" s="1035"/>
      <c r="C72" s="1044"/>
      <c r="D72" s="1027"/>
      <c r="E72" s="1044"/>
      <c r="F72" s="1003"/>
    </row>
    <row r="73" spans="1:6" ht="12" customHeight="1">
      <c r="A73" s="1036" t="s">
        <v>346</v>
      </c>
      <c r="B73" s="1037">
        <v>245</v>
      </c>
      <c r="C73" s="1046"/>
      <c r="D73" s="1019"/>
      <c r="E73" s="1046"/>
      <c r="F73" s="1003"/>
    </row>
    <row r="74" spans="1:6" ht="12" customHeight="1">
      <c r="A74" s="1034" t="s">
        <v>347</v>
      </c>
      <c r="B74" s="1035"/>
      <c r="C74" s="1044"/>
      <c r="D74" s="1027"/>
      <c r="E74" s="1044"/>
      <c r="F74" s="1003"/>
    </row>
    <row r="75" spans="1:6" ht="12" customHeight="1">
      <c r="A75" s="1036" t="s">
        <v>348</v>
      </c>
      <c r="B75" s="1037">
        <v>250</v>
      </c>
      <c r="C75" s="1046">
        <v>1684</v>
      </c>
      <c r="D75" s="1019">
        <v>187</v>
      </c>
      <c r="E75" s="1046">
        <v>2000</v>
      </c>
      <c r="F75" s="1003"/>
    </row>
    <row r="76" spans="1:6" ht="12" customHeight="1">
      <c r="A76" s="1036" t="s">
        <v>349</v>
      </c>
      <c r="B76" s="1037">
        <v>255</v>
      </c>
      <c r="C76" s="1046">
        <v>4405</v>
      </c>
      <c r="D76" s="1019">
        <v>3374</v>
      </c>
      <c r="E76" s="1046">
        <v>6000</v>
      </c>
      <c r="F76" s="1003"/>
    </row>
    <row r="77" spans="1:6" ht="12" customHeight="1">
      <c r="A77" s="1038" t="s">
        <v>291</v>
      </c>
      <c r="B77" s="1039">
        <v>260</v>
      </c>
      <c r="C77" s="1051"/>
      <c r="D77" s="1031"/>
      <c r="E77" s="1051"/>
      <c r="F77" s="1003"/>
    </row>
    <row r="78" spans="1:6" ht="12" customHeight="1">
      <c r="A78" s="1038" t="s">
        <v>350</v>
      </c>
      <c r="B78" s="1039">
        <v>265</v>
      </c>
      <c r="C78" s="1051"/>
      <c r="D78" s="1031"/>
      <c r="E78" s="1051"/>
      <c r="F78" s="1003"/>
    </row>
    <row r="79" spans="1:6" ht="12" customHeight="1">
      <c r="A79" s="1038" t="s">
        <v>1291</v>
      </c>
      <c r="B79" s="1039">
        <v>270</v>
      </c>
      <c r="C79" s="1051"/>
      <c r="D79" s="1031"/>
      <c r="E79" s="1051"/>
      <c r="F79" s="1003"/>
    </row>
    <row r="80" spans="1:6" ht="12" customHeight="1">
      <c r="A80" s="1038" t="s">
        <v>1292</v>
      </c>
      <c r="B80" s="1039">
        <v>275</v>
      </c>
      <c r="C80" s="1051"/>
      <c r="D80" s="1031"/>
      <c r="E80" s="1051"/>
      <c r="F80" s="1003"/>
    </row>
    <row r="81" spans="1:6" ht="12" customHeight="1">
      <c r="A81" s="1038" t="s">
        <v>1293</v>
      </c>
      <c r="B81" s="1035">
        <v>280</v>
      </c>
      <c r="C81" s="1051"/>
      <c r="D81" s="1031"/>
      <c r="E81" s="1051"/>
      <c r="F81" s="1003"/>
    </row>
    <row r="82" spans="1:6" ht="12" customHeight="1">
      <c r="A82" s="1047" t="s">
        <v>351</v>
      </c>
      <c r="B82" s="1035"/>
      <c r="C82" s="1044"/>
      <c r="D82" s="1027"/>
      <c r="E82" s="1044"/>
      <c r="F82" s="1003"/>
    </row>
    <row r="83" spans="1:6" ht="12" customHeight="1">
      <c r="A83" s="1048" t="s">
        <v>352</v>
      </c>
      <c r="B83" s="1049"/>
      <c r="C83" s="1045"/>
      <c r="D83" s="1028"/>
      <c r="E83" s="1045"/>
      <c r="F83" s="1003"/>
    </row>
    <row r="84" spans="1:6" ht="12" customHeight="1">
      <c r="A84" s="1048" t="s">
        <v>1268</v>
      </c>
      <c r="B84" s="1049"/>
      <c r="C84" s="1045"/>
      <c r="D84" s="1028"/>
      <c r="E84" s="1045"/>
      <c r="F84" s="1003"/>
    </row>
    <row r="85" spans="1:6" ht="12" customHeight="1">
      <c r="A85" s="1050" t="s">
        <v>1269</v>
      </c>
      <c r="B85" s="1037">
        <v>285</v>
      </c>
      <c r="C85" s="1046"/>
      <c r="D85" s="1019"/>
      <c r="E85" s="1046"/>
      <c r="F85" s="1003"/>
    </row>
    <row r="86" spans="1:6" ht="12" customHeight="1">
      <c r="A86" s="1038" t="s">
        <v>1386</v>
      </c>
      <c r="B86" s="1039">
        <v>290</v>
      </c>
      <c r="C86" s="1051">
        <v>84580</v>
      </c>
      <c r="D86" s="1031">
        <v>83079</v>
      </c>
      <c r="E86" s="1051">
        <v>90000</v>
      </c>
      <c r="F86" s="1003"/>
    </row>
    <row r="87" spans="1:6" ht="12" customHeight="1">
      <c r="A87" s="1034" t="s">
        <v>1271</v>
      </c>
      <c r="B87" s="1035"/>
      <c r="C87" s="1044"/>
      <c r="D87" s="1027"/>
      <c r="E87" s="1044"/>
      <c r="F87" s="1003"/>
    </row>
    <row r="88" spans="1:6" ht="12" customHeight="1">
      <c r="A88" s="1036" t="s">
        <v>353</v>
      </c>
      <c r="B88" s="1037">
        <v>295</v>
      </c>
      <c r="C88" s="1046">
        <v>11317</v>
      </c>
      <c r="D88" s="1019">
        <v>14232</v>
      </c>
      <c r="E88" s="1046">
        <v>15000</v>
      </c>
      <c r="F88" s="1003"/>
    </row>
    <row r="89" spans="1:6" ht="12" customHeight="1">
      <c r="A89" s="1038" t="s">
        <v>1273</v>
      </c>
      <c r="B89" s="1039">
        <v>300</v>
      </c>
      <c r="C89" s="1051">
        <v>6890</v>
      </c>
      <c r="D89" s="1031">
        <v>5946</v>
      </c>
      <c r="E89" s="1051">
        <v>8500</v>
      </c>
      <c r="F89" s="1003"/>
    </row>
    <row r="90" spans="1:6" ht="12" customHeight="1">
      <c r="A90" s="1034" t="s">
        <v>1276</v>
      </c>
      <c r="B90" s="1035">
        <v>305</v>
      </c>
      <c r="C90" s="2493">
        <v>5947</v>
      </c>
      <c r="D90" s="1032">
        <v>4560</v>
      </c>
      <c r="E90" s="2493">
        <v>9000</v>
      </c>
      <c r="F90" s="1003"/>
    </row>
    <row r="91" spans="1:6" ht="12" customHeight="1">
      <c r="A91" s="1034" t="s">
        <v>1282</v>
      </c>
      <c r="B91" s="1035"/>
      <c r="C91" s="1044"/>
      <c r="D91" s="1027"/>
      <c r="E91" s="1044"/>
      <c r="F91" s="1003"/>
    </row>
    <row r="92" spans="1:6" ht="12" customHeight="1">
      <c r="A92" s="1036" t="s">
        <v>1304</v>
      </c>
      <c r="B92" s="1037">
        <v>310</v>
      </c>
      <c r="C92" s="1046"/>
      <c r="D92" s="1019"/>
      <c r="E92" s="1046"/>
      <c r="F92" s="1003"/>
    </row>
    <row r="93" spans="1:6" ht="12" customHeight="1">
      <c r="A93" s="1038" t="s">
        <v>354</v>
      </c>
      <c r="B93" s="1039">
        <v>315</v>
      </c>
      <c r="C93" s="1051">
        <v>1931</v>
      </c>
      <c r="D93" s="1031">
        <v>1261</v>
      </c>
      <c r="E93" s="1051">
        <v>2000</v>
      </c>
      <c r="F93" s="1003"/>
    </row>
    <row r="94" spans="1:6" ht="12" customHeight="1">
      <c r="A94" s="1038" t="s">
        <v>1397</v>
      </c>
      <c r="B94" s="1039">
        <v>320</v>
      </c>
      <c r="C94" s="1051">
        <v>1972</v>
      </c>
      <c r="D94" s="1031">
        <v>934</v>
      </c>
      <c r="E94" s="1051">
        <v>10000</v>
      </c>
      <c r="F94" s="1003"/>
    </row>
    <row r="95" spans="1:6" ht="12" customHeight="1">
      <c r="A95" s="1034" t="s">
        <v>1288</v>
      </c>
      <c r="B95" s="1035"/>
      <c r="C95" s="1044"/>
      <c r="D95" s="1027"/>
      <c r="E95" s="1044"/>
      <c r="F95" s="1003"/>
    </row>
    <row r="96" spans="1:6" ht="12" customHeight="1">
      <c r="A96" s="1036" t="s">
        <v>355</v>
      </c>
      <c r="B96" s="1037">
        <v>325</v>
      </c>
      <c r="C96" s="1046">
        <v>125519</v>
      </c>
      <c r="D96" s="1019">
        <v>100040</v>
      </c>
      <c r="E96" s="1046">
        <v>130000</v>
      </c>
      <c r="F96" s="1003"/>
    </row>
    <row r="97" spans="1:6" ht="12" customHeight="1">
      <c r="A97" s="1038" t="s">
        <v>1291</v>
      </c>
      <c r="B97" s="1039">
        <v>330</v>
      </c>
      <c r="C97" s="1051">
        <v>8784</v>
      </c>
      <c r="D97" s="1031">
        <v>5201</v>
      </c>
      <c r="E97" s="1051">
        <v>11000</v>
      </c>
      <c r="F97" s="1003"/>
    </row>
    <row r="98" spans="1:6" ht="12" customHeight="1">
      <c r="A98" s="1038" t="s">
        <v>1292</v>
      </c>
      <c r="B98" s="1039">
        <v>335</v>
      </c>
      <c r="C98" s="1051">
        <v>91</v>
      </c>
      <c r="D98" s="1031">
        <v>1203</v>
      </c>
      <c r="E98" s="1051">
        <v>10000</v>
      </c>
      <c r="F98" s="1003"/>
    </row>
    <row r="99" spans="1:6" ht="12" customHeight="1">
      <c r="A99" s="1038" t="s">
        <v>1293</v>
      </c>
      <c r="B99" s="1039">
        <v>340</v>
      </c>
      <c r="C99" s="1051"/>
      <c r="D99" s="1031"/>
      <c r="E99" s="1051"/>
      <c r="F99" s="1003"/>
    </row>
    <row r="100" spans="1:6" ht="12" customHeight="1">
      <c r="A100" s="1038" t="s">
        <v>1248</v>
      </c>
      <c r="B100" s="1052" t="s">
        <v>92</v>
      </c>
      <c r="C100" s="2495">
        <f>SUM(C61:C99)</f>
        <v>266509</v>
      </c>
      <c r="D100" s="1040">
        <f>SUM(D61:D99)</f>
        <v>229645</v>
      </c>
      <c r="E100" s="2495">
        <f>SUM(E61:E99)</f>
        <v>307550</v>
      </c>
      <c r="F100" s="1003"/>
    </row>
    <row r="101" spans="1:6" s="1010" customFormat="1" ht="13.5" customHeight="1">
      <c r="A101" s="1002"/>
      <c r="B101" s="1002"/>
      <c r="C101" s="1002"/>
      <c r="D101" s="1002"/>
      <c r="E101" s="3130"/>
      <c r="F101" s="1002"/>
    </row>
    <row r="102" spans="1:6" s="1010" customFormat="1" ht="12" customHeight="1">
      <c r="A102" s="1002"/>
      <c r="B102" s="1002"/>
      <c r="C102" s="1002"/>
      <c r="D102" s="1002"/>
      <c r="E102" s="3130"/>
      <c r="F102" s="1002"/>
    </row>
    <row r="103" spans="1:6" s="1010" customFormat="1" ht="12.75" customHeight="1">
      <c r="A103" s="1002"/>
      <c r="B103" s="1002"/>
      <c r="C103" s="1002"/>
      <c r="D103" s="1002"/>
      <c r="E103" s="1002"/>
      <c r="F103" s="1002"/>
    </row>
    <row r="104" spans="1:6" s="1010" customFormat="1" ht="12.75" customHeight="1">
      <c r="A104" s="1002"/>
      <c r="B104" s="1002"/>
      <c r="C104" s="1002"/>
      <c r="D104" s="1002"/>
      <c r="E104" s="1002"/>
      <c r="F104" s="1002"/>
    </row>
    <row r="105" spans="1:6" s="1010" customFormat="1" ht="12" customHeight="1">
      <c r="A105" s="1043"/>
      <c r="B105" s="1043"/>
      <c r="C105" s="1043"/>
      <c r="D105" s="1043"/>
      <c r="E105" s="1043"/>
      <c r="F105" s="1043"/>
    </row>
    <row r="106" spans="1:6" ht="12" customHeight="1">
      <c r="A106" s="1002"/>
      <c r="B106" s="1002"/>
      <c r="C106" s="1003"/>
      <c r="D106" s="1003"/>
      <c r="E106" s="1003"/>
      <c r="F106" s="1003"/>
    </row>
    <row r="107" spans="1:6" ht="12" customHeight="1">
      <c r="A107" s="1002"/>
      <c r="B107" s="1002"/>
      <c r="C107" s="1003"/>
      <c r="D107" s="1003"/>
      <c r="E107" s="1003"/>
      <c r="F107" s="1003"/>
    </row>
    <row r="108" spans="1:6" ht="12" customHeight="1">
      <c r="A108" s="1002"/>
      <c r="B108" s="1002"/>
      <c r="C108" s="1003"/>
      <c r="D108" s="1003"/>
      <c r="E108" s="1003"/>
      <c r="F108" s="1003"/>
    </row>
    <row r="109" spans="1:6" ht="12" customHeight="1">
      <c r="A109" s="1002"/>
      <c r="B109" s="1002"/>
      <c r="C109" s="1003"/>
      <c r="D109" s="1003"/>
      <c r="E109" s="1003"/>
      <c r="F109" s="1003"/>
    </row>
    <row r="110" spans="1:6" ht="12" customHeight="1">
      <c r="A110" s="1002"/>
      <c r="B110" s="1002"/>
      <c r="C110" s="1003"/>
      <c r="D110" s="1003"/>
      <c r="E110" s="1003"/>
      <c r="F110" s="1003"/>
    </row>
    <row r="111" spans="1:6" ht="12" customHeight="1">
      <c r="A111" s="1002"/>
      <c r="B111" s="1002"/>
      <c r="C111" s="1003"/>
      <c r="D111" s="1003"/>
      <c r="E111" s="1003"/>
      <c r="F111" s="1003"/>
    </row>
    <row r="112" spans="1:6" ht="12" customHeight="1">
      <c r="A112" s="1002"/>
      <c r="B112" s="1002"/>
      <c r="C112" s="1003"/>
      <c r="D112" s="1003"/>
      <c r="E112" s="1003"/>
      <c r="F112" s="1003"/>
    </row>
    <row r="113" spans="1:6" ht="12" customHeight="1">
      <c r="A113" s="1002"/>
      <c r="B113" s="1002"/>
      <c r="C113" s="1003"/>
      <c r="D113" s="1003"/>
      <c r="E113" s="1003"/>
      <c r="F113" s="1003"/>
    </row>
    <row r="114" spans="1:6" ht="12" customHeight="1">
      <c r="A114" s="1002"/>
      <c r="B114" s="1002"/>
      <c r="C114" s="1003"/>
      <c r="D114" s="1003"/>
      <c r="E114" s="1003"/>
      <c r="F114" s="1003"/>
    </row>
    <row r="115" spans="1:6" ht="12" customHeight="1">
      <c r="A115" s="1002"/>
      <c r="B115" s="1002"/>
      <c r="C115" s="1003"/>
      <c r="D115" s="1003"/>
      <c r="E115" s="1003"/>
      <c r="F115" s="1003"/>
    </row>
    <row r="116" spans="1:6" ht="12" customHeight="1">
      <c r="A116" s="1002"/>
      <c r="B116" s="1002"/>
      <c r="C116" s="1003"/>
      <c r="D116" s="1003"/>
      <c r="E116" s="1003"/>
      <c r="F116" s="1003"/>
    </row>
    <row r="117" spans="1:6" ht="12" customHeight="1">
      <c r="A117" s="1002"/>
      <c r="B117" s="1002"/>
      <c r="C117" s="1003"/>
      <c r="D117" s="1003"/>
      <c r="E117" s="1003"/>
      <c r="F117" s="1003"/>
    </row>
    <row r="118" spans="1:6" ht="12" customHeight="1">
      <c r="A118" s="1002"/>
      <c r="B118" s="1002"/>
      <c r="C118" s="1003"/>
      <c r="D118" s="1003"/>
      <c r="E118" s="1003"/>
      <c r="F118" s="1003"/>
    </row>
    <row r="119" spans="1:6" ht="12" customHeight="1">
      <c r="A119" s="1002"/>
      <c r="B119" s="1002"/>
      <c r="C119" s="1003"/>
      <c r="D119" s="1003"/>
      <c r="E119" s="1003"/>
      <c r="F119" s="1003"/>
    </row>
    <row r="120" spans="1:6" ht="12" customHeight="1">
      <c r="A120" s="1002"/>
      <c r="B120" s="1002"/>
      <c r="C120" s="1003"/>
      <c r="D120" s="1003"/>
      <c r="E120" s="1003"/>
      <c r="F120" s="1003"/>
    </row>
    <row r="121" spans="1:6" ht="12" customHeight="1">
      <c r="A121" s="1002"/>
      <c r="B121" s="1002"/>
      <c r="C121" s="1003"/>
      <c r="D121" s="1003"/>
      <c r="E121" s="1003"/>
      <c r="F121" s="1003"/>
    </row>
    <row r="122" spans="1:6" ht="12" customHeight="1">
      <c r="A122" s="1002"/>
      <c r="B122" s="1002"/>
      <c r="C122" s="1003"/>
      <c r="D122" s="1003"/>
      <c r="E122" s="1003"/>
      <c r="F122" s="1003"/>
    </row>
    <row r="123" spans="1:6" ht="12" customHeight="1">
      <c r="A123" s="1002"/>
      <c r="B123" s="1002"/>
      <c r="C123" s="1003"/>
      <c r="D123" s="1003"/>
      <c r="E123" s="1003"/>
      <c r="F123" s="1003"/>
    </row>
    <row r="124" spans="1:6" ht="12" customHeight="1">
      <c r="A124" s="1002"/>
      <c r="B124" s="1002"/>
      <c r="C124" s="1003"/>
      <c r="D124" s="1003"/>
      <c r="E124" s="1003"/>
      <c r="F124" s="1003"/>
    </row>
    <row r="125" spans="1:6" ht="12" customHeight="1">
      <c r="A125" s="1002"/>
      <c r="B125" s="1002"/>
      <c r="C125" s="1003"/>
      <c r="D125" s="1003"/>
      <c r="E125" s="1003"/>
      <c r="F125" s="1003"/>
    </row>
    <row r="126" spans="1:6" ht="12" customHeight="1">
      <c r="A126" s="1002"/>
      <c r="B126" s="1002"/>
      <c r="C126" s="1003"/>
      <c r="D126" s="1003"/>
      <c r="E126" s="1003"/>
      <c r="F126" s="1003"/>
    </row>
    <row r="127" spans="1:6" ht="12" customHeight="1">
      <c r="A127" s="1002"/>
      <c r="B127" s="1002"/>
      <c r="C127" s="1003"/>
      <c r="D127" s="1003"/>
      <c r="E127" s="1003"/>
      <c r="F127" s="1003"/>
    </row>
    <row r="128" spans="1:6" ht="12" customHeight="1">
      <c r="A128" s="1002"/>
      <c r="B128" s="1002"/>
      <c r="C128" s="1003"/>
      <c r="D128" s="1003"/>
      <c r="E128" s="1003"/>
      <c r="F128" s="1003"/>
    </row>
    <row r="129" spans="1:6" ht="12" customHeight="1">
      <c r="A129" s="1002"/>
      <c r="B129" s="1002"/>
      <c r="C129" s="1003"/>
      <c r="D129" s="1003"/>
      <c r="E129" s="1003"/>
      <c r="F129" s="1003"/>
    </row>
    <row r="130" spans="1:6" ht="12" customHeight="1">
      <c r="A130" s="1002"/>
      <c r="B130" s="1002"/>
      <c r="C130" s="1003"/>
      <c r="D130" s="1003"/>
      <c r="E130" s="1003"/>
      <c r="F130" s="1003"/>
    </row>
    <row r="131" spans="1:6" ht="12" customHeight="1">
      <c r="A131" s="1002"/>
      <c r="B131" s="1002"/>
      <c r="C131" s="1003"/>
      <c r="D131" s="1003"/>
      <c r="E131" s="1003"/>
      <c r="F131" s="1003"/>
    </row>
    <row r="132" spans="1:6" ht="12" customHeight="1">
      <c r="A132" s="1002"/>
      <c r="B132" s="1002"/>
      <c r="C132" s="1003"/>
      <c r="D132" s="1003"/>
      <c r="E132" s="1003"/>
      <c r="F132" s="1003"/>
    </row>
    <row r="133" spans="1:6" ht="12" customHeight="1">
      <c r="A133" s="1002"/>
      <c r="B133" s="1002"/>
      <c r="C133" s="1003"/>
      <c r="D133" s="1003"/>
      <c r="E133" s="1003"/>
      <c r="F133" s="1003"/>
    </row>
    <row r="134" spans="1:6" ht="12" customHeight="1">
      <c r="A134" s="1002"/>
      <c r="B134" s="1002"/>
      <c r="C134" s="1003"/>
      <c r="D134" s="1003"/>
      <c r="E134" s="1003"/>
      <c r="F134" s="1003"/>
    </row>
    <row r="135" spans="1:6" ht="12" customHeight="1">
      <c r="A135" s="1002"/>
      <c r="B135" s="1002"/>
      <c r="C135" s="1003"/>
      <c r="D135" s="1003"/>
      <c r="E135" s="1003"/>
      <c r="F135" s="1003"/>
    </row>
    <row r="136" spans="1:6" ht="12" customHeight="1">
      <c r="A136" s="1002"/>
      <c r="B136" s="1002"/>
      <c r="C136" s="1003"/>
      <c r="D136" s="1003"/>
      <c r="E136" s="1003"/>
      <c r="F136" s="1003"/>
    </row>
    <row r="137" spans="1:6" ht="12" customHeight="1">
      <c r="A137" s="1002"/>
      <c r="B137" s="1002"/>
      <c r="C137" s="1003"/>
      <c r="D137" s="1003"/>
      <c r="E137" s="1003"/>
      <c r="F137" s="1003"/>
    </row>
    <row r="138" spans="1:6" ht="12" customHeight="1">
      <c r="A138" s="1002"/>
      <c r="B138" s="1002"/>
      <c r="C138" s="1003"/>
      <c r="D138" s="1003"/>
      <c r="E138" s="1003"/>
      <c r="F138" s="1003"/>
    </row>
    <row r="139" spans="1:6" ht="12" customHeight="1">
      <c r="A139" s="1002"/>
      <c r="B139" s="1002"/>
      <c r="C139" s="1003"/>
      <c r="D139" s="1003"/>
      <c r="E139" s="1003"/>
      <c r="F139" s="1003"/>
    </row>
    <row r="140" spans="1:6" ht="12" customHeight="1">
      <c r="A140" s="1002"/>
      <c r="B140" s="1002"/>
      <c r="C140" s="1003"/>
      <c r="D140" s="1003"/>
      <c r="E140" s="1003"/>
      <c r="F140" s="1003"/>
    </row>
    <row r="141" spans="1:6" ht="12" customHeight="1">
      <c r="A141" s="1002"/>
      <c r="B141" s="1002"/>
      <c r="C141" s="1003"/>
      <c r="D141" s="1003"/>
      <c r="E141" s="1003"/>
      <c r="F141" s="1003"/>
    </row>
    <row r="142" spans="1:6" ht="12" customHeight="1">
      <c r="A142" s="1002"/>
      <c r="B142" s="1002"/>
      <c r="C142" s="1003"/>
      <c r="D142" s="1003"/>
      <c r="E142" s="1003"/>
      <c r="F142" s="1003"/>
    </row>
    <row r="143" spans="1:6" ht="12" customHeight="1">
      <c r="A143" s="1002"/>
      <c r="B143" s="1002"/>
      <c r="C143" s="1003"/>
      <c r="D143" s="1003"/>
      <c r="E143" s="1003"/>
      <c r="F143" s="1003"/>
    </row>
    <row r="144" spans="1:6" ht="12" customHeight="1">
      <c r="A144" s="1002"/>
      <c r="B144" s="1002"/>
      <c r="C144" s="1003"/>
      <c r="D144" s="1003"/>
      <c r="E144" s="1003"/>
      <c r="F144" s="1003"/>
    </row>
    <row r="145" spans="1:6" ht="12" customHeight="1">
      <c r="A145" s="1002"/>
      <c r="B145" s="1002"/>
      <c r="C145" s="1003"/>
      <c r="D145" s="1003"/>
      <c r="E145" s="1003"/>
      <c r="F145" s="1003"/>
    </row>
    <row r="146" spans="1:6" ht="12" customHeight="1">
      <c r="A146" s="1002"/>
      <c r="B146" s="1002"/>
      <c r="C146" s="1003"/>
      <c r="D146" s="1003"/>
      <c r="E146" s="1003"/>
      <c r="F146" s="1003"/>
    </row>
    <row r="147" spans="1:6" ht="12" customHeight="1">
      <c r="A147" s="1002"/>
      <c r="B147" s="1002"/>
      <c r="C147" s="1003"/>
      <c r="D147" s="1003"/>
      <c r="E147" s="1003"/>
      <c r="F147" s="1003"/>
    </row>
    <row r="148" spans="1:6" ht="12" customHeight="1">
      <c r="A148" s="1002"/>
      <c r="B148" s="1002"/>
      <c r="C148" s="1003"/>
      <c r="D148" s="1003"/>
      <c r="E148" s="1003"/>
      <c r="F148" s="1003"/>
    </row>
    <row r="149" spans="1:6" ht="12" customHeight="1">
      <c r="A149" s="1002"/>
      <c r="B149" s="1002"/>
      <c r="C149" s="1003"/>
      <c r="D149" s="1003"/>
      <c r="E149" s="1003"/>
      <c r="F149" s="1003"/>
    </row>
    <row r="150" spans="1:6" ht="12" customHeight="1">
      <c r="A150" s="1002"/>
      <c r="B150" s="1002"/>
      <c r="C150" s="1003"/>
      <c r="D150" s="1003"/>
      <c r="E150" s="1003"/>
      <c r="F150" s="1003"/>
    </row>
    <row r="151" spans="1:6" ht="12" customHeight="1">
      <c r="A151" s="1002"/>
      <c r="B151" s="1002"/>
      <c r="C151" s="1003"/>
      <c r="D151" s="1003"/>
      <c r="E151" s="1003"/>
      <c r="F151" s="1003"/>
    </row>
    <row r="152" spans="1:6" ht="12" customHeight="1">
      <c r="A152" s="1002"/>
      <c r="B152" s="1002"/>
      <c r="C152" s="1003"/>
      <c r="D152" s="1003"/>
      <c r="E152" s="1003"/>
      <c r="F152" s="1003"/>
    </row>
    <row r="153" spans="1:6" ht="12" customHeight="1">
      <c r="A153" s="1002"/>
      <c r="B153" s="1002"/>
      <c r="C153" s="1003"/>
      <c r="D153" s="1003"/>
      <c r="E153" s="1003"/>
      <c r="F153" s="1003"/>
    </row>
    <row r="154" spans="1:6" ht="12" customHeight="1">
      <c r="A154" s="1002"/>
      <c r="B154" s="1002"/>
      <c r="C154" s="1003"/>
      <c r="D154" s="1003"/>
      <c r="E154" s="1003"/>
      <c r="F154" s="1003"/>
    </row>
    <row r="155" spans="1:6" ht="12" customHeight="1">
      <c r="A155" s="1002"/>
      <c r="B155" s="1002"/>
      <c r="C155" s="1003"/>
      <c r="D155" s="1003"/>
      <c r="E155" s="1003"/>
      <c r="F155" s="1003"/>
    </row>
    <row r="156" spans="1:6" ht="12" customHeight="1">
      <c r="A156" s="1002"/>
      <c r="B156" s="1002"/>
      <c r="C156" s="1003"/>
      <c r="D156" s="1003"/>
      <c r="E156" s="1003"/>
      <c r="F156" s="1003"/>
    </row>
    <row r="157" spans="1:6" ht="12" customHeight="1">
      <c r="A157" s="1002"/>
      <c r="B157" s="1002"/>
      <c r="C157" s="1003"/>
      <c r="D157" s="1003"/>
      <c r="E157" s="1003"/>
      <c r="F157" s="1003"/>
    </row>
    <row r="158" spans="1:6" ht="12" customHeight="1">
      <c r="A158" s="1002"/>
      <c r="B158" s="1002"/>
      <c r="C158" s="1003"/>
      <c r="D158" s="1003"/>
      <c r="E158" s="1003"/>
      <c r="F158" s="1003"/>
    </row>
    <row r="159" spans="1:6" ht="12" customHeight="1">
      <c r="A159" s="1002"/>
      <c r="B159" s="1002"/>
      <c r="C159" s="1003"/>
      <c r="D159" s="1003"/>
      <c r="E159" s="1003"/>
      <c r="F159" s="1003"/>
    </row>
    <row r="160" spans="1:6" ht="12" customHeight="1">
      <c r="A160" s="1002"/>
      <c r="B160" s="1002"/>
      <c r="C160" s="1003"/>
      <c r="D160" s="1003"/>
      <c r="E160" s="1003"/>
      <c r="F160" s="1003"/>
    </row>
    <row r="161" spans="1:6" ht="12" customHeight="1">
      <c r="A161" s="1002"/>
      <c r="B161" s="1002"/>
      <c r="C161" s="1003"/>
      <c r="D161" s="1003"/>
      <c r="E161" s="1003"/>
      <c r="F161" s="1003"/>
    </row>
    <row r="162" spans="1:6" ht="12" customHeight="1">
      <c r="A162" s="1002"/>
      <c r="B162" s="1002"/>
      <c r="C162" s="1003"/>
      <c r="D162" s="1003"/>
      <c r="E162" s="1003"/>
      <c r="F162" s="1003"/>
    </row>
    <row r="163" spans="1:6" ht="12" customHeight="1">
      <c r="A163" s="1002"/>
      <c r="B163" s="1002"/>
      <c r="C163" s="1003"/>
      <c r="D163" s="1003"/>
      <c r="E163" s="1003"/>
      <c r="F163" s="1003"/>
    </row>
    <row r="164" spans="1:6" ht="12" customHeight="1">
      <c r="A164" s="1002"/>
      <c r="B164" s="1002"/>
      <c r="C164" s="1003"/>
      <c r="D164" s="1003"/>
      <c r="E164" s="1003"/>
      <c r="F164" s="1003"/>
    </row>
    <row r="165" spans="1:6" ht="12" customHeight="1">
      <c r="A165" s="1002"/>
      <c r="B165" s="1002"/>
      <c r="C165" s="1003"/>
      <c r="D165" s="1003"/>
      <c r="E165" s="1003"/>
      <c r="F165" s="1003"/>
    </row>
    <row r="166" spans="1:6" ht="12" customHeight="1">
      <c r="A166" s="1002"/>
      <c r="B166" s="1002"/>
      <c r="C166" s="1003"/>
      <c r="D166" s="1003"/>
      <c r="E166" s="1003"/>
      <c r="F166" s="1003"/>
    </row>
    <row r="167" spans="1:6" ht="12" customHeight="1">
      <c r="A167" s="1002"/>
      <c r="B167" s="1002"/>
      <c r="C167" s="1003"/>
      <c r="D167" s="1003"/>
      <c r="E167" s="1003"/>
      <c r="F167" s="1003"/>
    </row>
    <row r="168" spans="1:6" ht="12" customHeight="1">
      <c r="A168" s="1002"/>
      <c r="B168" s="1002"/>
      <c r="C168" s="1003"/>
      <c r="D168" s="1003"/>
      <c r="E168" s="1003"/>
      <c r="F168" s="1003"/>
    </row>
    <row r="169" spans="1:6" ht="12" customHeight="1">
      <c r="A169" s="1002"/>
      <c r="B169" s="1002"/>
      <c r="C169" s="1003"/>
      <c r="D169" s="1003"/>
      <c r="E169" s="1003"/>
      <c r="F169" s="1003"/>
    </row>
    <row r="170" spans="1:6" ht="12" customHeight="1">
      <c r="A170" s="1002"/>
      <c r="B170" s="1002"/>
      <c r="C170" s="1003"/>
      <c r="D170" s="1003"/>
      <c r="E170" s="1003"/>
      <c r="F170" s="1003"/>
    </row>
    <row r="171" spans="1:6" ht="12" customHeight="1">
      <c r="A171" s="1002"/>
      <c r="B171" s="1002"/>
      <c r="C171" s="1003"/>
      <c r="D171" s="1003"/>
      <c r="E171" s="1003"/>
      <c r="F171" s="1003"/>
    </row>
    <row r="172" spans="1:6" ht="12" customHeight="1">
      <c r="A172" s="1002"/>
      <c r="B172" s="1002"/>
      <c r="C172" s="1003"/>
      <c r="D172" s="1003"/>
      <c r="E172" s="1003"/>
      <c r="F172" s="1003"/>
    </row>
    <row r="173" spans="1:6" ht="12" customHeight="1">
      <c r="A173" s="1002"/>
      <c r="B173" s="1002"/>
      <c r="C173" s="1003"/>
      <c r="D173" s="1003"/>
      <c r="E173" s="1003"/>
      <c r="F173" s="1003"/>
    </row>
    <row r="174" spans="1:6" ht="12" customHeight="1">
      <c r="A174" s="1002"/>
      <c r="B174" s="1002"/>
      <c r="C174" s="1003"/>
      <c r="D174" s="1003"/>
      <c r="E174" s="1003"/>
      <c r="F174" s="1003"/>
    </row>
    <row r="175" spans="1:6" ht="12" customHeight="1">
      <c r="A175" s="1002"/>
      <c r="B175" s="1002"/>
      <c r="C175" s="1003"/>
      <c r="D175" s="1003"/>
      <c r="E175" s="1003"/>
      <c r="F175" s="1003"/>
    </row>
    <row r="176" spans="1:6" ht="12" customHeight="1">
      <c r="A176" s="1002"/>
      <c r="B176" s="1002"/>
      <c r="C176" s="1003"/>
      <c r="D176" s="1003"/>
      <c r="E176" s="1003"/>
      <c r="F176" s="1003"/>
    </row>
    <row r="177" spans="1:6" ht="12" customHeight="1">
      <c r="A177" s="1002"/>
      <c r="B177" s="1002"/>
      <c r="C177" s="1003"/>
      <c r="D177" s="1003"/>
      <c r="E177" s="1003"/>
      <c r="F177" s="1003"/>
    </row>
    <row r="178" spans="1:6" ht="12" customHeight="1">
      <c r="A178" s="1002"/>
      <c r="B178" s="1002"/>
      <c r="C178" s="1003"/>
      <c r="D178" s="1003"/>
      <c r="E178" s="1003"/>
      <c r="F178" s="1003"/>
    </row>
    <row r="179" spans="1:6" ht="12" customHeight="1">
      <c r="A179" s="1002"/>
      <c r="B179" s="1002"/>
      <c r="C179" s="1003"/>
      <c r="D179" s="1003"/>
      <c r="E179" s="1003"/>
      <c r="F179" s="1003"/>
    </row>
    <row r="180" spans="1:6" ht="12" customHeight="1">
      <c r="A180" s="1002"/>
      <c r="B180" s="1002"/>
      <c r="C180" s="1003"/>
      <c r="D180" s="1003"/>
      <c r="E180" s="1003"/>
      <c r="F180" s="1003"/>
    </row>
    <row r="181" spans="1:6" ht="12" customHeight="1">
      <c r="A181" s="1002"/>
      <c r="B181" s="1002"/>
      <c r="C181" s="1003"/>
      <c r="D181" s="1003"/>
      <c r="E181" s="1003"/>
      <c r="F181" s="1003"/>
    </row>
    <row r="182" spans="1:6" ht="12" customHeight="1">
      <c r="A182" s="1002"/>
      <c r="B182" s="1002"/>
      <c r="C182" s="1003"/>
      <c r="D182" s="1003"/>
      <c r="E182" s="1003"/>
      <c r="F182" s="1003"/>
    </row>
    <row r="183" spans="1:6" ht="12" customHeight="1">
      <c r="A183" s="1002"/>
      <c r="B183" s="1002"/>
      <c r="C183" s="1003"/>
      <c r="D183" s="1003"/>
      <c r="E183" s="1003"/>
      <c r="F183" s="1003"/>
    </row>
    <row r="184" spans="1:6" ht="12" customHeight="1">
      <c r="A184" s="1002"/>
      <c r="B184" s="1002"/>
      <c r="C184" s="1003"/>
      <c r="D184" s="1003"/>
      <c r="E184" s="1003"/>
      <c r="F184" s="1003"/>
    </row>
    <row r="185" spans="1:6" ht="12" customHeight="1">
      <c r="A185" s="1002"/>
      <c r="B185" s="1002"/>
      <c r="C185" s="1003"/>
      <c r="D185" s="1003"/>
      <c r="E185" s="1003"/>
      <c r="F185" s="1003"/>
    </row>
    <row r="186" spans="1:6" ht="12" customHeight="1">
      <c r="A186" s="1002"/>
      <c r="B186" s="1002"/>
      <c r="C186" s="1003"/>
      <c r="D186" s="1003"/>
      <c r="E186" s="1003"/>
      <c r="F186" s="1003"/>
    </row>
    <row r="187" spans="1:6" ht="12" customHeight="1">
      <c r="A187" s="1002"/>
      <c r="B187" s="1002"/>
      <c r="C187" s="1003"/>
      <c r="D187" s="1003"/>
      <c r="E187" s="1003"/>
      <c r="F187" s="1003"/>
    </row>
    <row r="188" spans="1:6" ht="12" customHeight="1">
      <c r="A188" s="1002"/>
      <c r="B188" s="1002"/>
      <c r="C188" s="1003"/>
      <c r="D188" s="1003"/>
      <c r="E188" s="1003"/>
      <c r="F188" s="1003"/>
    </row>
    <row r="189" spans="1:6" ht="12" customHeight="1">
      <c r="A189" s="1002"/>
      <c r="B189" s="1002"/>
      <c r="C189" s="1003"/>
      <c r="D189" s="1003"/>
      <c r="E189" s="1003"/>
      <c r="F189" s="1003"/>
    </row>
    <row r="190" spans="1:6" ht="12" customHeight="1">
      <c r="A190" s="1002"/>
      <c r="B190" s="1002"/>
      <c r="C190" s="1003"/>
      <c r="D190" s="1003"/>
      <c r="E190" s="1003"/>
      <c r="F190" s="1003"/>
    </row>
    <row r="191" spans="1:6" ht="12" customHeight="1">
      <c r="A191" s="1002"/>
      <c r="B191" s="1002"/>
      <c r="C191" s="1003"/>
      <c r="D191" s="1003"/>
      <c r="E191" s="1003"/>
      <c r="F191" s="1003"/>
    </row>
    <row r="192" spans="1:6" ht="12" customHeight="1">
      <c r="A192" s="1002"/>
      <c r="B192" s="1002"/>
      <c r="C192" s="1003"/>
      <c r="D192" s="1003"/>
      <c r="E192" s="1003"/>
      <c r="F192" s="1003"/>
    </row>
    <row r="193" spans="1:6" ht="12" customHeight="1">
      <c r="A193" s="1002"/>
      <c r="B193" s="1002"/>
      <c r="C193" s="1003"/>
      <c r="D193" s="1003"/>
      <c r="E193" s="1003"/>
      <c r="F193" s="1003"/>
    </row>
    <row r="194" spans="1:6" ht="12" customHeight="1">
      <c r="A194" s="1002"/>
      <c r="B194" s="1002"/>
      <c r="C194" s="1003"/>
      <c r="D194" s="1003"/>
      <c r="E194" s="1003"/>
      <c r="F194" s="1003"/>
    </row>
    <row r="195" spans="1:6" ht="12" customHeight="1">
      <c r="A195" s="1002"/>
      <c r="B195" s="1002"/>
      <c r="C195" s="1003"/>
      <c r="D195" s="1003"/>
      <c r="E195" s="1003"/>
      <c r="F195" s="1003"/>
    </row>
    <row r="196" spans="1:6" ht="12" customHeight="1">
      <c r="A196" s="1002"/>
      <c r="B196" s="1002"/>
      <c r="C196" s="1003"/>
      <c r="D196" s="1003"/>
      <c r="E196" s="1003"/>
      <c r="F196" s="1003"/>
    </row>
    <row r="197" spans="1:6" ht="12" customHeight="1">
      <c r="A197" s="1002"/>
      <c r="B197" s="1002"/>
      <c r="C197" s="1003"/>
      <c r="D197" s="1003"/>
      <c r="E197" s="1003"/>
      <c r="F197" s="1003"/>
    </row>
    <row r="198" spans="1:6" ht="12" customHeight="1">
      <c r="A198" s="1002"/>
      <c r="B198" s="1002"/>
      <c r="C198" s="1003"/>
      <c r="D198" s="1003"/>
      <c r="E198" s="1003"/>
      <c r="F198" s="1003"/>
    </row>
    <row r="199" spans="1:6" ht="12" customHeight="1">
      <c r="A199" s="1002"/>
      <c r="B199" s="1002"/>
      <c r="C199" s="1003"/>
      <c r="D199" s="1003"/>
      <c r="E199" s="1003"/>
      <c r="F199" s="1003"/>
    </row>
    <row r="200" spans="1:6" ht="12" customHeight="1">
      <c r="A200" s="1002"/>
      <c r="B200" s="1002"/>
      <c r="C200" s="1003"/>
      <c r="D200" s="1003"/>
      <c r="E200" s="1003"/>
      <c r="F200" s="1003"/>
    </row>
    <row r="201" spans="1:6" ht="12" customHeight="1">
      <c r="A201" s="1002"/>
      <c r="B201" s="1002"/>
      <c r="C201" s="1003"/>
      <c r="D201" s="1003"/>
      <c r="E201" s="1003"/>
      <c r="F201" s="1003"/>
    </row>
    <row r="202" spans="1:6" ht="12" customHeight="1">
      <c r="A202" s="1002"/>
      <c r="B202" s="1002"/>
      <c r="C202" s="1003"/>
      <c r="D202" s="1003"/>
      <c r="E202" s="1003"/>
      <c r="F202" s="1003"/>
    </row>
    <row r="203" spans="1:6" ht="12" customHeight="1">
      <c r="A203" s="1002"/>
      <c r="B203" s="1002"/>
      <c r="C203" s="1003"/>
      <c r="D203" s="1003"/>
      <c r="E203" s="1003"/>
      <c r="F203" s="1003"/>
    </row>
    <row r="204" spans="1:6" ht="12" customHeight="1">
      <c r="A204" s="1002"/>
      <c r="B204" s="1002"/>
      <c r="C204" s="1003"/>
      <c r="D204" s="1003"/>
      <c r="E204" s="1003"/>
      <c r="F204" s="1003"/>
    </row>
    <row r="205" spans="1:6" ht="12" customHeight="1">
      <c r="A205" s="1002"/>
      <c r="B205" s="1002"/>
      <c r="C205" s="1003"/>
      <c r="D205" s="1003"/>
      <c r="E205" s="1003"/>
      <c r="F205" s="1003"/>
    </row>
    <row r="206" spans="1:6" ht="12" customHeight="1">
      <c r="A206" s="1002"/>
      <c r="B206" s="1002"/>
      <c r="C206" s="1003"/>
      <c r="D206" s="1003"/>
      <c r="E206" s="1003"/>
      <c r="F206" s="1003"/>
    </row>
    <row r="207" spans="1:6" ht="12" customHeight="1">
      <c r="A207" s="1002"/>
      <c r="B207" s="1002"/>
      <c r="C207" s="1003"/>
      <c r="D207" s="1003"/>
      <c r="E207" s="1003"/>
      <c r="F207" s="1003"/>
    </row>
    <row r="208" spans="1:6" ht="12" customHeight="1">
      <c r="A208" s="1002"/>
      <c r="B208" s="1002"/>
      <c r="C208" s="1003"/>
      <c r="D208" s="1003"/>
      <c r="E208" s="1003"/>
      <c r="F208" s="1003"/>
    </row>
    <row r="209" spans="1:6" ht="12" customHeight="1">
      <c r="A209" s="1002"/>
      <c r="B209" s="1002"/>
      <c r="C209" s="1003"/>
      <c r="D209" s="1003"/>
      <c r="E209" s="1003"/>
      <c r="F209" s="1003"/>
    </row>
    <row r="210" spans="1:6" ht="12" customHeight="1">
      <c r="A210" s="1002"/>
      <c r="B210" s="1002"/>
      <c r="C210" s="1003"/>
      <c r="D210" s="1003"/>
      <c r="E210" s="1003"/>
      <c r="F210" s="1003"/>
    </row>
    <row r="211" spans="1:6" ht="12" customHeight="1">
      <c r="A211" s="1002"/>
      <c r="B211" s="1002"/>
      <c r="C211" s="1003"/>
      <c r="D211" s="1003"/>
      <c r="E211" s="1003"/>
      <c r="F211" s="1003"/>
    </row>
    <row r="212" spans="1:6" ht="12" customHeight="1">
      <c r="A212" s="1002"/>
      <c r="B212" s="1002"/>
      <c r="C212" s="1003"/>
      <c r="D212" s="1003"/>
      <c r="E212" s="1003"/>
      <c r="F212" s="1003"/>
    </row>
    <row r="213" spans="1:6" ht="12" customHeight="1">
      <c r="A213" s="1002"/>
      <c r="B213" s="1002"/>
      <c r="C213" s="1003"/>
      <c r="D213" s="1003"/>
      <c r="E213" s="1003"/>
      <c r="F213" s="1003"/>
    </row>
    <row r="214" spans="1:6" ht="12" customHeight="1">
      <c r="A214" s="1002"/>
      <c r="B214" s="1002"/>
      <c r="C214" s="1003"/>
      <c r="D214" s="1003"/>
      <c r="E214" s="1003"/>
      <c r="F214" s="1003"/>
    </row>
    <row r="215" spans="1:6" ht="12" customHeight="1">
      <c r="A215" s="1002"/>
      <c r="B215" s="1002"/>
      <c r="C215" s="1003"/>
      <c r="D215" s="1003"/>
      <c r="E215" s="1003"/>
      <c r="F215" s="1003"/>
    </row>
    <row r="216" spans="1:6" ht="12" customHeight="1">
      <c r="A216" s="1002"/>
      <c r="B216" s="1002"/>
      <c r="C216" s="1003"/>
      <c r="D216" s="1003"/>
      <c r="E216" s="1003"/>
      <c r="F216" s="1003"/>
    </row>
    <row r="217" spans="1:6" ht="12" customHeight="1">
      <c r="A217" s="1002"/>
      <c r="B217" s="1002"/>
      <c r="C217" s="1003"/>
      <c r="D217" s="1003"/>
      <c r="E217" s="1003"/>
      <c r="F217" s="1003"/>
    </row>
    <row r="218" spans="1:6" ht="12" customHeight="1">
      <c r="A218" s="1002"/>
      <c r="B218" s="1002"/>
      <c r="C218" s="1003"/>
      <c r="D218" s="1003"/>
      <c r="E218" s="1003"/>
      <c r="F218" s="1003"/>
    </row>
    <row r="219" spans="1:6" ht="12" customHeight="1">
      <c r="A219" s="1002"/>
      <c r="B219" s="1002"/>
      <c r="C219" s="1003"/>
      <c r="D219" s="1003"/>
      <c r="E219" s="1003"/>
      <c r="F219" s="1003"/>
    </row>
    <row r="220" spans="1:6" ht="12" customHeight="1">
      <c r="A220" s="1002"/>
      <c r="B220" s="1002"/>
      <c r="C220" s="1003"/>
      <c r="D220" s="1003"/>
      <c r="E220" s="1003"/>
      <c r="F220" s="1003"/>
    </row>
    <row r="221" spans="1:6" ht="12" customHeight="1">
      <c r="A221" s="1002"/>
      <c r="B221" s="1002"/>
      <c r="C221" s="1003"/>
      <c r="D221" s="1003"/>
      <c r="E221" s="1003"/>
      <c r="F221" s="1003"/>
    </row>
    <row r="222" spans="1:6" ht="12" customHeight="1">
      <c r="A222" s="1002"/>
      <c r="B222" s="1002"/>
      <c r="C222" s="1003"/>
      <c r="D222" s="1003"/>
      <c r="E222" s="1003"/>
      <c r="F222" s="1003"/>
    </row>
    <row r="223" spans="1:6" ht="12" customHeight="1">
      <c r="A223" s="1002"/>
      <c r="B223" s="1006"/>
      <c r="C223" s="1003"/>
      <c r="D223" s="1003"/>
      <c r="E223" s="1003"/>
      <c r="F223" s="1003"/>
    </row>
    <row r="224" spans="1:6" ht="12" customHeight="1">
      <c r="A224" s="1002"/>
      <c r="B224" s="1006"/>
      <c r="C224" s="1003"/>
      <c r="D224" s="1003"/>
      <c r="E224" s="1003"/>
      <c r="F224" s="1003"/>
    </row>
    <row r="225" spans="1:6" ht="12" customHeight="1">
      <c r="A225" s="1002"/>
      <c r="B225" s="1006"/>
      <c r="C225" s="1003"/>
      <c r="D225" s="1003"/>
      <c r="E225" s="1003"/>
      <c r="F225" s="1003"/>
    </row>
    <row r="226" spans="1:6" ht="12" customHeight="1">
      <c r="A226" s="1002"/>
      <c r="B226" s="1006"/>
      <c r="C226" s="1003"/>
      <c r="D226" s="1003"/>
      <c r="E226" s="1003"/>
      <c r="F226" s="1003"/>
    </row>
    <row r="227" spans="1:6" ht="12" customHeight="1">
      <c r="A227" s="1002"/>
      <c r="B227" s="1006"/>
      <c r="C227" s="1003"/>
      <c r="D227" s="1003"/>
      <c r="E227" s="1003"/>
      <c r="F227" s="1003"/>
    </row>
    <row r="228" spans="1:6" ht="12" customHeight="1">
      <c r="A228" s="1002"/>
      <c r="B228" s="1006"/>
      <c r="C228" s="1003"/>
      <c r="D228" s="1003"/>
      <c r="E228" s="1003"/>
      <c r="F228" s="1003"/>
    </row>
    <row r="229" spans="1:6" ht="12" customHeight="1">
      <c r="A229" s="1002"/>
      <c r="B229" s="1006"/>
      <c r="C229" s="1003"/>
      <c r="D229" s="1003"/>
      <c r="E229" s="1003"/>
      <c r="F229" s="1003"/>
    </row>
    <row r="230" spans="1:6" ht="12" customHeight="1">
      <c r="A230" s="1002"/>
      <c r="B230" s="1006"/>
      <c r="C230" s="1003"/>
      <c r="D230" s="1003"/>
      <c r="E230" s="1003"/>
      <c r="F230" s="1003"/>
    </row>
    <row r="231" spans="1:6" ht="12" customHeight="1">
      <c r="A231" s="1002"/>
      <c r="B231" s="1006"/>
      <c r="C231" s="1003"/>
      <c r="D231" s="1003"/>
      <c r="E231" s="1003"/>
      <c r="F231" s="1003"/>
    </row>
    <row r="232" spans="1:6" ht="12" customHeight="1">
      <c r="A232" s="1002"/>
      <c r="B232" s="1006"/>
      <c r="C232" s="1003"/>
      <c r="D232" s="1003"/>
      <c r="E232" s="1003"/>
      <c r="F232" s="1003"/>
    </row>
    <row r="233" spans="1:6" ht="12" customHeight="1">
      <c r="A233" s="1002"/>
      <c r="B233" s="1006"/>
      <c r="C233" s="1003"/>
      <c r="D233" s="1003"/>
      <c r="E233" s="1003"/>
      <c r="F233" s="1003"/>
    </row>
    <row r="234" spans="1:6" ht="12" customHeight="1">
      <c r="A234" s="1002"/>
      <c r="B234" s="1006"/>
      <c r="C234" s="1003"/>
      <c r="D234" s="1003"/>
      <c r="E234" s="1003"/>
      <c r="F234" s="1003"/>
    </row>
    <row r="235" spans="1:6" ht="12" customHeight="1">
      <c r="A235" s="1002"/>
      <c r="B235" s="1006"/>
      <c r="C235" s="1003"/>
      <c r="D235" s="1003"/>
      <c r="E235" s="1003"/>
      <c r="F235" s="1003"/>
    </row>
    <row r="236" spans="1:6" ht="12" customHeight="1">
      <c r="A236" s="1002"/>
      <c r="B236" s="1006"/>
      <c r="C236" s="1003"/>
      <c r="D236" s="1003"/>
      <c r="E236" s="1003"/>
      <c r="F236" s="1003"/>
    </row>
    <row r="237" spans="1:6" ht="12" customHeight="1">
      <c r="A237" s="1002"/>
      <c r="B237" s="1006"/>
      <c r="C237" s="1003"/>
      <c r="D237" s="1003"/>
      <c r="E237" s="1003"/>
      <c r="F237" s="1003"/>
    </row>
    <row r="238" spans="1:6" ht="12" customHeight="1">
      <c r="A238" s="1002"/>
      <c r="B238" s="1006"/>
      <c r="C238" s="1003"/>
      <c r="D238" s="1003"/>
      <c r="E238" s="1003"/>
      <c r="F238" s="1003"/>
    </row>
  </sheetData>
  <sheetProtection algorithmName="SHA-512" hashValue="PH9yYJ6Wt5XtkNojXDV0uwca6HxViFcemmQzy10UZmxwDOQ13Dl+mUiFxRXZOTflIMWY+A1GDLx5DPi9uF/OFw==" saltValue="OcaaidpJbUasfJ2ecoH6Jw==" spinCount="100000" sheet="1" objects="1" scenarios="1"/>
  <phoneticPr fontId="10" type="noConversion"/>
  <dataValidations count="5">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tive number or press the delete key or enter zero." sqref="C10:D10 C63:E63 C96:E99 C20:D20 C21:E21 C23:D23 C25:D26 C65:E67 C69:E71 C73:E81 C85:E86 C88:E90 C92:E94 C13:C18 D14:D18">
      <formula1>0</formula1>
    </dataValidation>
    <dataValidation type="whole" operator="greaterThanOrEqual" allowBlank="1" showInputMessage="1" showErrorMessage="1" errorTitle="Invalid Data Entry" error="Please enter a postive number or press the delete key or enter zero." sqref="E26">
      <formula1>0</formula1>
    </dataValidation>
    <dataValidation type="whole" operator="greaterThanOrEqual" showErrorMessage="1" errorTitle="Invalid Data Entry " error="Please enter a positive number or press the delete key or enter zero." sqref="E13">
      <formula1>0</formula1>
    </dataValidation>
    <dataValidation type="whole" operator="greaterThanOrEqual" showInputMessage="1" showErrorMessage="1" errorTitle="Invalid Data Entry" error="Please enter a positive number or press the delete key or enter zero." sqref="D13">
      <formula1>0</formula1>
    </dataValidation>
  </dataValidations>
  <hyperlinks>
    <hyperlink ref="G1" location="Contents!F1" display="Return to Contents page"/>
  </hyperlinks>
  <printOptions horizontalCentered="1"/>
  <pageMargins left="0.25" right="0.25" top="0.19" bottom="0.19" header="0.5" footer="0.5"/>
  <pageSetup orientation="portrait" blackAndWhite="1" r:id="rId1"/>
  <headerFooter alignWithMargins="0">
    <oddFooter>&amp;L&amp;D     &amp;T &amp;CCode No. 24&amp;RPage &amp;P</oddFooter>
  </headerFooter>
  <rowBreaks count="2" manualBreakCount="2">
    <brk id="52" max="4" man="1"/>
    <brk id="110" max="6553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tint="0.39997558519241921"/>
  </sheetPr>
  <dimension ref="A1:Q270"/>
  <sheetViews>
    <sheetView topLeftCell="B71" workbookViewId="0">
      <selection activeCell="E39" sqref="E39"/>
    </sheetView>
  </sheetViews>
  <sheetFormatPr defaultColWidth="10.7109375" defaultRowHeight="12" customHeight="1"/>
  <cols>
    <col min="1" max="1" width="44.5703125" style="1064" customWidth="1"/>
    <col min="2" max="2" width="4.85546875" style="1103" customWidth="1"/>
    <col min="3" max="3" width="14.140625" style="1058" customWidth="1"/>
    <col min="4" max="4" width="14" style="1058" customWidth="1"/>
    <col min="5" max="5" width="15.7109375" style="1058" customWidth="1"/>
    <col min="6" max="6" width="2.28515625" style="1058" customWidth="1"/>
    <col min="7" max="7" width="21.140625" style="1058" customWidth="1"/>
    <col min="8" max="8" width="34.7109375" style="1058" customWidth="1"/>
    <col min="9" max="16384" width="10.7109375" style="1058"/>
  </cols>
  <sheetData>
    <row r="1" spans="1:17" ht="12" customHeight="1">
      <c r="A1" s="1054" t="s">
        <v>1019</v>
      </c>
      <c r="B1" s="1055">
        <f>OPEN!$B$4</f>
        <v>270</v>
      </c>
      <c r="C1" s="1056"/>
      <c r="D1" s="1056"/>
      <c r="E1" s="1054" t="s">
        <v>1020</v>
      </c>
      <c r="F1" s="1056"/>
      <c r="G1" s="3013" t="s">
        <v>866</v>
      </c>
      <c r="H1" s="1057"/>
    </row>
    <row r="2" spans="1:17" ht="12" customHeight="1">
      <c r="A2" s="1056"/>
      <c r="B2" s="1059"/>
      <c r="C2" s="1056"/>
      <c r="D2" s="1056"/>
      <c r="E2" s="1054" t="s">
        <v>1212</v>
      </c>
      <c r="F2" s="1056"/>
      <c r="G2" s="1057"/>
      <c r="H2" s="1057"/>
    </row>
    <row r="3" spans="1:17" ht="12" customHeight="1">
      <c r="A3" s="1056"/>
      <c r="B3" s="1059"/>
      <c r="C3" s="1056"/>
      <c r="D3" s="1056"/>
      <c r="E3" s="1054" t="str">
        <f>OPEN!N2</f>
        <v>2016-2017</v>
      </c>
      <c r="F3" s="1056"/>
      <c r="G3" s="1057"/>
      <c r="H3" s="1057"/>
    </row>
    <row r="4" spans="1:17" ht="5.0999999999999996" customHeight="1">
      <c r="A4" s="1056"/>
      <c r="B4" s="1059"/>
      <c r="C4" s="1056"/>
      <c r="D4" s="1056"/>
      <c r="E4" s="1056"/>
      <c r="F4" s="1056"/>
      <c r="G4" s="1057"/>
      <c r="H4" s="1057"/>
    </row>
    <row r="5" spans="1:17" ht="12" customHeight="1">
      <c r="A5" s="1056"/>
      <c r="B5" s="1059"/>
      <c r="C5" s="1060" t="s">
        <v>1213</v>
      </c>
      <c r="D5" s="1060" t="s">
        <v>1213</v>
      </c>
      <c r="E5" s="1060" t="s">
        <v>1213</v>
      </c>
      <c r="F5" s="1056"/>
      <c r="G5" s="1057"/>
      <c r="H5" s="1057"/>
    </row>
    <row r="6" spans="1:17" ht="12" customHeight="1">
      <c r="A6" s="1061"/>
      <c r="B6" s="1062" t="s">
        <v>1045</v>
      </c>
      <c r="C6" s="1063" t="str">
        <f>OPEN!N4</f>
        <v>2014-2015</v>
      </c>
      <c r="D6" s="1063" t="str">
        <f>OPEN!O4</f>
        <v>2015-2016</v>
      </c>
      <c r="E6" s="1063" t="str">
        <f>OPEN!P4</f>
        <v>2016-2017</v>
      </c>
      <c r="F6" s="1056"/>
      <c r="G6" s="1057"/>
      <c r="H6" s="1057"/>
      <c r="K6" s="1064"/>
      <c r="L6" s="1064"/>
      <c r="M6" s="1064"/>
      <c r="N6" s="1064"/>
      <c r="O6" s="1064"/>
      <c r="P6" s="1064"/>
      <c r="Q6" s="1064"/>
    </row>
    <row r="7" spans="1:17" ht="12" customHeight="1">
      <c r="A7" s="1061" t="s">
        <v>120</v>
      </c>
      <c r="B7" s="1065">
        <v>26</v>
      </c>
      <c r="C7" s="1066" t="s">
        <v>1139</v>
      </c>
      <c r="D7" s="1066" t="s">
        <v>1139</v>
      </c>
      <c r="E7" s="1066" t="s">
        <v>1215</v>
      </c>
      <c r="F7" s="1056"/>
      <c r="G7" s="1057"/>
      <c r="H7" s="1057"/>
      <c r="N7" s="1064"/>
      <c r="O7" s="1067"/>
      <c r="P7" s="1067"/>
      <c r="Q7" s="1067"/>
    </row>
    <row r="8" spans="1:17" ht="12" customHeight="1">
      <c r="A8" s="1068"/>
      <c r="B8" s="1069" t="s">
        <v>1051</v>
      </c>
      <c r="C8" s="1070">
        <v>1</v>
      </c>
      <c r="D8" s="1070">
        <v>2</v>
      </c>
      <c r="E8" s="1070">
        <v>3</v>
      </c>
      <c r="F8" s="1056"/>
      <c r="G8" s="1057"/>
      <c r="H8" s="1057"/>
      <c r="N8" s="1064"/>
      <c r="O8" s="1067"/>
      <c r="P8" s="1067"/>
      <c r="Q8" s="1067"/>
    </row>
    <row r="9" spans="1:17" ht="12" customHeight="1">
      <c r="A9" s="1071" t="s">
        <v>1402</v>
      </c>
      <c r="B9" s="1072">
        <v>1</v>
      </c>
      <c r="C9" s="1095">
        <v>28039</v>
      </c>
      <c r="D9" s="1074">
        <f>C81</f>
        <v>25653</v>
      </c>
      <c r="E9" s="2503">
        <f>D81</f>
        <v>24883</v>
      </c>
      <c r="F9" s="1057"/>
      <c r="G9" s="1057"/>
      <c r="H9" s="1057"/>
      <c r="N9" s="1064"/>
      <c r="O9" s="1067"/>
      <c r="P9" s="1067"/>
      <c r="Q9" s="1067"/>
    </row>
    <row r="10" spans="1:17" ht="12" customHeight="1">
      <c r="A10" s="1075" t="s">
        <v>73</v>
      </c>
      <c r="B10" s="1076">
        <v>3</v>
      </c>
      <c r="C10" s="2498"/>
      <c r="D10" s="1077"/>
      <c r="E10" s="2500"/>
      <c r="F10" s="1057"/>
      <c r="G10" s="1057"/>
      <c r="H10" s="1057"/>
      <c r="N10" s="1064"/>
      <c r="O10" s="1067"/>
      <c r="P10" s="1067"/>
      <c r="Q10" s="1067"/>
    </row>
    <row r="11" spans="1:17" ht="12" customHeight="1">
      <c r="A11" s="1078" t="s">
        <v>19</v>
      </c>
      <c r="B11" s="1079"/>
      <c r="C11" s="2499"/>
      <c r="D11" s="1080"/>
      <c r="E11" s="2500"/>
      <c r="F11" s="1057"/>
      <c r="G11" s="1057"/>
      <c r="H11" s="1057"/>
      <c r="N11" s="1064"/>
      <c r="O11" s="1067"/>
      <c r="P11" s="1067"/>
      <c r="Q11" s="1067"/>
    </row>
    <row r="12" spans="1:17" ht="12" customHeight="1">
      <c r="A12" s="1075" t="s">
        <v>20</v>
      </c>
      <c r="B12" s="1076"/>
      <c r="C12" s="2500"/>
      <c r="D12" s="1081"/>
      <c r="E12" s="2500"/>
      <c r="F12" s="1057"/>
      <c r="G12" s="1057"/>
      <c r="H12" s="1057"/>
      <c r="N12" s="1064"/>
      <c r="O12" s="1067"/>
      <c r="P12" s="1067"/>
      <c r="Q12" s="1067"/>
    </row>
    <row r="13" spans="1:17" ht="12" customHeight="1">
      <c r="A13" s="1071" t="s">
        <v>95</v>
      </c>
      <c r="B13" s="1072">
        <v>5</v>
      </c>
      <c r="C13" s="2501"/>
      <c r="D13" s="4993" t="s">
        <v>1431</v>
      </c>
      <c r="E13" s="4169" t="s">
        <v>1431</v>
      </c>
      <c r="F13" s="1057"/>
      <c r="G13" s="1057"/>
      <c r="H13" s="1057"/>
      <c r="N13" s="1064"/>
      <c r="O13" s="1064"/>
      <c r="P13" s="1064"/>
      <c r="Q13" s="1064"/>
    </row>
    <row r="14" spans="1:17" ht="12" customHeight="1">
      <c r="A14" s="1082" t="s">
        <v>25</v>
      </c>
      <c r="B14" s="1083">
        <v>15</v>
      </c>
      <c r="C14" s="1095">
        <v>240</v>
      </c>
      <c r="D14" s="1084">
        <v>34</v>
      </c>
      <c r="E14" s="1095"/>
      <c r="F14" s="1057"/>
      <c r="G14" s="1057"/>
      <c r="H14" s="1057"/>
      <c r="N14" s="1064"/>
      <c r="O14" s="1064"/>
      <c r="P14" s="1064"/>
      <c r="Q14" s="1064"/>
    </row>
    <row r="15" spans="1:17" ht="12" customHeight="1">
      <c r="A15" s="1078" t="s">
        <v>46</v>
      </c>
      <c r="B15" s="1079"/>
      <c r="C15" s="2500"/>
      <c r="D15" s="3338"/>
      <c r="E15" s="3338"/>
      <c r="F15" s="1057"/>
      <c r="G15" s="1057"/>
      <c r="H15" s="1057"/>
      <c r="N15" s="1064"/>
      <c r="O15" s="1064"/>
      <c r="P15" s="1064"/>
      <c r="Q15" s="1064"/>
    </row>
    <row r="16" spans="1:17" ht="12" customHeight="1">
      <c r="A16" s="1071" t="s">
        <v>356</v>
      </c>
      <c r="B16" s="1072">
        <v>40</v>
      </c>
      <c r="C16" s="2501"/>
      <c r="D16" s="3339"/>
      <c r="E16" s="3339"/>
      <c r="F16" s="1057"/>
      <c r="G16" s="1057"/>
      <c r="H16" s="1057"/>
      <c r="N16" s="1064"/>
      <c r="O16" s="1064"/>
      <c r="P16" s="1064"/>
      <c r="Q16" s="1064"/>
    </row>
    <row r="17" spans="1:17" ht="12" customHeight="1">
      <c r="A17" s="1078" t="s">
        <v>48</v>
      </c>
      <c r="B17" s="1079"/>
      <c r="C17" s="2500"/>
      <c r="D17" s="1081"/>
      <c r="E17" s="2500"/>
      <c r="F17" s="1057"/>
      <c r="G17" s="1057"/>
      <c r="H17" s="1057"/>
      <c r="N17" s="1064"/>
      <c r="O17" s="1064"/>
      <c r="P17" s="1064"/>
      <c r="Q17" s="1064"/>
    </row>
    <row r="18" spans="1:17" ht="12" customHeight="1">
      <c r="A18" s="1071" t="s">
        <v>49</v>
      </c>
      <c r="B18" s="1072">
        <v>45</v>
      </c>
      <c r="C18" s="2502">
        <f>'C06'!C345</f>
        <v>0</v>
      </c>
      <c r="D18" s="1074">
        <f>'C06'!D345</f>
        <v>0</v>
      </c>
      <c r="E18" s="2502">
        <f>'C06'!E345</f>
        <v>0</v>
      </c>
      <c r="F18" s="1057"/>
      <c r="G18" s="1057"/>
      <c r="H18" s="1057"/>
      <c r="N18" s="1064"/>
      <c r="O18" s="1085"/>
      <c r="P18" s="1085"/>
      <c r="Q18" s="1085"/>
    </row>
    <row r="19" spans="1:17" ht="12" customHeight="1">
      <c r="A19" s="1082" t="s">
        <v>1243</v>
      </c>
      <c r="B19" s="1083">
        <v>50</v>
      </c>
      <c r="C19" s="2503">
        <f>'C08'!$C$314</f>
        <v>0</v>
      </c>
      <c r="D19" s="1086">
        <f>'C08'!$D$314</f>
        <v>0</v>
      </c>
      <c r="E19" s="2503">
        <f>'C08'!$E$314</f>
        <v>0</v>
      </c>
      <c r="F19" s="1057"/>
      <c r="G19" s="1057"/>
      <c r="H19" s="1057"/>
    </row>
    <row r="20" spans="1:17" ht="12" customHeight="1">
      <c r="A20" s="1082" t="s">
        <v>50</v>
      </c>
      <c r="B20" s="1083">
        <v>55</v>
      </c>
      <c r="C20" s="2502">
        <f>'C053'!C268</f>
        <v>0</v>
      </c>
      <c r="D20" s="1086">
        <f>'C053'!D268</f>
        <v>0</v>
      </c>
      <c r="E20" s="1100" t="s">
        <v>51</v>
      </c>
      <c r="F20" s="1057"/>
      <c r="G20" s="1057"/>
      <c r="H20" s="1057"/>
    </row>
    <row r="21" spans="1:17" ht="12" customHeight="1">
      <c r="A21" s="1087" t="s">
        <v>357</v>
      </c>
      <c r="B21" s="1083">
        <v>170</v>
      </c>
      <c r="C21" s="2502">
        <f>SUM(C9:C20)</f>
        <v>28279</v>
      </c>
      <c r="D21" s="1074">
        <f>SUM(D9:D20)</f>
        <v>25687</v>
      </c>
      <c r="E21" s="2502">
        <f>SUM(E9:E20)</f>
        <v>24883</v>
      </c>
      <c r="F21" s="1057"/>
      <c r="G21" s="1057"/>
      <c r="H21" s="1057"/>
    </row>
    <row r="22" spans="1:17" ht="12" customHeight="1">
      <c r="A22" s="1078" t="s">
        <v>111</v>
      </c>
      <c r="B22" s="1079"/>
      <c r="C22" s="2499"/>
      <c r="D22" s="1088"/>
      <c r="E22" s="2499"/>
      <c r="F22" s="1057"/>
      <c r="G22" s="1057"/>
      <c r="H22" s="1057"/>
    </row>
    <row r="23" spans="1:17" ht="12" customHeight="1">
      <c r="A23" s="1075" t="s">
        <v>1294</v>
      </c>
      <c r="B23" s="1076"/>
      <c r="C23" s="2500"/>
      <c r="D23" s="1081"/>
      <c r="E23" s="2500"/>
      <c r="F23" s="1057"/>
      <c r="G23" s="1057"/>
      <c r="H23" s="1057"/>
    </row>
    <row r="24" spans="1:17" ht="12" customHeight="1">
      <c r="A24" s="1089" t="s">
        <v>1296</v>
      </c>
      <c r="B24" s="1090"/>
      <c r="C24" s="2500"/>
      <c r="D24" s="1081"/>
      <c r="E24" s="2500"/>
      <c r="F24" s="1057"/>
      <c r="G24" s="1057"/>
      <c r="H24" s="1057"/>
    </row>
    <row r="25" spans="1:17" ht="12" customHeight="1">
      <c r="A25" s="1089" t="s">
        <v>1268</v>
      </c>
      <c r="B25" s="1090"/>
      <c r="C25" s="2500"/>
      <c r="D25" s="1081"/>
      <c r="E25" s="2500"/>
      <c r="F25" s="1057"/>
      <c r="G25" s="1057"/>
      <c r="H25" s="1057"/>
    </row>
    <row r="26" spans="1:17" ht="12" customHeight="1">
      <c r="A26" s="1091" t="s">
        <v>1269</v>
      </c>
      <c r="B26" s="1092">
        <v>210</v>
      </c>
      <c r="C26" s="2501"/>
      <c r="D26" s="1073"/>
      <c r="E26" s="2501"/>
      <c r="F26" s="1057"/>
      <c r="G26" s="1057"/>
      <c r="H26" s="1057"/>
    </row>
    <row r="27" spans="1:17" ht="12" customHeight="1">
      <c r="A27" s="1093" t="s">
        <v>358</v>
      </c>
      <c r="B27" s="1094">
        <v>215</v>
      </c>
      <c r="C27" s="1095"/>
      <c r="D27" s="1084"/>
      <c r="E27" s="1095"/>
      <c r="F27" s="1057"/>
      <c r="G27" s="1057"/>
      <c r="H27" s="1057"/>
    </row>
    <row r="28" spans="1:17" ht="12" customHeight="1">
      <c r="A28" s="1096" t="s">
        <v>1271</v>
      </c>
      <c r="B28" s="1097"/>
      <c r="C28" s="2499"/>
      <c r="D28" s="1080"/>
      <c r="E28" s="2499"/>
      <c r="F28" s="1057"/>
      <c r="G28" s="1057"/>
      <c r="H28" s="1057"/>
    </row>
    <row r="29" spans="1:17" ht="12" customHeight="1">
      <c r="A29" s="1091" t="s">
        <v>1272</v>
      </c>
      <c r="B29" s="1092">
        <v>220</v>
      </c>
      <c r="C29" s="2501"/>
      <c r="D29" s="1073"/>
      <c r="E29" s="2501"/>
      <c r="F29" s="1057"/>
      <c r="G29" s="1057"/>
      <c r="H29" s="1057"/>
    </row>
    <row r="30" spans="1:17" ht="12" customHeight="1">
      <c r="A30" s="1093" t="s">
        <v>1273</v>
      </c>
      <c r="B30" s="1094">
        <v>225</v>
      </c>
      <c r="C30" s="1095"/>
      <c r="D30" s="1084"/>
      <c r="E30" s="1095"/>
      <c r="F30" s="1057"/>
      <c r="G30" s="1057"/>
      <c r="H30" s="1057"/>
    </row>
    <row r="31" spans="1:17" ht="12" customHeight="1">
      <c r="A31" s="1093" t="s">
        <v>1276</v>
      </c>
      <c r="B31" s="1094">
        <v>230</v>
      </c>
      <c r="C31" s="1095"/>
      <c r="D31" s="1084"/>
      <c r="E31" s="1095"/>
      <c r="F31" s="1057"/>
      <c r="G31" s="1057"/>
      <c r="H31" s="1057"/>
    </row>
    <row r="32" spans="1:17" ht="12" customHeight="1">
      <c r="A32" s="1096" t="s">
        <v>1439</v>
      </c>
      <c r="B32" s="1097">
        <v>235</v>
      </c>
      <c r="C32" s="2504">
        <v>1290</v>
      </c>
      <c r="D32" s="1098">
        <v>155</v>
      </c>
      <c r="E32" s="2504">
        <v>9000</v>
      </c>
      <c r="F32" s="1057"/>
      <c r="G32" s="1057"/>
      <c r="H32" s="1057"/>
    </row>
    <row r="33" spans="1:8" ht="12" customHeight="1">
      <c r="A33" s="2991" t="s">
        <v>1303</v>
      </c>
      <c r="B33" s="2992">
        <v>237</v>
      </c>
      <c r="C33" s="2504"/>
      <c r="D33" s="1098">
        <v>211</v>
      </c>
      <c r="E33" s="2504">
        <v>2000</v>
      </c>
      <c r="F33" s="1057"/>
      <c r="G33" s="1057"/>
      <c r="H33" s="1057"/>
    </row>
    <row r="34" spans="1:8" ht="12" customHeight="1">
      <c r="A34" s="1093" t="s">
        <v>1282</v>
      </c>
      <c r="B34" s="1094">
        <v>240</v>
      </c>
      <c r="C34" s="1095">
        <v>843</v>
      </c>
      <c r="D34" s="1084">
        <v>367</v>
      </c>
      <c r="E34" s="1095">
        <v>12000</v>
      </c>
      <c r="F34" s="1057"/>
      <c r="G34" s="1057"/>
      <c r="H34" s="1057"/>
    </row>
    <row r="35" spans="1:8" ht="12" customHeight="1">
      <c r="A35" s="1096" t="s">
        <v>1288</v>
      </c>
      <c r="B35" s="1097"/>
      <c r="C35" s="2499"/>
      <c r="D35" s="1080"/>
      <c r="E35" s="2499"/>
      <c r="F35" s="1057"/>
      <c r="G35" s="1057"/>
      <c r="H35" s="1057"/>
    </row>
    <row r="36" spans="1:8" ht="12" customHeight="1">
      <c r="A36" s="1089" t="s">
        <v>359</v>
      </c>
      <c r="B36" s="1090">
        <v>245</v>
      </c>
      <c r="C36" s="2498"/>
      <c r="D36" s="1077"/>
      <c r="E36" s="2498"/>
      <c r="F36" s="1057"/>
      <c r="G36" s="1057"/>
      <c r="H36" s="1057"/>
    </row>
    <row r="37" spans="1:8" ht="12" customHeight="1">
      <c r="A37" s="1096" t="s">
        <v>795</v>
      </c>
      <c r="B37" s="1097">
        <v>250</v>
      </c>
      <c r="C37" s="2504"/>
      <c r="D37" s="1098"/>
      <c r="E37" s="2504"/>
      <c r="F37" s="1057"/>
      <c r="G37" s="1057"/>
      <c r="H37" s="1057"/>
    </row>
    <row r="38" spans="1:8" ht="12" customHeight="1">
      <c r="A38" s="1093" t="s">
        <v>1291</v>
      </c>
      <c r="B38" s="1094">
        <v>255</v>
      </c>
      <c r="C38" s="1095">
        <v>493</v>
      </c>
      <c r="D38" s="1084">
        <v>71</v>
      </c>
      <c r="E38" s="1095">
        <v>1000</v>
      </c>
      <c r="F38" s="1057"/>
      <c r="G38" s="1057"/>
      <c r="H38" s="1057"/>
    </row>
    <row r="39" spans="1:8" ht="12" customHeight="1">
      <c r="A39" s="1093" t="s">
        <v>1292</v>
      </c>
      <c r="B39" s="1094">
        <v>260</v>
      </c>
      <c r="C39" s="1095"/>
      <c r="D39" s="1084"/>
      <c r="E39" s="1095"/>
      <c r="F39" s="1057"/>
      <c r="G39" s="1057"/>
      <c r="H39" s="1057"/>
    </row>
    <row r="40" spans="1:8" ht="12" customHeight="1">
      <c r="A40" s="1093" t="s">
        <v>1293</v>
      </c>
      <c r="B40" s="1094">
        <v>265</v>
      </c>
      <c r="C40" s="1095"/>
      <c r="D40" s="1084"/>
      <c r="E40" s="1095"/>
      <c r="F40" s="1057"/>
      <c r="G40" s="1057"/>
      <c r="H40" s="1057"/>
    </row>
    <row r="41" spans="1:8" ht="12" customHeight="1">
      <c r="A41" s="1096" t="s">
        <v>1775</v>
      </c>
      <c r="B41" s="1097"/>
      <c r="C41" s="2499"/>
      <c r="D41" s="1080"/>
      <c r="E41" s="2499"/>
      <c r="F41" s="1057"/>
      <c r="G41" s="1057"/>
      <c r="H41" s="1057"/>
    </row>
    <row r="42" spans="1:8" ht="12" customHeight="1">
      <c r="A42" s="1089" t="s">
        <v>1268</v>
      </c>
      <c r="B42" s="1090"/>
      <c r="C42" s="2500"/>
      <c r="D42" s="1081"/>
      <c r="E42" s="2500"/>
      <c r="F42" s="1057"/>
      <c r="G42" s="1057"/>
      <c r="H42" s="1057"/>
    </row>
    <row r="43" spans="1:8" ht="12" customHeight="1">
      <c r="A43" s="1091" t="s">
        <v>1269</v>
      </c>
      <c r="B43" s="1092">
        <v>270</v>
      </c>
      <c r="C43" s="2501"/>
      <c r="D43" s="1073"/>
      <c r="E43" s="2501"/>
      <c r="F43" s="1057"/>
      <c r="G43" s="1057"/>
      <c r="H43" s="1057"/>
    </row>
    <row r="44" spans="1:8" ht="12" customHeight="1">
      <c r="A44" s="1093" t="s">
        <v>360</v>
      </c>
      <c r="B44" s="1094">
        <v>275</v>
      </c>
      <c r="C44" s="1095"/>
      <c r="D44" s="1084"/>
      <c r="E44" s="1095"/>
      <c r="F44" s="1057"/>
      <c r="G44" s="1057"/>
      <c r="H44" s="1057"/>
    </row>
    <row r="45" spans="1:8" ht="12" customHeight="1">
      <c r="A45" s="1096" t="s">
        <v>1271</v>
      </c>
      <c r="B45" s="1097"/>
      <c r="C45" s="2499"/>
      <c r="D45" s="1080"/>
      <c r="E45" s="2499"/>
      <c r="F45" s="1057"/>
      <c r="G45" s="1057"/>
      <c r="H45" s="1057"/>
    </row>
    <row r="46" spans="1:8" ht="12" customHeight="1">
      <c r="A46" s="1091" t="s">
        <v>353</v>
      </c>
      <c r="B46" s="1092">
        <v>280</v>
      </c>
      <c r="C46" s="2501"/>
      <c r="D46" s="1073"/>
      <c r="E46" s="2501"/>
      <c r="F46" s="1057"/>
      <c r="G46" s="1057"/>
      <c r="H46" s="1057"/>
    </row>
    <row r="47" spans="1:8" ht="12" customHeight="1">
      <c r="A47" s="1093" t="s">
        <v>1273</v>
      </c>
      <c r="B47" s="1094">
        <v>285</v>
      </c>
      <c r="C47" s="1095"/>
      <c r="D47" s="1084"/>
      <c r="E47" s="1095"/>
      <c r="F47" s="1057"/>
      <c r="G47" s="1057"/>
      <c r="H47" s="1057"/>
    </row>
    <row r="48" spans="1:8" ht="12" customHeight="1">
      <c r="A48" s="1093" t="s">
        <v>1276</v>
      </c>
      <c r="B48" s="1094">
        <v>290</v>
      </c>
      <c r="C48" s="1095"/>
      <c r="D48" s="1084"/>
      <c r="E48" s="1095"/>
      <c r="F48" s="1057"/>
      <c r="G48" s="1057"/>
      <c r="H48" s="1057"/>
    </row>
    <row r="49" spans="1:8" ht="12" customHeight="1">
      <c r="A49" s="1096" t="s">
        <v>1439</v>
      </c>
      <c r="B49" s="1097">
        <v>295</v>
      </c>
      <c r="C49" s="2504"/>
      <c r="D49" s="1098"/>
      <c r="E49" s="2504"/>
      <c r="F49" s="1057"/>
      <c r="G49" s="1057"/>
      <c r="H49" s="1057"/>
    </row>
    <row r="50" spans="1:8" ht="12" customHeight="1">
      <c r="A50" s="1093" t="s">
        <v>1303</v>
      </c>
      <c r="B50" s="1094">
        <v>300</v>
      </c>
      <c r="C50" s="1095"/>
      <c r="D50" s="1084"/>
      <c r="E50" s="1095"/>
      <c r="F50" s="1057"/>
      <c r="G50" s="1057"/>
      <c r="H50" s="1057"/>
    </row>
    <row r="51" spans="1:8" ht="12" customHeight="1">
      <c r="A51" s="1093" t="s">
        <v>1282</v>
      </c>
      <c r="B51" s="1094">
        <v>305</v>
      </c>
      <c r="C51" s="1095"/>
      <c r="D51" s="1084"/>
      <c r="E51" s="1095"/>
      <c r="F51" s="1057"/>
      <c r="G51" s="1057"/>
      <c r="H51" s="1057"/>
    </row>
    <row r="52" spans="1:8" ht="12" customHeight="1">
      <c r="A52" s="1093" t="s">
        <v>1288</v>
      </c>
      <c r="B52" s="1094">
        <v>310</v>
      </c>
      <c r="C52" s="1095"/>
      <c r="D52" s="1084"/>
      <c r="E52" s="1095"/>
      <c r="F52" s="1057"/>
      <c r="G52" s="1057"/>
      <c r="H52" s="1057"/>
    </row>
    <row r="53" spans="1:8" ht="12" customHeight="1">
      <c r="A53" s="1093" t="s">
        <v>1292</v>
      </c>
      <c r="B53" s="1094">
        <v>315</v>
      </c>
      <c r="C53" s="1095"/>
      <c r="D53" s="1084"/>
      <c r="E53" s="1095"/>
      <c r="F53" s="1057"/>
      <c r="G53" s="1057"/>
      <c r="H53" s="1057"/>
    </row>
    <row r="54" spans="1:8" ht="12" customHeight="1">
      <c r="A54" s="1096" t="s">
        <v>1293</v>
      </c>
      <c r="B54" s="1097">
        <v>320</v>
      </c>
      <c r="C54" s="2504"/>
      <c r="D54" s="1098"/>
      <c r="E54" s="2504"/>
      <c r="F54" s="1057"/>
      <c r="G54" s="1057"/>
      <c r="H54" s="1057"/>
    </row>
    <row r="55" spans="1:8" ht="12" customHeight="1">
      <c r="A55" s="3884" t="s">
        <v>1751</v>
      </c>
      <c r="B55" s="1097"/>
      <c r="C55" s="3890"/>
      <c r="D55" s="3888"/>
      <c r="E55" s="3888"/>
      <c r="F55" s="1057"/>
      <c r="G55" s="1057"/>
      <c r="H55" s="1057"/>
    </row>
    <row r="56" spans="1:8" ht="12" customHeight="1">
      <c r="A56" s="3885" t="s">
        <v>1309</v>
      </c>
      <c r="B56" s="1090"/>
      <c r="C56" s="3889"/>
      <c r="D56" s="3891"/>
      <c r="E56" s="3891"/>
      <c r="F56" s="1057"/>
      <c r="G56" s="1057"/>
      <c r="H56" s="1057"/>
    </row>
    <row r="57" spans="1:8" ht="12" customHeight="1">
      <c r="A57" s="3886" t="s">
        <v>1347</v>
      </c>
      <c r="B57" s="3991">
        <v>327</v>
      </c>
      <c r="C57" s="3748"/>
      <c r="D57" s="3339"/>
      <c r="E57" s="3339"/>
      <c r="F57" s="1057"/>
      <c r="G57" s="1057"/>
      <c r="H57" s="1057"/>
    </row>
    <row r="58" spans="1:8" ht="12" customHeight="1">
      <c r="A58" s="1089" t="s">
        <v>1270</v>
      </c>
      <c r="B58" s="3992">
        <v>330</v>
      </c>
      <c r="C58" s="3748"/>
      <c r="D58" s="1077"/>
      <c r="E58" s="2498"/>
      <c r="F58" s="1057"/>
      <c r="G58" s="1057"/>
      <c r="H58" s="1057"/>
    </row>
    <row r="59" spans="1:8" ht="12" customHeight="1">
      <c r="A59" s="3884" t="s">
        <v>1310</v>
      </c>
      <c r="B59" s="2992"/>
      <c r="C59" s="3889"/>
      <c r="D59" s="3888"/>
      <c r="E59" s="3888"/>
      <c r="F59" s="1057"/>
      <c r="G59" s="1057"/>
      <c r="H59" s="1057"/>
    </row>
    <row r="60" spans="1:8" ht="12" customHeight="1">
      <c r="A60" s="3886" t="s">
        <v>1348</v>
      </c>
      <c r="B60" s="3991">
        <v>335</v>
      </c>
      <c r="C60" s="3748"/>
      <c r="D60" s="3339"/>
      <c r="E60" s="3339"/>
      <c r="F60" s="1057"/>
      <c r="G60" s="1057"/>
      <c r="H60" s="1057"/>
    </row>
    <row r="61" spans="1:8" ht="12" customHeight="1">
      <c r="A61" s="1089" t="s">
        <v>1314</v>
      </c>
      <c r="B61" s="3992">
        <v>340</v>
      </c>
      <c r="C61" s="3748"/>
      <c r="D61" s="1077"/>
      <c r="E61" s="2498"/>
      <c r="F61" s="1057"/>
      <c r="G61" s="1057"/>
      <c r="H61" s="1057"/>
    </row>
    <row r="62" spans="1:8" ht="12" customHeight="1">
      <c r="A62" s="1096" t="s">
        <v>1315</v>
      </c>
      <c r="B62" s="2992">
        <v>345</v>
      </c>
      <c r="C62" s="3748"/>
      <c r="D62" s="1098"/>
      <c r="E62" s="2504"/>
      <c r="F62" s="1057"/>
      <c r="G62" s="1057"/>
      <c r="H62" s="1057"/>
    </row>
    <row r="63" spans="1:8" ht="12" customHeight="1">
      <c r="A63" s="1093" t="s">
        <v>1277</v>
      </c>
      <c r="B63" s="3993">
        <v>350</v>
      </c>
      <c r="C63" s="3748"/>
      <c r="D63" s="1084"/>
      <c r="E63" s="1095"/>
      <c r="F63" s="1057"/>
      <c r="G63" s="1057"/>
      <c r="H63" s="1057"/>
    </row>
    <row r="64" spans="1:8" ht="12" customHeight="1">
      <c r="A64" s="2775"/>
      <c r="B64" s="3935"/>
      <c r="C64" s="2776"/>
      <c r="D64" s="3936"/>
      <c r="E64" s="3936"/>
      <c r="F64" s="1057"/>
      <c r="G64" s="1057"/>
      <c r="H64" s="1057"/>
    </row>
    <row r="65" spans="1:8" ht="12" customHeight="1">
      <c r="A65" s="1054" t="s">
        <v>1019</v>
      </c>
      <c r="B65" s="1055">
        <f>B1</f>
        <v>270</v>
      </c>
      <c r="C65" s="1056"/>
      <c r="D65" s="1056"/>
      <c r="E65" s="1054" t="s">
        <v>1020</v>
      </c>
      <c r="F65" s="1057"/>
      <c r="G65" s="1057"/>
      <c r="H65" s="1057"/>
    </row>
    <row r="66" spans="1:8" ht="12" customHeight="1">
      <c r="A66" s="1056"/>
      <c r="B66" s="1059"/>
      <c r="C66" s="1056"/>
      <c r="D66" s="1056"/>
      <c r="E66" s="1054" t="s">
        <v>1212</v>
      </c>
      <c r="F66" s="1057"/>
      <c r="G66" s="1057"/>
      <c r="H66" s="1057"/>
    </row>
    <row r="67" spans="1:8" ht="12" customHeight="1">
      <c r="A67" s="1056"/>
      <c r="B67" s="1059"/>
      <c r="C67" s="1056"/>
      <c r="D67" s="1056"/>
      <c r="E67" s="1054" t="str">
        <f>E3</f>
        <v>2016-2017</v>
      </c>
      <c r="F67" s="1057"/>
      <c r="G67" s="1057"/>
      <c r="H67" s="1057"/>
    </row>
    <row r="68" spans="1:8" ht="12" customHeight="1">
      <c r="A68" s="1056"/>
      <c r="B68" s="1059"/>
      <c r="C68" s="1056"/>
      <c r="D68" s="1056"/>
      <c r="E68" s="1056"/>
      <c r="F68" s="1057"/>
      <c r="G68" s="1057"/>
      <c r="H68" s="1057"/>
    </row>
    <row r="69" spans="1:8" ht="12" customHeight="1">
      <c r="A69" s="1056"/>
      <c r="B69" s="1059"/>
      <c r="C69" s="1060" t="s">
        <v>1213</v>
      </c>
      <c r="D69" s="1060" t="s">
        <v>1213</v>
      </c>
      <c r="E69" s="1060" t="s">
        <v>1213</v>
      </c>
      <c r="F69" s="1057"/>
      <c r="G69" s="1057"/>
      <c r="H69" s="1057"/>
    </row>
    <row r="70" spans="1:8" ht="12" customHeight="1">
      <c r="A70" s="1061"/>
      <c r="B70" s="1062" t="s">
        <v>1045</v>
      </c>
      <c r="C70" s="1063" t="str">
        <f>C6</f>
        <v>2014-2015</v>
      </c>
      <c r="D70" s="1063" t="str">
        <f t="shared" ref="D70:E70" si="0">D6</f>
        <v>2015-2016</v>
      </c>
      <c r="E70" s="1063" t="str">
        <f t="shared" si="0"/>
        <v>2016-2017</v>
      </c>
      <c r="F70" s="1057"/>
      <c r="G70" s="1057"/>
      <c r="H70" s="1057"/>
    </row>
    <row r="71" spans="1:8" ht="12" customHeight="1">
      <c r="A71" s="1061" t="s">
        <v>120</v>
      </c>
      <c r="B71" s="1065">
        <v>26</v>
      </c>
      <c r="C71" s="1066" t="s">
        <v>1139</v>
      </c>
      <c r="D71" s="1066" t="s">
        <v>1139</v>
      </c>
      <c r="E71" s="1066" t="s">
        <v>1215</v>
      </c>
      <c r="F71" s="1057"/>
      <c r="G71" s="1057"/>
      <c r="H71" s="1057"/>
    </row>
    <row r="72" spans="1:8" ht="12" customHeight="1">
      <c r="A72" s="1068"/>
      <c r="B72" s="1069" t="s">
        <v>1051</v>
      </c>
      <c r="C72" s="1070">
        <v>1</v>
      </c>
      <c r="D72" s="1070">
        <v>2</v>
      </c>
      <c r="E72" s="1070">
        <v>3</v>
      </c>
      <c r="F72" s="1057"/>
      <c r="G72" s="1057"/>
      <c r="H72" s="1057"/>
    </row>
    <row r="73" spans="1:8" ht="12" customHeight="1">
      <c r="A73" s="1096" t="s">
        <v>1318</v>
      </c>
      <c r="B73" s="2992">
        <v>355</v>
      </c>
      <c r="C73" s="3748"/>
      <c r="D73" s="1098"/>
      <c r="E73" s="2504"/>
      <c r="F73" s="1057"/>
      <c r="G73" s="1057"/>
      <c r="H73" s="1057"/>
    </row>
    <row r="74" spans="1:8" ht="12" customHeight="1">
      <c r="A74" s="1096" t="s">
        <v>1327</v>
      </c>
      <c r="B74" s="2992">
        <v>360</v>
      </c>
      <c r="C74" s="3748"/>
      <c r="D74" s="1098"/>
      <c r="E74" s="2504"/>
      <c r="F74" s="1057"/>
      <c r="G74" s="1057"/>
      <c r="H74" s="1057"/>
    </row>
    <row r="75" spans="1:8" ht="12" customHeight="1">
      <c r="A75" s="1096" t="s">
        <v>1337</v>
      </c>
      <c r="B75" s="2992">
        <v>365</v>
      </c>
      <c r="C75" s="3748"/>
      <c r="D75" s="1098"/>
      <c r="E75" s="2504"/>
      <c r="F75" s="1057"/>
      <c r="G75" s="1057"/>
      <c r="H75" s="1057"/>
    </row>
    <row r="76" spans="1:8" ht="12" customHeight="1">
      <c r="A76" s="1096" t="s">
        <v>1345</v>
      </c>
      <c r="B76" s="2992">
        <v>370</v>
      </c>
      <c r="C76" s="3748"/>
      <c r="D76" s="1098"/>
      <c r="E76" s="2504"/>
      <c r="F76" s="1057"/>
      <c r="G76" s="1057"/>
      <c r="H76" s="1057"/>
    </row>
    <row r="77" spans="1:8" ht="12" customHeight="1">
      <c r="A77" s="1096" t="s">
        <v>1346</v>
      </c>
      <c r="B77" s="2992">
        <v>375</v>
      </c>
      <c r="C77" s="3748"/>
      <c r="D77" s="1098"/>
      <c r="E77" s="2504"/>
      <c r="F77" s="1057"/>
      <c r="G77" s="1057"/>
      <c r="H77" s="1057"/>
    </row>
    <row r="78" spans="1:8" ht="12" customHeight="1">
      <c r="A78" s="3412" t="s">
        <v>1501</v>
      </c>
      <c r="B78" s="3415"/>
      <c r="C78" s="3892"/>
      <c r="D78" s="3876"/>
      <c r="E78" s="3412"/>
      <c r="F78" s="1057"/>
      <c r="G78" s="1057"/>
      <c r="H78" s="1057"/>
    </row>
    <row r="79" spans="1:8" ht="12" customHeight="1">
      <c r="A79" s="3414" t="s">
        <v>1503</v>
      </c>
      <c r="B79" s="3551">
        <v>325</v>
      </c>
      <c r="C79" s="3748"/>
      <c r="D79" s="3887"/>
      <c r="E79" s="2501"/>
      <c r="F79" s="1057"/>
      <c r="G79" s="3101" t="str">
        <f>IF(AND(E79&lt;&gt;0,E79&gt;E9),"Transfer to General is greater than the beginning cash balance 7/1/12","")</f>
        <v/>
      </c>
      <c r="H79" s="1057"/>
    </row>
    <row r="80" spans="1:8" ht="12" customHeight="1">
      <c r="A80" s="1091" t="s">
        <v>53</v>
      </c>
      <c r="B80" s="1092">
        <v>175</v>
      </c>
      <c r="C80" s="2502">
        <f>SUM(C22:C63)+SUM(C73:C79)</f>
        <v>2626</v>
      </c>
      <c r="D80" s="2502">
        <f>SUM(D22:D63)+SUM(D73:D79)</f>
        <v>804</v>
      </c>
      <c r="E80" s="2581">
        <f>IF(I81&lt;=E21,I81,"ERROR")</f>
        <v>24000</v>
      </c>
      <c r="F80" s="1057"/>
      <c r="G80" s="3101"/>
      <c r="H80" s="1099"/>
    </row>
    <row r="81" spans="1:9" ht="12" customHeight="1">
      <c r="A81" s="1093" t="s">
        <v>290</v>
      </c>
      <c r="B81" s="1094">
        <v>190</v>
      </c>
      <c r="C81" s="2503">
        <f>SUM(C21-C80)</f>
        <v>25653</v>
      </c>
      <c r="D81" s="1086">
        <f>SUM(D21-D80)</f>
        <v>24883</v>
      </c>
      <c r="E81" s="2617">
        <f>IF(ISERROR(E21-E80), "NEGATIVE",E21-E80)</f>
        <v>883</v>
      </c>
      <c r="F81" s="1057"/>
      <c r="G81" s="3525"/>
      <c r="H81" s="1057"/>
      <c r="I81" s="1085">
        <f>SUM(E26:E63)+SUM(E73:E79)</f>
        <v>24000</v>
      </c>
    </row>
    <row r="82" spans="1:9" ht="14.25" customHeight="1">
      <c r="A82" s="2775"/>
      <c r="B82" s="3018" t="s">
        <v>1364</v>
      </c>
      <c r="C82" s="2776"/>
      <c r="D82" s="2776"/>
      <c r="E82" s="2777"/>
      <c r="F82" s="1057"/>
      <c r="G82" s="1057"/>
      <c r="H82" s="1057"/>
      <c r="I82" s="2616"/>
    </row>
    <row r="83" spans="1:9" ht="13.5" customHeight="1">
      <c r="A83" s="5285"/>
      <c r="B83" s="5285"/>
      <c r="C83" s="5285"/>
      <c r="D83" s="5285"/>
      <c r="E83" s="5285"/>
      <c r="F83" s="1101"/>
      <c r="G83" s="1057"/>
      <c r="H83" s="1057"/>
    </row>
    <row r="84" spans="1:9" ht="12" customHeight="1">
      <c r="A84" s="1056"/>
      <c r="B84" s="2793"/>
      <c r="C84" s="1057"/>
      <c r="D84" s="1057"/>
      <c r="E84" s="1057"/>
      <c r="F84" s="1057"/>
      <c r="G84" s="1102"/>
      <c r="H84" s="1102"/>
    </row>
    <row r="85" spans="1:9" ht="12" customHeight="1">
      <c r="A85" s="1056"/>
      <c r="B85" s="1056"/>
      <c r="C85" s="1057"/>
      <c r="D85" s="1057"/>
      <c r="E85" s="1057"/>
      <c r="F85" s="1057"/>
      <c r="G85" s="1102"/>
      <c r="H85" s="1102"/>
    </row>
    <row r="86" spans="1:9" ht="12" customHeight="1">
      <c r="A86" s="1056"/>
      <c r="B86" s="1056"/>
      <c r="C86" s="1057"/>
      <c r="D86" s="1057"/>
      <c r="E86" s="1057"/>
      <c r="F86" s="1057"/>
      <c r="G86" s="1057"/>
      <c r="H86" s="1057"/>
    </row>
    <row r="87" spans="1:9" ht="12" customHeight="1">
      <c r="A87" s="1056"/>
      <c r="B87" s="1056"/>
      <c r="C87" s="1057"/>
      <c r="D87" s="1057"/>
      <c r="E87" s="1057"/>
      <c r="F87" s="1057"/>
      <c r="G87" s="1057"/>
      <c r="H87" s="1057"/>
    </row>
    <row r="88" spans="1:9" ht="12" customHeight="1">
      <c r="A88" s="1056"/>
      <c r="B88" s="1056"/>
      <c r="C88" s="1057"/>
      <c r="D88" s="1057"/>
      <c r="E88" s="1057"/>
      <c r="F88" s="1057"/>
      <c r="G88" s="1057"/>
      <c r="H88" s="1057"/>
    </row>
    <row r="89" spans="1:9" ht="12" customHeight="1">
      <c r="A89" s="1056"/>
      <c r="B89" s="1056"/>
      <c r="C89" s="1057"/>
      <c r="D89" s="1057"/>
      <c r="E89" s="1057"/>
      <c r="F89" s="1057"/>
      <c r="G89" s="1057"/>
      <c r="H89" s="1057"/>
    </row>
    <row r="90" spans="1:9" ht="12" customHeight="1">
      <c r="A90" s="1056"/>
      <c r="B90" s="1056"/>
      <c r="C90" s="1057"/>
      <c r="D90" s="1057"/>
      <c r="E90" s="1057"/>
      <c r="F90" s="1057"/>
      <c r="G90" s="1057"/>
      <c r="H90" s="1057"/>
    </row>
    <row r="91" spans="1:9" ht="12" customHeight="1">
      <c r="A91" s="1056"/>
      <c r="B91" s="1056"/>
      <c r="C91" s="1057"/>
      <c r="D91" s="1057"/>
      <c r="E91" s="1057"/>
      <c r="F91" s="1057"/>
      <c r="G91" s="1057"/>
      <c r="H91" s="1057"/>
    </row>
    <row r="92" spans="1:9" ht="12" customHeight="1">
      <c r="A92" s="1056"/>
      <c r="B92" s="1056"/>
      <c r="C92" s="1057"/>
      <c r="D92" s="1057"/>
      <c r="E92" s="1057"/>
      <c r="F92" s="1057"/>
      <c r="G92" s="1057"/>
      <c r="H92" s="1057"/>
    </row>
    <row r="93" spans="1:9" ht="12" customHeight="1">
      <c r="A93" s="1056"/>
      <c r="B93" s="1056"/>
      <c r="C93" s="1057"/>
      <c r="D93" s="1057"/>
      <c r="E93" s="1057"/>
      <c r="F93" s="1057"/>
      <c r="G93" s="1057"/>
      <c r="H93" s="1057"/>
    </row>
    <row r="94" spans="1:9" ht="12" customHeight="1">
      <c r="A94" s="1056"/>
      <c r="B94" s="1056"/>
      <c r="C94" s="1057"/>
      <c r="D94" s="1057"/>
      <c r="E94" s="1057"/>
      <c r="F94" s="1057"/>
      <c r="G94" s="1057"/>
      <c r="H94" s="1057"/>
    </row>
    <row r="95" spans="1:9" ht="12" customHeight="1">
      <c r="A95" s="1056"/>
      <c r="B95" s="1056"/>
      <c r="C95" s="1057"/>
      <c r="D95" s="1057"/>
      <c r="E95" s="1057"/>
      <c r="F95" s="1057"/>
      <c r="G95" s="1057"/>
      <c r="H95" s="1057"/>
    </row>
    <row r="96" spans="1:9" ht="12" customHeight="1">
      <c r="A96" s="1056"/>
      <c r="B96" s="1056"/>
      <c r="C96" s="1057"/>
      <c r="D96" s="1057"/>
      <c r="E96" s="1057"/>
      <c r="F96" s="1057"/>
      <c r="G96" s="1057"/>
      <c r="H96" s="1057"/>
    </row>
    <row r="97" spans="1:8" ht="12" customHeight="1">
      <c r="A97" s="1056"/>
      <c r="B97" s="1056"/>
      <c r="C97" s="1057"/>
      <c r="D97" s="1057"/>
      <c r="E97" s="1057"/>
      <c r="F97" s="1057"/>
      <c r="G97" s="1057"/>
      <c r="H97" s="1057"/>
    </row>
    <row r="98" spans="1:8" ht="12" customHeight="1">
      <c r="A98" s="1056"/>
      <c r="B98" s="1056"/>
      <c r="C98" s="1057"/>
      <c r="D98" s="1057"/>
      <c r="E98" s="1057"/>
      <c r="F98" s="1057"/>
      <c r="G98" s="1057"/>
      <c r="H98" s="1057"/>
    </row>
    <row r="99" spans="1:8" ht="12" customHeight="1">
      <c r="A99" s="1056"/>
      <c r="B99" s="1056"/>
      <c r="C99" s="1057"/>
      <c r="D99" s="1057"/>
      <c r="E99" s="1057"/>
      <c r="F99" s="1057"/>
      <c r="G99" s="1057"/>
      <c r="H99" s="1057"/>
    </row>
    <row r="100" spans="1:8" ht="12" customHeight="1">
      <c r="A100" s="1056"/>
      <c r="B100" s="1056"/>
      <c r="C100" s="1057"/>
      <c r="D100" s="1057"/>
      <c r="E100" s="1057"/>
      <c r="F100" s="1057"/>
      <c r="G100" s="1057"/>
      <c r="H100" s="1057"/>
    </row>
    <row r="101" spans="1:8" ht="12" customHeight="1">
      <c r="A101" s="1056"/>
      <c r="B101" s="1056"/>
      <c r="C101" s="1057"/>
      <c r="D101" s="1057"/>
      <c r="E101" s="1057"/>
      <c r="F101" s="1057"/>
      <c r="G101" s="1057"/>
      <c r="H101" s="1057"/>
    </row>
    <row r="102" spans="1:8" ht="12" customHeight="1">
      <c r="A102" s="1056"/>
      <c r="B102" s="1056"/>
      <c r="C102" s="1057"/>
      <c r="D102" s="1057"/>
      <c r="E102" s="1057"/>
      <c r="F102" s="1057"/>
      <c r="G102" s="1057"/>
      <c r="H102" s="1057"/>
    </row>
    <row r="103" spans="1:8" ht="12" customHeight="1">
      <c r="A103" s="1056"/>
      <c r="B103" s="1056"/>
      <c r="C103" s="1057"/>
      <c r="D103" s="1057"/>
      <c r="E103" s="1057"/>
      <c r="F103" s="1057"/>
      <c r="G103" s="1057"/>
      <c r="H103" s="1057"/>
    </row>
    <row r="104" spans="1:8" ht="12" customHeight="1">
      <c r="A104" s="1056"/>
      <c r="B104" s="1056"/>
      <c r="C104" s="1057"/>
      <c r="D104" s="1057"/>
      <c r="E104" s="1057"/>
      <c r="F104" s="1057"/>
      <c r="G104" s="1057"/>
      <c r="H104" s="1057"/>
    </row>
    <row r="105" spans="1:8" ht="12" customHeight="1">
      <c r="A105" s="1056"/>
      <c r="B105" s="1056"/>
      <c r="C105" s="1057"/>
      <c r="D105" s="1057"/>
      <c r="E105" s="1057"/>
      <c r="F105" s="1057"/>
      <c r="G105" s="1057"/>
      <c r="H105" s="1057"/>
    </row>
    <row r="106" spans="1:8" ht="12" customHeight="1">
      <c r="A106" s="1056"/>
      <c r="B106" s="1056"/>
      <c r="C106" s="1057"/>
      <c r="D106" s="1057"/>
      <c r="E106" s="1057"/>
      <c r="F106" s="1057"/>
      <c r="G106" s="1057"/>
      <c r="H106" s="1057"/>
    </row>
    <row r="107" spans="1:8" ht="12" customHeight="1">
      <c r="A107" s="1056"/>
      <c r="B107" s="1056"/>
      <c r="C107" s="1057"/>
      <c r="D107" s="1057"/>
      <c r="E107" s="1057"/>
      <c r="F107" s="1057"/>
      <c r="G107" s="1057"/>
      <c r="H107" s="1057"/>
    </row>
    <row r="108" spans="1:8" ht="12" customHeight="1">
      <c r="A108" s="1056"/>
      <c r="B108" s="1056"/>
      <c r="C108" s="1057"/>
      <c r="D108" s="1057"/>
      <c r="E108" s="1057"/>
      <c r="F108" s="1057"/>
      <c r="G108" s="1057"/>
      <c r="H108" s="1057"/>
    </row>
    <row r="109" spans="1:8" ht="12" customHeight="1">
      <c r="A109" s="1056"/>
      <c r="B109" s="1056"/>
      <c r="C109" s="1057"/>
      <c r="D109" s="1057"/>
      <c r="E109" s="1057"/>
      <c r="F109" s="1057"/>
      <c r="G109" s="1057"/>
      <c r="H109" s="1057"/>
    </row>
    <row r="110" spans="1:8" ht="12" customHeight="1">
      <c r="A110" s="1056"/>
      <c r="B110" s="1056"/>
      <c r="C110" s="1057"/>
      <c r="D110" s="1057"/>
      <c r="E110" s="1057"/>
      <c r="F110" s="1057"/>
      <c r="G110" s="1057"/>
      <c r="H110" s="1057"/>
    </row>
    <row r="111" spans="1:8" ht="12" customHeight="1">
      <c r="A111" s="1056"/>
      <c r="B111" s="1056"/>
      <c r="C111" s="1057"/>
      <c r="D111" s="1057"/>
      <c r="E111" s="1057"/>
      <c r="F111" s="1057"/>
      <c r="G111" s="1057"/>
      <c r="H111" s="1057"/>
    </row>
    <row r="112" spans="1:8" ht="12" customHeight="1">
      <c r="A112" s="1056"/>
      <c r="B112" s="1056"/>
      <c r="C112" s="1057"/>
      <c r="D112" s="1057"/>
      <c r="E112" s="1057"/>
      <c r="F112" s="1057"/>
      <c r="G112" s="1057"/>
      <c r="H112" s="1057"/>
    </row>
    <row r="113" spans="1:8" ht="12" customHeight="1">
      <c r="A113" s="1056"/>
      <c r="B113" s="1056"/>
      <c r="C113" s="1057"/>
      <c r="D113" s="1057"/>
      <c r="E113" s="1057"/>
      <c r="F113" s="1057"/>
      <c r="G113" s="1057"/>
      <c r="H113" s="1057"/>
    </row>
    <row r="114" spans="1:8" ht="12" customHeight="1">
      <c r="A114" s="1056"/>
      <c r="B114" s="1056"/>
      <c r="C114" s="1057"/>
      <c r="D114" s="1057"/>
      <c r="E114" s="1057"/>
      <c r="F114" s="1057"/>
      <c r="G114" s="1057"/>
      <c r="H114" s="1057"/>
    </row>
    <row r="115" spans="1:8" ht="12" customHeight="1">
      <c r="A115" s="1056"/>
      <c r="B115" s="1056"/>
      <c r="C115" s="1057"/>
      <c r="D115" s="1057"/>
      <c r="E115" s="1057"/>
      <c r="F115" s="1057"/>
      <c r="G115" s="1057"/>
      <c r="H115" s="1057"/>
    </row>
    <row r="116" spans="1:8" ht="12" customHeight="1">
      <c r="A116" s="1056"/>
      <c r="B116" s="1056"/>
      <c r="C116" s="1057"/>
      <c r="D116" s="1057"/>
      <c r="E116" s="1057"/>
      <c r="F116" s="1057"/>
      <c r="G116" s="1057"/>
      <c r="H116" s="1057"/>
    </row>
    <row r="117" spans="1:8" ht="12" customHeight="1">
      <c r="A117" s="1056"/>
      <c r="B117" s="1056"/>
      <c r="C117" s="1057"/>
      <c r="D117" s="1057"/>
      <c r="E117" s="1057"/>
      <c r="F117" s="1057"/>
      <c r="G117" s="1057"/>
      <c r="H117" s="1057"/>
    </row>
    <row r="118" spans="1:8" ht="12" customHeight="1">
      <c r="A118" s="1056"/>
      <c r="B118" s="1056"/>
      <c r="C118" s="1057"/>
      <c r="D118" s="1057"/>
      <c r="E118" s="1057"/>
      <c r="F118" s="1057"/>
      <c r="G118" s="1057"/>
      <c r="H118" s="1057"/>
    </row>
    <row r="119" spans="1:8" ht="12" customHeight="1">
      <c r="A119" s="1056"/>
      <c r="B119" s="1056"/>
      <c r="C119" s="1057"/>
      <c r="D119" s="1057"/>
      <c r="E119" s="1057"/>
      <c r="F119" s="1057"/>
      <c r="G119" s="1057"/>
      <c r="H119" s="1057"/>
    </row>
    <row r="120" spans="1:8" ht="12" customHeight="1">
      <c r="A120" s="1056"/>
      <c r="B120" s="1056"/>
      <c r="C120" s="1057"/>
      <c r="D120" s="1057"/>
      <c r="E120" s="1057"/>
      <c r="F120" s="1057"/>
      <c r="G120" s="1057"/>
      <c r="H120" s="1057"/>
    </row>
    <row r="121" spans="1:8" ht="12" customHeight="1">
      <c r="A121" s="1056"/>
      <c r="B121" s="1056"/>
      <c r="C121" s="1057"/>
      <c r="D121" s="1057"/>
      <c r="E121" s="1057"/>
      <c r="F121" s="1057"/>
      <c r="G121" s="1057"/>
      <c r="H121" s="1057"/>
    </row>
    <row r="122" spans="1:8" ht="12" customHeight="1">
      <c r="A122" s="1056"/>
      <c r="B122" s="1056"/>
      <c r="C122" s="1057"/>
      <c r="D122" s="1057"/>
      <c r="E122" s="1057"/>
      <c r="F122" s="1057"/>
      <c r="G122" s="1057"/>
      <c r="H122" s="1057"/>
    </row>
    <row r="123" spans="1:8" ht="12" customHeight="1">
      <c r="A123" s="1056"/>
      <c r="B123" s="1056"/>
      <c r="C123" s="1057"/>
      <c r="D123" s="1057"/>
      <c r="E123" s="1057"/>
      <c r="F123" s="1057"/>
      <c r="G123" s="1057"/>
      <c r="H123" s="1057"/>
    </row>
    <row r="124" spans="1:8" ht="12" customHeight="1">
      <c r="A124" s="1056"/>
      <c r="B124" s="1056"/>
      <c r="C124" s="1057"/>
      <c r="D124" s="1057"/>
      <c r="E124" s="1057"/>
      <c r="F124" s="1057"/>
      <c r="G124" s="1057"/>
      <c r="H124" s="1057"/>
    </row>
    <row r="125" spans="1:8" ht="12" customHeight="1">
      <c r="A125" s="1056"/>
      <c r="B125" s="1056"/>
      <c r="C125" s="1057"/>
      <c r="D125" s="1057"/>
      <c r="E125" s="1057"/>
      <c r="F125" s="1057"/>
      <c r="G125" s="1057"/>
      <c r="H125" s="1057"/>
    </row>
    <row r="126" spans="1:8" ht="12" customHeight="1">
      <c r="A126" s="1056"/>
      <c r="B126" s="1056"/>
      <c r="C126" s="1057"/>
      <c r="D126" s="1057"/>
      <c r="E126" s="1057"/>
      <c r="F126" s="1057"/>
      <c r="G126" s="1057"/>
      <c r="H126" s="1057"/>
    </row>
    <row r="127" spans="1:8" ht="12" customHeight="1">
      <c r="A127" s="1056"/>
      <c r="B127" s="1056"/>
      <c r="C127" s="1057"/>
      <c r="D127" s="1057"/>
      <c r="E127" s="1057"/>
      <c r="F127" s="1057"/>
      <c r="G127" s="1057"/>
      <c r="H127" s="1057"/>
    </row>
    <row r="128" spans="1:8" ht="12" customHeight="1">
      <c r="A128" s="1056"/>
      <c r="B128" s="1056"/>
      <c r="C128" s="1057"/>
      <c r="D128" s="1057"/>
      <c r="E128" s="1057"/>
      <c r="F128" s="1057"/>
      <c r="G128" s="1057"/>
      <c r="H128" s="1057"/>
    </row>
    <row r="129" spans="1:8" ht="12" customHeight="1">
      <c r="A129" s="1056"/>
      <c r="B129" s="1056"/>
      <c r="C129" s="1057"/>
      <c r="D129" s="1057"/>
      <c r="E129" s="1057"/>
      <c r="F129" s="1057"/>
      <c r="G129" s="1057"/>
      <c r="H129" s="1057"/>
    </row>
    <row r="130" spans="1:8" ht="12" customHeight="1">
      <c r="A130" s="1056"/>
      <c r="B130" s="1056"/>
      <c r="C130" s="1057"/>
      <c r="D130" s="1057"/>
      <c r="E130" s="1057"/>
      <c r="F130" s="1057"/>
      <c r="G130" s="1057"/>
      <c r="H130" s="1057"/>
    </row>
    <row r="131" spans="1:8" ht="12" customHeight="1">
      <c r="A131" s="1056"/>
      <c r="B131" s="1056"/>
      <c r="C131" s="1057"/>
      <c r="D131" s="1057"/>
      <c r="E131" s="1057"/>
      <c r="F131" s="1057"/>
      <c r="G131" s="1057"/>
      <c r="H131" s="1057"/>
    </row>
    <row r="132" spans="1:8" ht="12" customHeight="1">
      <c r="A132" s="1056"/>
      <c r="B132" s="1056"/>
      <c r="C132" s="1057"/>
      <c r="D132" s="1057"/>
      <c r="E132" s="1057"/>
      <c r="F132" s="1057"/>
      <c r="G132" s="1057"/>
      <c r="H132" s="1057"/>
    </row>
    <row r="133" spans="1:8" ht="12" customHeight="1">
      <c r="A133" s="1056"/>
      <c r="B133" s="1056"/>
      <c r="C133" s="1057"/>
      <c r="D133" s="1057"/>
      <c r="E133" s="1057"/>
      <c r="F133" s="1057"/>
      <c r="G133" s="1057"/>
      <c r="H133" s="1057"/>
    </row>
    <row r="134" spans="1:8" ht="12" customHeight="1">
      <c r="A134" s="1056"/>
      <c r="B134" s="1056"/>
      <c r="C134" s="1057"/>
      <c r="D134" s="1057"/>
      <c r="E134" s="1057"/>
      <c r="F134" s="1057"/>
      <c r="G134" s="1057"/>
      <c r="H134" s="1057"/>
    </row>
    <row r="135" spans="1:8" ht="12" customHeight="1">
      <c r="A135" s="1056"/>
      <c r="B135" s="1056"/>
      <c r="C135" s="1057"/>
      <c r="D135" s="1057"/>
      <c r="E135" s="1057"/>
      <c r="F135" s="1057"/>
      <c r="G135" s="1057"/>
      <c r="H135" s="1057"/>
    </row>
    <row r="136" spans="1:8" ht="12" customHeight="1">
      <c r="A136" s="1056"/>
      <c r="B136" s="1056"/>
      <c r="C136" s="1057"/>
      <c r="D136" s="1057"/>
      <c r="E136" s="1057"/>
      <c r="F136" s="1057"/>
      <c r="G136" s="1057"/>
      <c r="H136" s="1057"/>
    </row>
    <row r="137" spans="1:8" ht="12" customHeight="1">
      <c r="A137" s="1056"/>
      <c r="B137" s="1056"/>
      <c r="C137" s="1057"/>
      <c r="D137" s="1057"/>
      <c r="E137" s="1057"/>
      <c r="F137" s="1057"/>
      <c r="G137" s="1057"/>
      <c r="H137" s="1057"/>
    </row>
    <row r="138" spans="1:8" ht="12" customHeight="1">
      <c r="A138" s="1056"/>
      <c r="B138" s="1056"/>
      <c r="C138" s="1057"/>
      <c r="D138" s="1057"/>
      <c r="E138" s="1057"/>
      <c r="F138" s="1057"/>
      <c r="G138" s="1057"/>
      <c r="H138" s="1057"/>
    </row>
    <row r="139" spans="1:8" ht="12" customHeight="1">
      <c r="A139" s="1056"/>
      <c r="B139" s="1056"/>
      <c r="C139" s="1057"/>
      <c r="D139" s="1057"/>
      <c r="E139" s="1057"/>
      <c r="F139" s="1057"/>
      <c r="G139" s="1057"/>
      <c r="H139" s="1057"/>
    </row>
    <row r="140" spans="1:8" ht="12" customHeight="1">
      <c r="A140" s="1056"/>
      <c r="B140" s="1056"/>
      <c r="C140" s="1057"/>
      <c r="D140" s="1057"/>
      <c r="E140" s="1057"/>
      <c r="F140" s="1057"/>
      <c r="G140" s="1057"/>
      <c r="H140" s="1057"/>
    </row>
    <row r="141" spans="1:8" ht="12" customHeight="1">
      <c r="A141" s="1056"/>
      <c r="B141" s="1056"/>
      <c r="C141" s="1057"/>
      <c r="D141" s="1057"/>
      <c r="E141" s="1057"/>
      <c r="F141" s="1057"/>
      <c r="G141" s="1057"/>
      <c r="H141" s="1057"/>
    </row>
    <row r="142" spans="1:8" ht="12" customHeight="1">
      <c r="A142" s="1056"/>
      <c r="B142" s="1056"/>
      <c r="C142" s="1057"/>
      <c r="D142" s="1057"/>
      <c r="E142" s="1057"/>
      <c r="F142" s="1057"/>
      <c r="G142" s="1057"/>
      <c r="H142" s="1057"/>
    </row>
    <row r="143" spans="1:8" ht="12" customHeight="1">
      <c r="A143" s="1056"/>
      <c r="B143" s="1056"/>
      <c r="C143" s="1057"/>
      <c r="D143" s="1057"/>
      <c r="E143" s="1057"/>
      <c r="F143" s="1057"/>
      <c r="G143" s="1057"/>
      <c r="H143" s="1057"/>
    </row>
    <row r="144" spans="1:8" ht="12" customHeight="1">
      <c r="A144" s="1056"/>
      <c r="B144" s="1056"/>
      <c r="C144" s="1057"/>
      <c r="D144" s="1057"/>
      <c r="E144" s="1057"/>
      <c r="F144" s="1057"/>
      <c r="G144" s="1057"/>
      <c r="H144" s="1057"/>
    </row>
    <row r="145" spans="1:8" ht="12" customHeight="1">
      <c r="A145" s="1056"/>
      <c r="B145" s="1056"/>
      <c r="C145" s="1057"/>
      <c r="D145" s="1057"/>
      <c r="E145" s="1057"/>
      <c r="F145" s="1057"/>
      <c r="G145" s="1057"/>
      <c r="H145" s="1057"/>
    </row>
    <row r="146" spans="1:8" ht="12" customHeight="1">
      <c r="A146" s="1056"/>
      <c r="B146" s="1056"/>
      <c r="C146" s="1057"/>
      <c r="D146" s="1057"/>
      <c r="E146" s="1057"/>
      <c r="F146" s="1057"/>
      <c r="G146" s="1057"/>
      <c r="H146" s="1057"/>
    </row>
    <row r="147" spans="1:8" ht="12" customHeight="1">
      <c r="A147" s="1056"/>
      <c r="B147" s="1056"/>
      <c r="C147" s="1057"/>
      <c r="D147" s="1057"/>
      <c r="E147" s="1057"/>
      <c r="F147" s="1057"/>
      <c r="G147" s="1057"/>
      <c r="H147" s="1057"/>
    </row>
    <row r="148" spans="1:8" ht="12" customHeight="1">
      <c r="A148" s="1056"/>
      <c r="B148" s="1056"/>
      <c r="C148" s="1057"/>
      <c r="D148" s="1057"/>
      <c r="E148" s="1057"/>
      <c r="F148" s="1057"/>
      <c r="G148" s="1057"/>
      <c r="H148" s="1057"/>
    </row>
    <row r="149" spans="1:8" ht="12" customHeight="1">
      <c r="A149" s="1056"/>
      <c r="B149" s="1056"/>
      <c r="C149" s="1057"/>
      <c r="D149" s="1057"/>
      <c r="E149" s="1057"/>
      <c r="F149" s="1057"/>
      <c r="G149" s="1057"/>
      <c r="H149" s="1057"/>
    </row>
    <row r="150" spans="1:8" ht="12" customHeight="1">
      <c r="A150" s="1056"/>
      <c r="B150" s="1056"/>
      <c r="C150" s="1057"/>
      <c r="D150" s="1057"/>
      <c r="E150" s="1057"/>
      <c r="F150" s="1057"/>
      <c r="G150" s="1057"/>
      <c r="H150" s="1057"/>
    </row>
    <row r="151" spans="1:8" ht="12" customHeight="1">
      <c r="A151" s="1056"/>
      <c r="B151" s="1056"/>
      <c r="C151" s="1057"/>
      <c r="D151" s="1057"/>
      <c r="E151" s="1057"/>
      <c r="F151" s="1057"/>
      <c r="G151" s="1057"/>
      <c r="H151" s="1057"/>
    </row>
    <row r="152" spans="1:8" ht="12" customHeight="1">
      <c r="A152" s="1056"/>
      <c r="B152" s="1056"/>
      <c r="C152" s="1057"/>
      <c r="D152" s="1057"/>
      <c r="E152" s="1057"/>
      <c r="F152" s="1057"/>
      <c r="G152" s="1057"/>
      <c r="H152" s="1057"/>
    </row>
    <row r="153" spans="1:8" ht="12" customHeight="1">
      <c r="A153" s="1056"/>
      <c r="B153" s="1056"/>
      <c r="C153" s="1057"/>
      <c r="D153" s="1057"/>
      <c r="E153" s="1057"/>
      <c r="F153" s="1057"/>
      <c r="G153" s="1057"/>
      <c r="H153" s="1057"/>
    </row>
    <row r="154" spans="1:8" ht="12" customHeight="1">
      <c r="A154" s="1056"/>
      <c r="B154" s="1056"/>
      <c r="C154" s="1057"/>
      <c r="D154" s="1057"/>
      <c r="E154" s="1057"/>
      <c r="F154" s="1057"/>
      <c r="G154" s="1057"/>
      <c r="H154" s="1057"/>
    </row>
    <row r="155" spans="1:8" ht="12" customHeight="1">
      <c r="A155" s="1056"/>
      <c r="B155" s="1056"/>
      <c r="C155" s="1057"/>
      <c r="D155" s="1057"/>
      <c r="E155" s="1057"/>
      <c r="F155" s="1057"/>
      <c r="G155" s="1057"/>
      <c r="H155" s="1057"/>
    </row>
    <row r="156" spans="1:8" ht="12" customHeight="1">
      <c r="A156" s="1056"/>
      <c r="B156" s="1056"/>
      <c r="C156" s="1057"/>
      <c r="D156" s="1057"/>
      <c r="E156" s="1057"/>
      <c r="F156" s="1057"/>
      <c r="G156" s="1057"/>
      <c r="H156" s="1057"/>
    </row>
    <row r="157" spans="1:8" ht="12" customHeight="1">
      <c r="A157" s="1056"/>
      <c r="B157" s="1056"/>
      <c r="C157" s="1057"/>
      <c r="D157" s="1057"/>
      <c r="E157" s="1057"/>
      <c r="F157" s="1057"/>
      <c r="G157" s="1057"/>
      <c r="H157" s="1057"/>
    </row>
    <row r="158" spans="1:8" ht="12" customHeight="1">
      <c r="A158" s="1056"/>
      <c r="B158" s="1056"/>
      <c r="C158" s="1057"/>
      <c r="D158" s="1057"/>
      <c r="E158" s="1057"/>
      <c r="F158" s="1057"/>
      <c r="G158" s="1057"/>
      <c r="H158" s="1057"/>
    </row>
    <row r="159" spans="1:8" ht="12" customHeight="1">
      <c r="A159" s="1056"/>
      <c r="B159" s="1056"/>
      <c r="C159" s="1057"/>
      <c r="D159" s="1057"/>
      <c r="E159" s="1057"/>
      <c r="F159" s="1057"/>
      <c r="G159" s="1057"/>
      <c r="H159" s="1057"/>
    </row>
    <row r="160" spans="1:8" ht="12" customHeight="1">
      <c r="A160" s="1056"/>
      <c r="B160" s="1056"/>
      <c r="C160" s="1057"/>
      <c r="D160" s="1057"/>
      <c r="E160" s="1057"/>
      <c r="F160" s="1057"/>
      <c r="G160" s="1057"/>
      <c r="H160" s="1057"/>
    </row>
    <row r="161" spans="1:8" ht="12" customHeight="1">
      <c r="A161" s="1056"/>
      <c r="B161" s="1056"/>
      <c r="C161" s="1057"/>
      <c r="D161" s="1057"/>
      <c r="E161" s="1057"/>
      <c r="F161" s="1057"/>
      <c r="G161" s="1057"/>
      <c r="H161" s="1057"/>
    </row>
    <row r="162" spans="1:8" ht="12" customHeight="1">
      <c r="A162" s="1056"/>
      <c r="B162" s="1056"/>
      <c r="C162" s="1057"/>
      <c r="D162" s="1057"/>
      <c r="E162" s="1057"/>
      <c r="F162" s="1057"/>
      <c r="G162" s="1057"/>
      <c r="H162" s="1057"/>
    </row>
    <row r="163" spans="1:8" ht="12" customHeight="1">
      <c r="A163" s="1056"/>
      <c r="B163" s="1056"/>
      <c r="C163" s="1057"/>
      <c r="D163" s="1057"/>
      <c r="E163" s="1057"/>
      <c r="F163" s="1057"/>
      <c r="G163" s="1057"/>
      <c r="H163" s="1057"/>
    </row>
    <row r="164" spans="1:8" ht="12" customHeight="1">
      <c r="A164" s="1056"/>
      <c r="B164" s="1056"/>
      <c r="C164" s="1057"/>
      <c r="D164" s="1057"/>
      <c r="E164" s="1057"/>
      <c r="F164" s="1057"/>
      <c r="G164" s="1057"/>
      <c r="H164" s="1057"/>
    </row>
    <row r="165" spans="1:8" ht="12" customHeight="1">
      <c r="A165" s="1056"/>
      <c r="B165" s="1056"/>
      <c r="C165" s="1057"/>
      <c r="D165" s="1057"/>
      <c r="E165" s="1057"/>
      <c r="F165" s="1057"/>
      <c r="G165" s="1057"/>
      <c r="H165" s="1057"/>
    </row>
    <row r="166" spans="1:8" ht="12" customHeight="1">
      <c r="A166" s="1056"/>
      <c r="B166" s="1056"/>
      <c r="C166" s="1057"/>
      <c r="D166" s="1057"/>
      <c r="E166" s="1057"/>
      <c r="F166" s="1057"/>
      <c r="G166" s="1057"/>
      <c r="H166" s="1057"/>
    </row>
    <row r="167" spans="1:8" ht="12" customHeight="1">
      <c r="A167" s="1056"/>
      <c r="B167" s="1056"/>
      <c r="C167" s="1057"/>
      <c r="D167" s="1057"/>
      <c r="E167" s="1057"/>
      <c r="F167" s="1057"/>
      <c r="G167" s="1057"/>
      <c r="H167" s="1057"/>
    </row>
    <row r="168" spans="1:8" ht="12" customHeight="1">
      <c r="A168" s="1056"/>
      <c r="B168" s="1056"/>
      <c r="C168" s="1057"/>
      <c r="D168" s="1057"/>
      <c r="E168" s="1057"/>
      <c r="F168" s="1057"/>
      <c r="G168" s="1057"/>
      <c r="H168" s="1057"/>
    </row>
    <row r="169" spans="1:8" ht="12" customHeight="1">
      <c r="A169" s="1056"/>
      <c r="B169" s="1056"/>
      <c r="C169" s="1057"/>
      <c r="D169" s="1057"/>
      <c r="E169" s="1057"/>
      <c r="F169" s="1057"/>
      <c r="G169" s="1057"/>
      <c r="H169" s="1057"/>
    </row>
    <row r="170" spans="1:8" ht="12" customHeight="1">
      <c r="A170" s="1056"/>
      <c r="B170" s="1056"/>
      <c r="C170" s="1057"/>
      <c r="D170" s="1057"/>
      <c r="E170" s="1057"/>
      <c r="F170" s="1057"/>
      <c r="G170" s="1057"/>
      <c r="H170" s="1057"/>
    </row>
    <row r="171" spans="1:8" ht="12" customHeight="1">
      <c r="A171" s="1056"/>
      <c r="B171" s="1056"/>
      <c r="C171" s="1057"/>
      <c r="D171" s="1057"/>
      <c r="E171" s="1057"/>
      <c r="F171" s="1057"/>
      <c r="G171" s="1057"/>
      <c r="H171" s="1057"/>
    </row>
    <row r="172" spans="1:8" ht="12" customHeight="1">
      <c r="A172" s="1056"/>
      <c r="B172" s="1056"/>
      <c r="C172" s="1057"/>
      <c r="D172" s="1057"/>
      <c r="E172" s="1057"/>
      <c r="F172" s="1057"/>
      <c r="G172" s="1057"/>
      <c r="H172" s="1057"/>
    </row>
    <row r="173" spans="1:8" ht="12" customHeight="1">
      <c r="A173" s="1056"/>
      <c r="B173" s="1056"/>
      <c r="C173" s="1057"/>
      <c r="D173" s="1057"/>
      <c r="E173" s="1057"/>
      <c r="F173" s="1057"/>
      <c r="G173" s="1057"/>
      <c r="H173" s="1057"/>
    </row>
    <row r="174" spans="1:8" ht="12" customHeight="1">
      <c r="A174" s="1056"/>
      <c r="B174" s="1056"/>
      <c r="C174" s="1057"/>
      <c r="D174" s="1057"/>
      <c r="E174" s="1057"/>
      <c r="F174" s="1057"/>
      <c r="G174" s="1057"/>
      <c r="H174" s="1057"/>
    </row>
    <row r="175" spans="1:8" ht="12" customHeight="1">
      <c r="A175" s="1056"/>
      <c r="B175" s="1056"/>
      <c r="C175" s="1057"/>
      <c r="D175" s="1057"/>
      <c r="E175" s="1057"/>
      <c r="F175" s="1057"/>
      <c r="G175" s="1057"/>
      <c r="H175" s="1057"/>
    </row>
    <row r="176" spans="1:8" ht="12" customHeight="1">
      <c r="A176" s="1056"/>
      <c r="B176" s="1056"/>
      <c r="C176" s="1057"/>
      <c r="D176" s="1057"/>
      <c r="E176" s="1057"/>
      <c r="F176" s="1057"/>
      <c r="G176" s="1057"/>
      <c r="H176" s="1057"/>
    </row>
    <row r="177" spans="1:8" ht="12" customHeight="1">
      <c r="A177" s="1056"/>
      <c r="B177" s="1056"/>
      <c r="C177" s="1057"/>
      <c r="D177" s="1057"/>
      <c r="E177" s="1057"/>
      <c r="F177" s="1057"/>
      <c r="G177" s="1057"/>
      <c r="H177" s="1057"/>
    </row>
    <row r="178" spans="1:8" ht="12" customHeight="1">
      <c r="A178" s="1056"/>
      <c r="B178" s="1056"/>
      <c r="C178" s="1057"/>
      <c r="D178" s="1057"/>
      <c r="E178" s="1057"/>
      <c r="F178" s="1057"/>
      <c r="G178" s="1057"/>
      <c r="H178" s="1057"/>
    </row>
    <row r="179" spans="1:8" ht="12" customHeight="1">
      <c r="A179" s="1056"/>
      <c r="B179" s="1056"/>
      <c r="C179" s="1057"/>
      <c r="D179" s="1057"/>
      <c r="E179" s="1057"/>
      <c r="F179" s="1057"/>
      <c r="G179" s="1057"/>
      <c r="H179" s="1057"/>
    </row>
    <row r="180" spans="1:8" ht="12" customHeight="1">
      <c r="A180" s="1056"/>
      <c r="B180" s="1056"/>
      <c r="C180" s="1057"/>
      <c r="D180" s="1057"/>
      <c r="E180" s="1057"/>
      <c r="F180" s="1057"/>
      <c r="G180" s="1057"/>
      <c r="H180" s="1057"/>
    </row>
    <row r="181" spans="1:8" ht="12" customHeight="1">
      <c r="A181" s="1056"/>
      <c r="B181" s="1056"/>
      <c r="C181" s="1057"/>
      <c r="D181" s="1057"/>
      <c r="E181" s="1057"/>
      <c r="F181" s="1057"/>
      <c r="G181" s="1057"/>
      <c r="H181" s="1057"/>
    </row>
    <row r="182" spans="1:8" ht="12" customHeight="1">
      <c r="A182" s="1056"/>
      <c r="B182" s="1056"/>
      <c r="C182" s="1057"/>
      <c r="D182" s="1057"/>
      <c r="E182" s="1057"/>
      <c r="F182" s="1057"/>
      <c r="G182" s="1057"/>
      <c r="H182" s="1057"/>
    </row>
    <row r="183" spans="1:8" ht="12" customHeight="1">
      <c r="A183" s="1056"/>
      <c r="B183" s="1056"/>
      <c r="C183" s="1057"/>
      <c r="D183" s="1057"/>
      <c r="E183" s="1057"/>
      <c r="F183" s="1057"/>
      <c r="G183" s="1057"/>
      <c r="H183" s="1057"/>
    </row>
    <row r="184" spans="1:8" ht="12" customHeight="1">
      <c r="A184" s="1056"/>
      <c r="B184" s="1056"/>
      <c r="C184" s="1057"/>
      <c r="D184" s="1057"/>
      <c r="E184" s="1057"/>
      <c r="F184" s="1057"/>
      <c r="G184" s="1057"/>
      <c r="H184" s="1057"/>
    </row>
    <row r="185" spans="1:8" ht="12" customHeight="1">
      <c r="A185" s="1056"/>
      <c r="B185" s="1056"/>
      <c r="C185" s="1057"/>
      <c r="D185" s="1057"/>
      <c r="E185" s="1057"/>
      <c r="F185" s="1057"/>
      <c r="G185" s="1057"/>
      <c r="H185" s="1057"/>
    </row>
    <row r="186" spans="1:8" ht="12" customHeight="1">
      <c r="A186" s="1056"/>
      <c r="B186" s="1056"/>
      <c r="C186" s="1057"/>
      <c r="D186" s="1057"/>
      <c r="E186" s="1057"/>
      <c r="F186" s="1057"/>
      <c r="G186" s="1057"/>
      <c r="H186" s="1057"/>
    </row>
    <row r="187" spans="1:8" ht="12" customHeight="1">
      <c r="A187" s="1056"/>
      <c r="B187" s="1056"/>
      <c r="C187" s="1057"/>
      <c r="D187" s="1057"/>
      <c r="E187" s="1057"/>
      <c r="F187" s="1057"/>
      <c r="G187" s="1057"/>
      <c r="H187" s="1057"/>
    </row>
    <row r="188" spans="1:8" ht="12" customHeight="1">
      <c r="A188" s="1056"/>
      <c r="B188" s="1056"/>
      <c r="C188" s="1057"/>
      <c r="D188" s="1057"/>
      <c r="E188" s="1057"/>
      <c r="F188" s="1057"/>
      <c r="G188" s="1057"/>
      <c r="H188" s="1057"/>
    </row>
    <row r="189" spans="1:8" ht="12" customHeight="1">
      <c r="A189" s="1056"/>
      <c r="B189" s="1056"/>
      <c r="C189" s="1057"/>
      <c r="D189" s="1057"/>
      <c r="E189" s="1057"/>
      <c r="F189" s="1057"/>
      <c r="G189" s="1057"/>
      <c r="H189" s="1057"/>
    </row>
    <row r="190" spans="1:8" ht="12" customHeight="1">
      <c r="A190" s="1056"/>
      <c r="B190" s="1056"/>
      <c r="C190" s="1057"/>
      <c r="D190" s="1057"/>
      <c r="E190" s="1057"/>
      <c r="F190" s="1057"/>
      <c r="G190" s="1057"/>
      <c r="H190" s="1057"/>
    </row>
    <row r="191" spans="1:8" ht="12" customHeight="1">
      <c r="A191" s="1056"/>
      <c r="B191" s="1056"/>
      <c r="C191" s="1057"/>
      <c r="D191" s="1057"/>
      <c r="E191" s="1057"/>
      <c r="F191" s="1057"/>
      <c r="G191" s="1057"/>
      <c r="H191" s="1057"/>
    </row>
    <row r="192" spans="1:8" ht="12" customHeight="1">
      <c r="A192" s="1056"/>
      <c r="B192" s="1056"/>
      <c r="C192" s="1057"/>
      <c r="D192" s="1057"/>
      <c r="E192" s="1057"/>
      <c r="F192" s="1057"/>
      <c r="G192" s="1057"/>
      <c r="H192" s="1057"/>
    </row>
    <row r="193" spans="1:8" ht="12" customHeight="1">
      <c r="A193" s="1056"/>
      <c r="B193" s="1056"/>
      <c r="C193" s="1057"/>
      <c r="D193" s="1057"/>
      <c r="E193" s="1057"/>
      <c r="F193" s="1057"/>
      <c r="G193" s="1057"/>
      <c r="H193" s="1057"/>
    </row>
    <row r="194" spans="1:8" ht="12" customHeight="1">
      <c r="A194" s="1056"/>
      <c r="B194" s="1056"/>
      <c r="C194" s="1057"/>
      <c r="D194" s="1057"/>
      <c r="E194" s="1057"/>
      <c r="F194" s="1057"/>
      <c r="G194" s="1057"/>
      <c r="H194" s="1057"/>
    </row>
    <row r="195" spans="1:8" ht="12" customHeight="1">
      <c r="A195" s="1056"/>
      <c r="B195" s="1056"/>
      <c r="C195" s="1057"/>
      <c r="D195" s="1057"/>
      <c r="E195" s="1057"/>
      <c r="F195" s="1057"/>
      <c r="G195" s="1057"/>
      <c r="H195" s="1057"/>
    </row>
    <row r="196" spans="1:8" ht="12" customHeight="1">
      <c r="A196" s="1056"/>
      <c r="B196" s="1056"/>
      <c r="C196" s="1057"/>
      <c r="D196" s="1057"/>
      <c r="E196" s="1057"/>
      <c r="F196" s="1057"/>
      <c r="G196" s="1057"/>
      <c r="H196" s="1057"/>
    </row>
    <row r="197" spans="1:8" ht="12" customHeight="1">
      <c r="A197" s="1056"/>
      <c r="B197" s="1056"/>
      <c r="C197" s="1057"/>
      <c r="D197" s="1057"/>
      <c r="E197" s="1057"/>
      <c r="F197" s="1057"/>
      <c r="G197" s="1057"/>
      <c r="H197" s="1057"/>
    </row>
    <row r="198" spans="1:8" ht="12" customHeight="1">
      <c r="A198" s="1056"/>
      <c r="B198" s="1056"/>
      <c r="C198" s="1057"/>
      <c r="D198" s="1057"/>
      <c r="E198" s="1057"/>
      <c r="F198" s="1057"/>
      <c r="G198" s="1057"/>
      <c r="H198" s="1057"/>
    </row>
    <row r="199" spans="1:8" ht="12" customHeight="1">
      <c r="A199" s="1056"/>
      <c r="B199" s="1056"/>
      <c r="C199" s="1057"/>
      <c r="D199" s="1057"/>
      <c r="E199" s="1057"/>
      <c r="F199" s="1057"/>
      <c r="G199" s="1057"/>
      <c r="H199" s="1057"/>
    </row>
    <row r="200" spans="1:8" ht="12" customHeight="1">
      <c r="A200" s="1056"/>
      <c r="B200" s="1056"/>
      <c r="C200" s="1057"/>
      <c r="D200" s="1057"/>
      <c r="E200" s="1057"/>
      <c r="F200" s="1057"/>
      <c r="G200" s="1057"/>
      <c r="H200" s="1057"/>
    </row>
    <row r="201" spans="1:8" ht="12" customHeight="1">
      <c r="A201" s="1056"/>
      <c r="B201" s="1056"/>
      <c r="C201" s="1057"/>
      <c r="D201" s="1057"/>
      <c r="E201" s="1057"/>
      <c r="F201" s="1057"/>
      <c r="G201" s="1057"/>
      <c r="H201" s="1057"/>
    </row>
    <row r="202" spans="1:8" ht="12" customHeight="1">
      <c r="A202" s="1056"/>
      <c r="B202" s="1056"/>
      <c r="C202" s="1057"/>
      <c r="D202" s="1057"/>
      <c r="E202" s="1057"/>
      <c r="F202" s="1057"/>
      <c r="G202" s="1057"/>
      <c r="H202" s="1057"/>
    </row>
    <row r="203" spans="1:8" ht="12" customHeight="1">
      <c r="A203" s="1056"/>
      <c r="B203" s="1056"/>
      <c r="C203" s="1057"/>
      <c r="D203" s="1057"/>
      <c r="E203" s="1057"/>
      <c r="F203" s="1057"/>
      <c r="G203" s="1057"/>
      <c r="H203" s="1057"/>
    </row>
    <row r="204" spans="1:8" ht="12" customHeight="1">
      <c r="A204" s="1056"/>
      <c r="B204" s="1056"/>
      <c r="C204" s="1057"/>
      <c r="D204" s="1057"/>
      <c r="E204" s="1057"/>
      <c r="F204" s="1057"/>
      <c r="G204" s="1057"/>
      <c r="H204" s="1057"/>
    </row>
    <row r="205" spans="1:8" ht="12" customHeight="1">
      <c r="A205" s="1056"/>
      <c r="B205" s="1056"/>
      <c r="C205" s="1057"/>
      <c r="D205" s="1057"/>
      <c r="E205" s="1057"/>
      <c r="F205" s="1057"/>
      <c r="G205" s="1057"/>
      <c r="H205" s="1057"/>
    </row>
    <row r="206" spans="1:8" ht="12" customHeight="1">
      <c r="A206" s="1056"/>
      <c r="B206" s="1056"/>
      <c r="C206" s="1057"/>
      <c r="D206" s="1057"/>
      <c r="E206" s="1057"/>
      <c r="F206" s="1057"/>
      <c r="G206" s="1057"/>
      <c r="H206" s="1057"/>
    </row>
    <row r="207" spans="1:8" ht="12" customHeight="1">
      <c r="A207" s="1056"/>
      <c r="B207" s="1056"/>
      <c r="C207" s="1057"/>
      <c r="D207" s="1057"/>
      <c r="E207" s="1057"/>
      <c r="F207" s="1057"/>
      <c r="G207" s="1057"/>
      <c r="H207" s="1057"/>
    </row>
    <row r="208" spans="1:8" ht="12" customHeight="1">
      <c r="A208" s="1056"/>
      <c r="B208" s="1056"/>
      <c r="C208" s="1057"/>
      <c r="D208" s="1057"/>
      <c r="E208" s="1057"/>
      <c r="F208" s="1057"/>
      <c r="G208" s="1057"/>
      <c r="H208" s="1057"/>
    </row>
    <row r="209" spans="1:8" ht="12" customHeight="1">
      <c r="A209" s="1056"/>
      <c r="B209" s="1056"/>
      <c r="C209" s="1057"/>
      <c r="D209" s="1057"/>
      <c r="E209" s="1057"/>
      <c r="F209" s="1057"/>
      <c r="G209" s="1057"/>
      <c r="H209" s="1057"/>
    </row>
    <row r="210" spans="1:8" ht="12" customHeight="1">
      <c r="A210" s="1056"/>
      <c r="B210" s="1056"/>
      <c r="C210" s="1057"/>
      <c r="D210" s="1057"/>
      <c r="E210" s="1057"/>
      <c r="F210" s="1057"/>
      <c r="G210" s="1057"/>
      <c r="H210" s="1057"/>
    </row>
    <row r="211" spans="1:8" ht="12" customHeight="1">
      <c r="A211" s="1056"/>
      <c r="B211" s="1056"/>
      <c r="C211" s="1057"/>
      <c r="D211" s="1057"/>
      <c r="E211" s="1057"/>
      <c r="F211" s="1057"/>
      <c r="G211" s="1057"/>
      <c r="H211" s="1057"/>
    </row>
    <row r="212" spans="1:8" ht="12" customHeight="1">
      <c r="A212" s="1056"/>
      <c r="B212" s="1056"/>
      <c r="C212" s="1057"/>
      <c r="D212" s="1057"/>
      <c r="E212" s="1057"/>
      <c r="F212" s="1057"/>
      <c r="G212" s="1057"/>
      <c r="H212" s="1057"/>
    </row>
    <row r="213" spans="1:8" ht="12" customHeight="1">
      <c r="A213" s="1056"/>
      <c r="B213" s="1056"/>
      <c r="C213" s="1057"/>
      <c r="D213" s="1057"/>
      <c r="E213" s="1057"/>
      <c r="F213" s="1057"/>
      <c r="G213" s="1057"/>
      <c r="H213" s="1057"/>
    </row>
    <row r="214" spans="1:8" ht="12" customHeight="1">
      <c r="A214" s="1056"/>
      <c r="B214" s="1056"/>
      <c r="C214" s="1057"/>
      <c r="D214" s="1057"/>
      <c r="E214" s="1057"/>
      <c r="F214" s="1057"/>
      <c r="G214" s="1057"/>
      <c r="H214" s="1057"/>
    </row>
    <row r="215" spans="1:8" ht="12" customHeight="1">
      <c r="A215" s="1056"/>
      <c r="B215" s="1056"/>
      <c r="C215" s="1057"/>
      <c r="D215" s="1057"/>
      <c r="E215" s="1057"/>
      <c r="F215" s="1057"/>
      <c r="G215" s="1057"/>
      <c r="H215" s="1057"/>
    </row>
    <row r="216" spans="1:8" ht="12" customHeight="1">
      <c r="A216" s="1056"/>
      <c r="B216" s="1056"/>
      <c r="C216" s="1057"/>
      <c r="D216" s="1057"/>
      <c r="E216" s="1057"/>
      <c r="F216" s="1057"/>
      <c r="G216" s="1057"/>
      <c r="H216" s="1057"/>
    </row>
    <row r="217" spans="1:8" ht="12" customHeight="1">
      <c r="A217" s="1056"/>
      <c r="B217" s="1056"/>
      <c r="C217" s="1057"/>
      <c r="D217" s="1057"/>
      <c r="E217" s="1057"/>
      <c r="F217" s="1057"/>
      <c r="G217" s="1057"/>
      <c r="H217" s="1057"/>
    </row>
    <row r="218" spans="1:8" ht="12" customHeight="1">
      <c r="A218" s="1056"/>
      <c r="B218" s="1056"/>
      <c r="C218" s="1057"/>
      <c r="D218" s="1057"/>
      <c r="E218" s="1057"/>
      <c r="F218" s="1057"/>
      <c r="G218" s="1057"/>
      <c r="H218" s="1057"/>
    </row>
    <row r="219" spans="1:8" ht="12" customHeight="1">
      <c r="A219" s="1056"/>
      <c r="B219" s="1056"/>
      <c r="C219" s="1057"/>
      <c r="D219" s="1057"/>
      <c r="E219" s="1057"/>
      <c r="F219" s="1057"/>
      <c r="G219" s="1057"/>
      <c r="H219" s="1057"/>
    </row>
    <row r="220" spans="1:8" ht="12" customHeight="1">
      <c r="A220" s="1056"/>
      <c r="B220" s="1056"/>
      <c r="C220" s="1057"/>
      <c r="D220" s="1057"/>
      <c r="E220" s="1057"/>
      <c r="F220" s="1057"/>
      <c r="G220" s="1057"/>
      <c r="H220" s="1057"/>
    </row>
    <row r="221" spans="1:8" ht="12" customHeight="1">
      <c r="A221" s="1056"/>
      <c r="B221" s="1056"/>
      <c r="C221" s="1057"/>
      <c r="D221" s="1057"/>
      <c r="E221" s="1057"/>
      <c r="F221" s="1057"/>
      <c r="G221" s="1057"/>
      <c r="H221" s="1057"/>
    </row>
    <row r="222" spans="1:8" ht="12" customHeight="1">
      <c r="A222" s="1056"/>
      <c r="B222" s="1056"/>
      <c r="C222" s="1057"/>
      <c r="D222" s="1057"/>
      <c r="E222" s="1057"/>
      <c r="F222" s="1057"/>
      <c r="G222" s="1057"/>
      <c r="H222" s="1057"/>
    </row>
    <row r="223" spans="1:8" ht="12" customHeight="1">
      <c r="A223" s="1056"/>
      <c r="B223" s="1056"/>
      <c r="C223" s="1057"/>
      <c r="D223" s="1057"/>
      <c r="E223" s="1057"/>
      <c r="F223" s="1057"/>
      <c r="G223" s="1057"/>
      <c r="H223" s="1057"/>
    </row>
    <row r="224" spans="1:8" ht="12" customHeight="1">
      <c r="A224" s="1056"/>
      <c r="B224" s="1056"/>
      <c r="C224" s="1057"/>
      <c r="D224" s="1057"/>
      <c r="E224" s="1057"/>
      <c r="F224" s="1057"/>
      <c r="G224" s="1057"/>
      <c r="H224" s="1057"/>
    </row>
    <row r="225" spans="1:8" ht="12" customHeight="1">
      <c r="A225" s="1056"/>
      <c r="B225" s="1056"/>
      <c r="C225" s="1057"/>
      <c r="D225" s="1057"/>
      <c r="E225" s="1057"/>
      <c r="F225" s="1057"/>
      <c r="G225" s="1057"/>
      <c r="H225" s="1057"/>
    </row>
    <row r="226" spans="1:8" ht="12" customHeight="1">
      <c r="A226" s="1056"/>
      <c r="B226" s="1056"/>
      <c r="C226" s="1057"/>
      <c r="D226" s="1057"/>
      <c r="E226" s="1057"/>
      <c r="F226" s="1057"/>
      <c r="G226" s="1057"/>
      <c r="H226" s="1057"/>
    </row>
    <row r="227" spans="1:8" ht="12" customHeight="1">
      <c r="A227" s="1056"/>
      <c r="B227" s="1056"/>
      <c r="C227" s="1057"/>
      <c r="D227" s="1057"/>
      <c r="E227" s="1057"/>
      <c r="F227" s="1057"/>
      <c r="G227" s="1057"/>
      <c r="H227" s="1057"/>
    </row>
    <row r="228" spans="1:8" ht="12" customHeight="1">
      <c r="A228" s="1056"/>
      <c r="B228" s="1056"/>
      <c r="C228" s="1057"/>
      <c r="D228" s="1057"/>
      <c r="E228" s="1057"/>
      <c r="F228" s="1057"/>
      <c r="G228" s="1057"/>
      <c r="H228" s="1057"/>
    </row>
    <row r="229" spans="1:8" ht="12" customHeight="1">
      <c r="A229" s="1056"/>
      <c r="B229" s="1056"/>
      <c r="C229" s="1057"/>
      <c r="D229" s="1057"/>
      <c r="E229" s="1057"/>
      <c r="F229" s="1057"/>
      <c r="G229" s="1057"/>
      <c r="H229" s="1057"/>
    </row>
    <row r="230" spans="1:8" ht="12" customHeight="1">
      <c r="A230" s="1056"/>
      <c r="B230" s="1056"/>
      <c r="C230" s="1057"/>
      <c r="D230" s="1057"/>
      <c r="E230" s="1057"/>
      <c r="F230" s="1057"/>
      <c r="G230" s="1057"/>
      <c r="H230" s="1057"/>
    </row>
    <row r="231" spans="1:8" ht="12" customHeight="1">
      <c r="A231" s="1056"/>
      <c r="B231" s="1056"/>
      <c r="C231" s="1057"/>
      <c r="D231" s="1057"/>
      <c r="E231" s="1057"/>
      <c r="F231" s="1057"/>
      <c r="G231" s="1057"/>
      <c r="H231" s="1057"/>
    </row>
    <row r="232" spans="1:8" ht="12" customHeight="1">
      <c r="A232" s="1056"/>
      <c r="B232" s="1056"/>
      <c r="C232" s="1057"/>
      <c r="D232" s="1057"/>
      <c r="E232" s="1057"/>
      <c r="F232" s="1057"/>
      <c r="G232" s="1057"/>
      <c r="H232" s="1057"/>
    </row>
    <row r="233" spans="1:8" ht="12" customHeight="1">
      <c r="A233" s="1056"/>
      <c r="B233" s="1056"/>
      <c r="C233" s="1057"/>
      <c r="D233" s="1057"/>
      <c r="E233" s="1057"/>
      <c r="F233" s="1057"/>
      <c r="G233" s="1057"/>
      <c r="H233" s="1057"/>
    </row>
    <row r="234" spans="1:8" ht="12" customHeight="1">
      <c r="A234" s="1056"/>
      <c r="B234" s="1056"/>
      <c r="C234" s="1057"/>
      <c r="D234" s="1057"/>
      <c r="E234" s="1057"/>
      <c r="F234" s="1057"/>
      <c r="G234" s="1057"/>
      <c r="H234" s="1057"/>
    </row>
    <row r="235" spans="1:8" ht="12" customHeight="1">
      <c r="A235" s="1056"/>
      <c r="B235" s="1056"/>
      <c r="C235" s="1057"/>
      <c r="D235" s="1057"/>
      <c r="E235" s="1057"/>
      <c r="F235" s="1057"/>
      <c r="G235" s="1057"/>
      <c r="H235" s="1057"/>
    </row>
    <row r="236" spans="1:8" ht="12" customHeight="1">
      <c r="A236" s="1056"/>
      <c r="B236" s="1056"/>
      <c r="C236" s="1057"/>
      <c r="D236" s="1057"/>
      <c r="E236" s="1057"/>
      <c r="F236" s="1057"/>
      <c r="G236" s="1057"/>
      <c r="H236" s="1057"/>
    </row>
    <row r="237" spans="1:8" ht="12" customHeight="1">
      <c r="A237" s="1056"/>
      <c r="B237" s="1056"/>
      <c r="C237" s="1057"/>
      <c r="D237" s="1057"/>
      <c r="E237" s="1057"/>
      <c r="F237" s="1057"/>
      <c r="G237" s="1057"/>
      <c r="H237" s="1057"/>
    </row>
    <row r="238" spans="1:8" ht="12" customHeight="1">
      <c r="A238" s="1056"/>
      <c r="B238" s="1056"/>
      <c r="C238" s="1057"/>
      <c r="D238" s="1057"/>
      <c r="E238" s="1057"/>
      <c r="F238" s="1057"/>
      <c r="G238" s="1057"/>
      <c r="H238" s="1057"/>
    </row>
    <row r="239" spans="1:8" ht="12" customHeight="1">
      <c r="A239" s="1056"/>
      <c r="B239" s="1056"/>
      <c r="C239" s="1057"/>
      <c r="D239" s="1057"/>
      <c r="E239" s="1057"/>
      <c r="F239" s="1057"/>
      <c r="G239" s="1057"/>
      <c r="H239" s="1057"/>
    </row>
    <row r="240" spans="1:8" ht="12" customHeight="1">
      <c r="A240" s="1056"/>
      <c r="B240" s="1056"/>
      <c r="C240" s="1057"/>
      <c r="D240" s="1057"/>
      <c r="E240" s="1057"/>
      <c r="F240" s="1057"/>
      <c r="G240" s="1057"/>
      <c r="H240" s="1057"/>
    </row>
    <row r="241" spans="1:8" ht="12" customHeight="1">
      <c r="A241" s="1056"/>
      <c r="B241" s="1056"/>
      <c r="C241" s="1057"/>
      <c r="D241" s="1057"/>
      <c r="E241" s="1057"/>
      <c r="F241" s="1057"/>
      <c r="G241" s="1057"/>
      <c r="H241" s="1057"/>
    </row>
    <row r="242" spans="1:8" ht="12" customHeight="1">
      <c r="A242" s="1056"/>
      <c r="B242" s="1056"/>
      <c r="C242" s="1057"/>
      <c r="D242" s="1057"/>
      <c r="E242" s="1057"/>
      <c r="F242" s="1057"/>
      <c r="G242" s="1057"/>
      <c r="H242" s="1057"/>
    </row>
    <row r="243" spans="1:8" ht="12" customHeight="1">
      <c r="A243" s="1056"/>
      <c r="B243" s="1056"/>
      <c r="C243" s="1057"/>
      <c r="D243" s="1057"/>
      <c r="E243" s="1057"/>
      <c r="F243" s="1057"/>
      <c r="G243" s="1057"/>
      <c r="H243" s="1057"/>
    </row>
    <row r="244" spans="1:8" ht="12" customHeight="1">
      <c r="A244" s="1056"/>
      <c r="B244" s="1056"/>
      <c r="C244" s="1057"/>
      <c r="D244" s="1057"/>
      <c r="E244" s="1057"/>
      <c r="F244" s="1057"/>
      <c r="G244" s="1057"/>
      <c r="H244" s="1057"/>
    </row>
    <row r="245" spans="1:8" ht="12" customHeight="1">
      <c r="A245" s="1056"/>
      <c r="B245" s="1056"/>
      <c r="C245" s="1057"/>
      <c r="D245" s="1057"/>
      <c r="E245" s="1057"/>
      <c r="F245" s="1057"/>
      <c r="G245" s="1057"/>
      <c r="H245" s="1057"/>
    </row>
    <row r="246" spans="1:8" ht="12" customHeight="1">
      <c r="A246" s="1056"/>
      <c r="B246" s="1056"/>
      <c r="C246" s="1057"/>
      <c r="D246" s="1057"/>
      <c r="E246" s="1057"/>
      <c r="F246" s="1057"/>
      <c r="G246" s="1057"/>
      <c r="H246" s="1057"/>
    </row>
    <row r="247" spans="1:8" ht="12" customHeight="1">
      <c r="A247" s="1056"/>
      <c r="B247" s="1056"/>
      <c r="C247" s="1057"/>
      <c r="D247" s="1057"/>
      <c r="E247" s="1057"/>
      <c r="F247" s="1057"/>
      <c r="G247" s="1057"/>
      <c r="H247" s="1057"/>
    </row>
    <row r="248" spans="1:8" ht="12" customHeight="1">
      <c r="A248" s="1056"/>
      <c r="B248" s="1056"/>
      <c r="C248" s="1057"/>
      <c r="D248" s="1057"/>
      <c r="E248" s="1057"/>
      <c r="F248" s="1057"/>
      <c r="G248" s="1057"/>
      <c r="H248" s="1057"/>
    </row>
    <row r="249" spans="1:8" ht="12" customHeight="1">
      <c r="A249" s="1056"/>
      <c r="B249" s="1056"/>
      <c r="C249" s="1057"/>
      <c r="D249" s="1057"/>
      <c r="E249" s="1057"/>
      <c r="F249" s="1057"/>
      <c r="G249" s="1057"/>
      <c r="H249" s="1057"/>
    </row>
    <row r="250" spans="1:8" ht="12" customHeight="1">
      <c r="A250" s="1056"/>
      <c r="B250" s="1056"/>
      <c r="C250" s="1057"/>
      <c r="D250" s="1057"/>
      <c r="E250" s="1057"/>
      <c r="F250" s="1057"/>
      <c r="G250" s="1057"/>
      <c r="H250" s="1057"/>
    </row>
    <row r="251" spans="1:8" ht="12" customHeight="1">
      <c r="A251" s="1056"/>
      <c r="B251" s="1056"/>
      <c r="C251" s="1057"/>
      <c r="D251" s="1057"/>
      <c r="E251" s="1057"/>
      <c r="F251" s="1057"/>
      <c r="G251" s="1057"/>
      <c r="H251" s="1057"/>
    </row>
    <row r="252" spans="1:8" ht="12" customHeight="1">
      <c r="A252" s="1056"/>
      <c r="B252" s="1056"/>
      <c r="C252" s="1057"/>
      <c r="D252" s="1057"/>
      <c r="E252" s="1057"/>
      <c r="F252" s="1057"/>
      <c r="G252" s="1057"/>
      <c r="H252" s="1057"/>
    </row>
    <row r="253" spans="1:8" ht="12" customHeight="1">
      <c r="A253" s="1056"/>
      <c r="B253" s="1056"/>
      <c r="C253" s="1057"/>
      <c r="D253" s="1057"/>
      <c r="E253" s="1057"/>
      <c r="F253" s="1057"/>
      <c r="G253" s="1057"/>
      <c r="H253" s="1057"/>
    </row>
    <row r="254" spans="1:8" ht="12" customHeight="1">
      <c r="A254" s="1056"/>
      <c r="B254" s="1056"/>
      <c r="C254" s="1057"/>
      <c r="D254" s="1057"/>
      <c r="E254" s="1057"/>
      <c r="F254" s="1057"/>
      <c r="G254" s="1057"/>
      <c r="H254" s="1057"/>
    </row>
    <row r="255" spans="1:8" ht="12" customHeight="1">
      <c r="A255" s="1056"/>
      <c r="B255" s="1060"/>
      <c r="C255" s="1057"/>
      <c r="D255" s="1057"/>
      <c r="E255" s="1057"/>
      <c r="F255" s="1057"/>
      <c r="G255" s="1057"/>
      <c r="H255" s="1057"/>
    </row>
    <row r="256" spans="1:8" ht="12" customHeight="1">
      <c r="A256" s="1056"/>
      <c r="B256" s="1060"/>
      <c r="C256" s="1057"/>
      <c r="D256" s="1057"/>
      <c r="E256" s="1057"/>
      <c r="F256" s="1057"/>
      <c r="G256" s="1057"/>
      <c r="H256" s="1057"/>
    </row>
    <row r="257" spans="1:8" ht="12" customHeight="1">
      <c r="A257" s="1056"/>
      <c r="B257" s="1060"/>
      <c r="C257" s="1057"/>
      <c r="D257" s="1057"/>
      <c r="E257" s="1057"/>
      <c r="F257" s="1057"/>
      <c r="G257" s="1057"/>
      <c r="H257" s="1057"/>
    </row>
    <row r="258" spans="1:8" ht="12" customHeight="1">
      <c r="A258" s="1056"/>
      <c r="B258" s="1060"/>
      <c r="C258" s="1057"/>
      <c r="D258" s="1057"/>
      <c r="E258" s="1057"/>
      <c r="F258" s="1057"/>
      <c r="G258" s="1057"/>
      <c r="H258" s="1057"/>
    </row>
    <row r="259" spans="1:8" ht="12" customHeight="1">
      <c r="A259" s="1056"/>
      <c r="B259" s="1060"/>
      <c r="C259" s="1057"/>
      <c r="D259" s="1057"/>
      <c r="E259" s="1057"/>
      <c r="F259" s="1057"/>
      <c r="G259" s="1057"/>
      <c r="H259" s="1057"/>
    </row>
    <row r="260" spans="1:8" ht="12" customHeight="1">
      <c r="A260" s="1056"/>
      <c r="B260" s="1060"/>
      <c r="C260" s="1057"/>
      <c r="D260" s="1057"/>
      <c r="E260" s="1057"/>
      <c r="F260" s="1057"/>
      <c r="G260" s="1057"/>
      <c r="H260" s="1057"/>
    </row>
    <row r="261" spans="1:8" ht="12" customHeight="1">
      <c r="A261" s="1056"/>
      <c r="B261" s="1060"/>
      <c r="C261" s="1057"/>
      <c r="D261" s="1057"/>
      <c r="E261" s="1057"/>
      <c r="F261" s="1057"/>
      <c r="G261" s="1057"/>
      <c r="H261" s="1057"/>
    </row>
    <row r="262" spans="1:8" ht="12" customHeight="1">
      <c r="A262" s="1056"/>
      <c r="B262" s="1060"/>
      <c r="C262" s="1057"/>
      <c r="D262" s="1057"/>
      <c r="E262" s="1057"/>
      <c r="F262" s="1057"/>
      <c r="G262" s="1057"/>
      <c r="H262" s="1057"/>
    </row>
    <row r="263" spans="1:8" ht="12" customHeight="1">
      <c r="A263" s="1056"/>
      <c r="B263" s="1060"/>
      <c r="C263" s="1057"/>
      <c r="D263" s="1057"/>
      <c r="E263" s="1057"/>
      <c r="F263" s="1057"/>
      <c r="G263" s="1057"/>
      <c r="H263" s="1057"/>
    </row>
    <row r="264" spans="1:8" ht="12" customHeight="1">
      <c r="A264" s="1056"/>
      <c r="B264" s="1060"/>
      <c r="C264" s="1057"/>
      <c r="D264" s="1057"/>
      <c r="E264" s="1057"/>
      <c r="F264" s="1057"/>
      <c r="G264" s="1057"/>
      <c r="H264" s="1057"/>
    </row>
    <row r="265" spans="1:8" ht="12" customHeight="1">
      <c r="A265" s="1056"/>
      <c r="B265" s="1060"/>
      <c r="C265" s="1057"/>
      <c r="D265" s="1057"/>
      <c r="E265" s="1057"/>
      <c r="F265" s="1057"/>
      <c r="G265" s="1057"/>
      <c r="H265" s="1057"/>
    </row>
    <row r="266" spans="1:8" ht="12" customHeight="1">
      <c r="A266" s="1056"/>
      <c r="B266" s="1060"/>
      <c r="C266" s="1057"/>
      <c r="D266" s="1057"/>
      <c r="E266" s="1057"/>
      <c r="F266" s="1057"/>
      <c r="G266" s="1057"/>
      <c r="H266" s="1057"/>
    </row>
    <row r="267" spans="1:8" ht="12" customHeight="1">
      <c r="A267" s="1056"/>
      <c r="B267" s="1060"/>
      <c r="C267" s="1057"/>
      <c r="D267" s="1057"/>
      <c r="E267" s="1057"/>
      <c r="F267" s="1057"/>
      <c r="G267" s="1057"/>
      <c r="H267" s="1057"/>
    </row>
    <row r="268" spans="1:8" ht="12" customHeight="1">
      <c r="A268" s="1056"/>
      <c r="B268" s="1060"/>
      <c r="C268" s="1057"/>
      <c r="D268" s="1057"/>
      <c r="E268" s="1057"/>
      <c r="F268" s="1057"/>
      <c r="G268" s="1057"/>
      <c r="H268" s="1057"/>
    </row>
    <row r="269" spans="1:8" ht="12" customHeight="1">
      <c r="A269" s="1056"/>
      <c r="B269" s="1060"/>
      <c r="C269" s="1057"/>
      <c r="D269" s="1057"/>
      <c r="E269" s="1057"/>
      <c r="F269" s="1057"/>
      <c r="G269" s="1057"/>
      <c r="H269" s="1057"/>
    </row>
    <row r="270" spans="1:8" ht="12" customHeight="1">
      <c r="A270" s="1056"/>
      <c r="B270" s="1060"/>
      <c r="C270" s="1057"/>
      <c r="D270" s="1057"/>
      <c r="E270" s="1057"/>
      <c r="F270" s="1057"/>
      <c r="G270" s="1057"/>
      <c r="H270" s="1057"/>
    </row>
  </sheetData>
  <sheetProtection algorithmName="SHA-512" hashValue="vIFzo/N66aa06ZStkB0UxaxuN9pnwdP7gSU5emNe48ZND1jJ2L1P6wLavSmm/gCGO4wKYmHGmBU85qQ/d4CKeQ==" saltValue="GXXkIxL7dgwg8UlPkCWOxA==" spinCount="100000" sheet="1" objects="1" scenarios="1"/>
  <mergeCells count="1">
    <mergeCell ref="A83:E83"/>
  </mergeCells>
  <phoneticPr fontId="10" type="noConversion"/>
  <dataValidations count="3">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zero." sqref="C10:D10 C73:E79 C26:E27 C16:E16 C29:E34 C36:E40 C43:E44 C46:E64 E14 C13:C14 D14">
      <formula1>0</formula1>
    </dataValidation>
    <dataValidation operator="greaterThanOrEqual" errorTitle="Invalid Data Entry " error="Please enter a positive number or press the delete key or enter zero." sqref="E13"/>
  </dataValidations>
  <hyperlinks>
    <hyperlink ref="G1" location="Contents!F1" display="Return to Contents page"/>
  </hyperlinks>
  <printOptions horizontalCentered="1"/>
  <pageMargins left="0.25" right="0.25" top="0.19" bottom="0.19" header="0.5" footer="0.5"/>
  <pageSetup scale="95" orientation="portrait" blackAndWhite="1" r:id="rId1"/>
  <headerFooter alignWithMargins="0">
    <oddFooter>&amp;L&amp;D      &amp;T &amp;CCode No. 26</oddFooter>
  </headerFooter>
  <rowBreaks count="1" manualBreakCount="1">
    <brk id="64" max="65535"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4" tint="0.39997558519241921"/>
  </sheetPr>
  <dimension ref="A1:Q232"/>
  <sheetViews>
    <sheetView topLeftCell="A13" zoomScaleNormal="100" workbookViewId="0">
      <selection activeCell="E47" sqref="E47"/>
    </sheetView>
  </sheetViews>
  <sheetFormatPr defaultColWidth="10.7109375" defaultRowHeight="12" customHeight="1"/>
  <cols>
    <col min="1" max="1" width="44.42578125" style="1114" customWidth="1"/>
    <col min="2" max="2" width="4.85546875" style="1168" customWidth="1"/>
    <col min="3" max="3" width="15.85546875" style="1108" customWidth="1"/>
    <col min="4" max="4" width="16.42578125" style="1108" customWidth="1"/>
    <col min="5" max="5" width="16.85546875" style="1108" customWidth="1"/>
    <col min="6" max="6" width="2.28515625" style="1108" customWidth="1"/>
    <col min="7" max="7" width="21" style="1108" customWidth="1"/>
    <col min="8" max="16384" width="10.7109375" style="1108"/>
  </cols>
  <sheetData>
    <row r="1" spans="1:17" ht="12" customHeight="1">
      <c r="A1" s="1104" t="s">
        <v>1019</v>
      </c>
      <c r="B1" s="1105">
        <f>OPEN!$B$4</f>
        <v>270</v>
      </c>
      <c r="C1" s="1106"/>
      <c r="D1" s="1106"/>
      <c r="E1" s="1104" t="s">
        <v>1020</v>
      </c>
      <c r="F1" s="1107"/>
      <c r="G1" s="3013" t="s">
        <v>866</v>
      </c>
    </row>
    <row r="2" spans="1:17" ht="12" customHeight="1">
      <c r="A2" s="1106"/>
      <c r="B2" s="1109"/>
      <c r="C2" s="1106"/>
      <c r="D2" s="1106"/>
      <c r="E2" s="1104" t="s">
        <v>1212</v>
      </c>
      <c r="F2" s="1107"/>
    </row>
    <row r="3" spans="1:17" ht="17.100000000000001" customHeight="1">
      <c r="A3" s="1106"/>
      <c r="B3" s="1109"/>
      <c r="C3" s="1106"/>
      <c r="D3" s="1106"/>
      <c r="E3" s="1104" t="str">
        <f>OPEN!N2</f>
        <v>2016-2017</v>
      </c>
      <c r="F3" s="1107"/>
    </row>
    <row r="4" spans="1:17" ht="5.0999999999999996" customHeight="1">
      <c r="A4" s="1106"/>
      <c r="B4" s="1109"/>
      <c r="C4" s="1106"/>
      <c r="D4" s="1106"/>
      <c r="E4" s="1106"/>
      <c r="F4" s="1107"/>
    </row>
    <row r="5" spans="1:17" ht="12" customHeight="1">
      <c r="A5" s="1106"/>
      <c r="B5" s="1109"/>
      <c r="C5" s="1110" t="s">
        <v>1213</v>
      </c>
      <c r="D5" s="1110" t="s">
        <v>1213</v>
      </c>
      <c r="E5" s="1110" t="s">
        <v>1213</v>
      </c>
      <c r="F5" s="1107"/>
    </row>
    <row r="6" spans="1:17" ht="12" customHeight="1">
      <c r="A6" s="1111"/>
      <c r="B6" s="1112" t="s">
        <v>1045</v>
      </c>
      <c r="C6" s="1113" t="str">
        <f>OPEN!N4</f>
        <v>2014-2015</v>
      </c>
      <c r="D6" s="1113" t="str">
        <f>OPEN!O4</f>
        <v>2015-2016</v>
      </c>
      <c r="E6" s="1113" t="str">
        <f>OPEN!P4</f>
        <v>2016-2017</v>
      </c>
      <c r="F6" s="1107"/>
      <c r="K6" s="1114"/>
      <c r="L6" s="1114"/>
      <c r="M6" s="1114"/>
      <c r="N6" s="1114"/>
      <c r="O6" s="1114"/>
      <c r="P6" s="1114"/>
      <c r="Q6" s="1114"/>
    </row>
    <row r="7" spans="1:17" ht="12" customHeight="1">
      <c r="A7" s="1111" t="s">
        <v>361</v>
      </c>
      <c r="B7" s="1115">
        <v>28</v>
      </c>
      <c r="C7" s="1116" t="s">
        <v>1139</v>
      </c>
      <c r="D7" s="1116" t="s">
        <v>1139</v>
      </c>
      <c r="E7" s="1116" t="s">
        <v>1215</v>
      </c>
      <c r="F7" s="1107"/>
      <c r="N7" s="1114"/>
      <c r="O7" s="1117"/>
      <c r="P7" s="1117"/>
      <c r="Q7" s="1117"/>
    </row>
    <row r="8" spans="1:17" ht="12" customHeight="1">
      <c r="A8" s="1118"/>
      <c r="B8" s="1119" t="s">
        <v>1051</v>
      </c>
      <c r="C8" s="1120">
        <v>1</v>
      </c>
      <c r="D8" s="1120">
        <v>2</v>
      </c>
      <c r="E8" s="1120">
        <v>3</v>
      </c>
      <c r="F8" s="1107"/>
      <c r="N8" s="1114"/>
      <c r="O8" s="1117"/>
      <c r="P8" s="1117"/>
      <c r="Q8" s="1117"/>
    </row>
    <row r="9" spans="1:17" ht="12" customHeight="1">
      <c r="A9" s="1121" t="s">
        <v>1402</v>
      </c>
      <c r="B9" s="1122">
        <v>1</v>
      </c>
      <c r="C9" s="2505">
        <v>2603</v>
      </c>
      <c r="D9" s="1123">
        <f>C26</f>
        <v>2036</v>
      </c>
      <c r="E9" s="2511">
        <f>D26</f>
        <v>1261</v>
      </c>
      <c r="F9" s="1107"/>
      <c r="N9" s="1114"/>
      <c r="O9" s="1117"/>
      <c r="P9" s="1117"/>
      <c r="Q9" s="1117"/>
    </row>
    <row r="10" spans="1:17" ht="12" customHeight="1">
      <c r="A10" s="1124" t="s">
        <v>73</v>
      </c>
      <c r="B10" s="1125">
        <v>3</v>
      </c>
      <c r="C10" s="2506"/>
      <c r="D10" s="1126"/>
      <c r="E10" s="2507"/>
      <c r="F10" s="1107"/>
      <c r="N10" s="1114"/>
      <c r="O10" s="1117"/>
      <c r="P10" s="1117"/>
      <c r="Q10" s="1117"/>
    </row>
    <row r="11" spans="1:17" ht="12" customHeight="1">
      <c r="A11" s="1127" t="s">
        <v>19</v>
      </c>
      <c r="B11" s="1128"/>
      <c r="C11" s="2507"/>
      <c r="D11" s="1130"/>
      <c r="E11" s="2507"/>
      <c r="F11" s="1107"/>
      <c r="N11" s="1114"/>
      <c r="O11" s="1117"/>
      <c r="P11" s="1117"/>
      <c r="Q11" s="1117"/>
    </row>
    <row r="12" spans="1:17" ht="12" customHeight="1">
      <c r="A12" s="1124" t="s">
        <v>20</v>
      </c>
      <c r="B12" s="1125"/>
      <c r="C12" s="2507"/>
      <c r="D12" s="1129"/>
      <c r="E12" s="2507"/>
      <c r="F12" s="1107"/>
      <c r="N12" s="1114"/>
      <c r="O12" s="1117"/>
      <c r="P12" s="1117"/>
      <c r="Q12" s="1117"/>
    </row>
    <row r="13" spans="1:17" ht="12" customHeight="1">
      <c r="A13" s="1121" t="s">
        <v>366</v>
      </c>
      <c r="B13" s="1122">
        <v>5</v>
      </c>
      <c r="C13" s="2506"/>
      <c r="D13" s="1126"/>
      <c r="E13" s="2506"/>
      <c r="F13" s="1107"/>
      <c r="N13" s="1114"/>
      <c r="O13" s="1114"/>
      <c r="P13" s="1114"/>
      <c r="Q13" s="1114"/>
    </row>
    <row r="14" spans="1:17" ht="12" customHeight="1">
      <c r="A14" s="1131" t="s">
        <v>95</v>
      </c>
      <c r="B14" s="1132">
        <v>15</v>
      </c>
      <c r="C14" s="2505"/>
      <c r="D14" s="4994" t="s">
        <v>51</v>
      </c>
      <c r="E14" s="4172" t="s">
        <v>1431</v>
      </c>
      <c r="F14" s="1107"/>
      <c r="N14" s="1114"/>
      <c r="O14" s="1114"/>
      <c r="P14" s="1114"/>
      <c r="Q14" s="1114"/>
    </row>
    <row r="15" spans="1:17" ht="12" customHeight="1">
      <c r="A15" s="1121" t="s">
        <v>25</v>
      </c>
      <c r="B15" s="1122">
        <v>25</v>
      </c>
      <c r="C15" s="2506"/>
      <c r="D15" s="1126"/>
      <c r="E15" s="2506"/>
      <c r="F15" s="1107"/>
      <c r="N15" s="1114"/>
      <c r="O15" s="1114"/>
      <c r="P15" s="1114"/>
      <c r="Q15" s="1114"/>
    </row>
    <row r="16" spans="1:17" ht="12" customHeight="1">
      <c r="A16" s="1127" t="s">
        <v>33</v>
      </c>
      <c r="B16" s="1128"/>
      <c r="C16" s="2508"/>
      <c r="D16" s="1130"/>
      <c r="E16" s="2508"/>
      <c r="F16" s="1107"/>
      <c r="N16" s="1114"/>
      <c r="O16" s="1134"/>
      <c r="P16" s="1134"/>
      <c r="Q16" s="1134"/>
    </row>
    <row r="17" spans="1:17" ht="12" customHeight="1">
      <c r="A17" s="1121" t="s">
        <v>367</v>
      </c>
      <c r="B17" s="1122">
        <v>35</v>
      </c>
      <c r="C17" s="2506"/>
      <c r="D17" s="1126"/>
      <c r="E17" s="2506"/>
      <c r="F17" s="1107"/>
      <c r="N17" s="1114"/>
      <c r="O17" s="1114"/>
      <c r="P17" s="1114"/>
      <c r="Q17" s="1114"/>
    </row>
    <row r="18" spans="1:17" ht="12" customHeight="1">
      <c r="A18" s="1127" t="s">
        <v>46</v>
      </c>
      <c r="B18" s="1128"/>
      <c r="C18" s="2509"/>
      <c r="D18" s="1133"/>
      <c r="E18" s="2509"/>
      <c r="F18" s="1107"/>
      <c r="N18" s="1114"/>
      <c r="O18" s="1114"/>
      <c r="P18" s="1114"/>
      <c r="Q18" s="1114"/>
    </row>
    <row r="19" spans="1:17" ht="12" customHeight="1">
      <c r="A19" s="1121" t="s">
        <v>356</v>
      </c>
      <c r="B19" s="3701">
        <v>45</v>
      </c>
      <c r="C19" s="2506"/>
      <c r="D19" s="1126"/>
      <c r="E19" s="2506"/>
      <c r="F19" s="1107"/>
      <c r="N19" s="1114"/>
      <c r="O19" s="1114"/>
      <c r="P19" s="1114"/>
      <c r="Q19" s="1114"/>
    </row>
    <row r="20" spans="1:17" ht="12" customHeight="1">
      <c r="A20" s="1127" t="s">
        <v>48</v>
      </c>
      <c r="B20" s="1128"/>
      <c r="C20" s="2509"/>
      <c r="D20" s="1130"/>
      <c r="E20" s="2509"/>
      <c r="F20" s="1107"/>
      <c r="N20" s="1114"/>
      <c r="O20" s="1134"/>
      <c r="P20" s="1134"/>
      <c r="Q20" s="1134"/>
    </row>
    <row r="21" spans="1:17" ht="12" customHeight="1">
      <c r="A21" s="1121" t="s">
        <v>49</v>
      </c>
      <c r="B21" s="1122">
        <v>55</v>
      </c>
      <c r="C21" s="2510">
        <f>'C06'!$C$346</f>
        <v>0</v>
      </c>
      <c r="D21" s="1123">
        <f>'C06'!$D$346</f>
        <v>0</v>
      </c>
      <c r="E21" s="2510">
        <f>'C06'!$E$346</f>
        <v>0</v>
      </c>
      <c r="F21" s="1107"/>
    </row>
    <row r="22" spans="1:17" ht="12" customHeight="1">
      <c r="A22" s="1121" t="s">
        <v>368</v>
      </c>
      <c r="B22" s="1122">
        <v>50</v>
      </c>
      <c r="C22" s="2511">
        <f>'C08'!$C$315</f>
        <v>0</v>
      </c>
      <c r="D22" s="1135">
        <f>'C08'!$D$315</f>
        <v>0</v>
      </c>
      <c r="E22" s="2511">
        <f>'C08'!$E$315</f>
        <v>0</v>
      </c>
      <c r="F22" s="1107"/>
    </row>
    <row r="23" spans="1:17" ht="12" customHeight="1">
      <c r="A23" s="1121" t="s">
        <v>50</v>
      </c>
      <c r="B23" s="1122">
        <v>60</v>
      </c>
      <c r="C23" s="2510">
        <f>'C053'!$C$269</f>
        <v>0</v>
      </c>
      <c r="D23" s="1135">
        <f>'C053'!$D$269</f>
        <v>0</v>
      </c>
      <c r="E23" s="3527" t="s">
        <v>1251</v>
      </c>
      <c r="F23" s="1107"/>
    </row>
    <row r="24" spans="1:17" ht="12" customHeight="1">
      <c r="A24" s="1136" t="s">
        <v>52</v>
      </c>
      <c r="B24" s="1132">
        <v>170</v>
      </c>
      <c r="C24" s="2510">
        <f>SUM(C9:C23)</f>
        <v>2603</v>
      </c>
      <c r="D24" s="1123">
        <f>SUM(D9:D23)</f>
        <v>2036</v>
      </c>
      <c r="E24" s="2510">
        <f>SUM(E9:E23)</f>
        <v>1261</v>
      </c>
      <c r="F24" s="1107"/>
    </row>
    <row r="25" spans="1:17" ht="12" customHeight="1">
      <c r="A25" s="1121" t="s">
        <v>53</v>
      </c>
      <c r="B25" s="1122">
        <v>175</v>
      </c>
      <c r="C25" s="2510">
        <f>C108</f>
        <v>567</v>
      </c>
      <c r="D25" s="1123">
        <f>D108</f>
        <v>775</v>
      </c>
      <c r="E25" s="2510">
        <f>IF(E108&lt;=E24,E108,"ERROR")</f>
        <v>1261</v>
      </c>
      <c r="F25" s="1107"/>
      <c r="G25" s="3102" t="str">
        <f>IF(E25="ERROR","Expenditures must be less than or equal to the Resources Available","")</f>
        <v/>
      </c>
      <c r="H25" s="1137"/>
    </row>
    <row r="26" spans="1:17" ht="12" customHeight="1">
      <c r="A26" s="1138" t="s">
        <v>290</v>
      </c>
      <c r="B26" s="1139">
        <v>190</v>
      </c>
      <c r="C26" s="2511">
        <f>SUM(C24-C25)</f>
        <v>2036</v>
      </c>
      <c r="D26" s="1135">
        <f>SUM(D24-D25)</f>
        <v>1261</v>
      </c>
      <c r="E26" s="2618">
        <f>IF(ISERROR(E24-E25),"NEGATIVE",E24-E25)</f>
        <v>0</v>
      </c>
      <c r="F26" s="1107"/>
      <c r="G26" s="3538"/>
      <c r="H26" s="1137"/>
    </row>
    <row r="27" spans="1:17" s="1107" customFormat="1" ht="12.75" customHeight="1">
      <c r="A27" s="1106"/>
      <c r="B27" s="1110"/>
      <c r="C27" s="1106"/>
      <c r="D27" s="1106"/>
      <c r="E27" s="1106"/>
    </row>
    <row r="28" spans="1:17" s="1107" customFormat="1" ht="13.5" customHeight="1">
      <c r="A28" s="506"/>
      <c r="B28" s="506"/>
      <c r="C28" s="506"/>
      <c r="D28" s="506"/>
      <c r="E28" s="506"/>
    </row>
    <row r="29" spans="1:17" s="1107" customFormat="1" ht="12" customHeight="1">
      <c r="A29" s="1106"/>
      <c r="B29" s="1109"/>
      <c r="C29" s="1110" t="s">
        <v>1213</v>
      </c>
      <c r="D29" s="1110" t="s">
        <v>1213</v>
      </c>
      <c r="E29" s="1110" t="s">
        <v>1213</v>
      </c>
    </row>
    <row r="30" spans="1:17" s="1107" customFormat="1" ht="12" customHeight="1">
      <c r="A30" s="1111" t="s">
        <v>361</v>
      </c>
      <c r="B30" s="1112" t="s">
        <v>1045</v>
      </c>
      <c r="C30" s="1113" t="str">
        <f>C6</f>
        <v>2014-2015</v>
      </c>
      <c r="D30" s="1113" t="str">
        <f>D6</f>
        <v>2015-2016</v>
      </c>
      <c r="E30" s="1113" t="str">
        <f>E6</f>
        <v>2016-2017</v>
      </c>
    </row>
    <row r="31" spans="1:17" s="1107" customFormat="1" ht="12" customHeight="1">
      <c r="A31" s="1111" t="s">
        <v>81</v>
      </c>
      <c r="B31" s="1115">
        <v>28</v>
      </c>
      <c r="C31" s="1116" t="s">
        <v>1139</v>
      </c>
      <c r="D31" s="1116" t="s">
        <v>1139</v>
      </c>
      <c r="E31" s="1116" t="s">
        <v>1215</v>
      </c>
    </row>
    <row r="32" spans="1:17" ht="12" customHeight="1">
      <c r="A32" s="1118"/>
      <c r="B32" s="1119" t="s">
        <v>1051</v>
      </c>
      <c r="C32" s="1120">
        <v>1</v>
      </c>
      <c r="D32" s="1120">
        <v>2</v>
      </c>
      <c r="E32" s="1120">
        <v>3</v>
      </c>
      <c r="F32" s="1107"/>
    </row>
    <row r="33" spans="1:6" ht="12" customHeight="1">
      <c r="A33" s="1140" t="s">
        <v>1294</v>
      </c>
      <c r="B33" s="1141"/>
      <c r="C33" s="1142"/>
      <c r="D33" s="1153"/>
      <c r="E33" s="1142"/>
      <c r="F33" s="1107"/>
    </row>
    <row r="34" spans="1:6" ht="12" customHeight="1">
      <c r="A34" s="1143" t="s">
        <v>369</v>
      </c>
      <c r="B34" s="1144"/>
      <c r="C34" s="1145"/>
      <c r="D34" s="1163"/>
      <c r="E34" s="1145"/>
      <c r="F34" s="1107"/>
    </row>
    <row r="35" spans="1:6" ht="12" customHeight="1">
      <c r="A35" s="1146" t="s">
        <v>1268</v>
      </c>
      <c r="B35" s="1147"/>
      <c r="C35" s="1145"/>
      <c r="D35" s="1163"/>
      <c r="E35" s="1145"/>
      <c r="F35" s="1107"/>
    </row>
    <row r="36" spans="1:6" ht="12" customHeight="1">
      <c r="A36" s="1148" t="s">
        <v>1269</v>
      </c>
      <c r="B36" s="1149">
        <v>210</v>
      </c>
      <c r="C36" s="1150"/>
      <c r="D36" s="1154"/>
      <c r="E36" s="1150"/>
      <c r="F36" s="1107"/>
    </row>
    <row r="37" spans="1:6" ht="12" customHeight="1">
      <c r="A37" s="1148" t="s">
        <v>343</v>
      </c>
      <c r="B37" s="1149">
        <v>215</v>
      </c>
      <c r="C37" s="1150"/>
      <c r="D37" s="1154"/>
      <c r="E37" s="1150"/>
      <c r="F37" s="1107"/>
    </row>
    <row r="38" spans="1:6" ht="12" customHeight="1">
      <c r="A38" s="1151" t="s">
        <v>1271</v>
      </c>
      <c r="B38" s="1152"/>
      <c r="C38" s="1142"/>
      <c r="D38" s="1153"/>
      <c r="E38" s="1142"/>
      <c r="F38" s="1107"/>
    </row>
    <row r="39" spans="1:6" ht="12" customHeight="1">
      <c r="A39" s="1148" t="s">
        <v>1272</v>
      </c>
      <c r="B39" s="1149">
        <v>220</v>
      </c>
      <c r="C39" s="1150"/>
      <c r="D39" s="1154"/>
      <c r="E39" s="1150"/>
      <c r="F39" s="1107"/>
    </row>
    <row r="40" spans="1:6" ht="12" customHeight="1">
      <c r="A40" s="1155" t="s">
        <v>1273</v>
      </c>
      <c r="B40" s="1156">
        <v>225</v>
      </c>
      <c r="C40" s="1162"/>
      <c r="D40" s="1157"/>
      <c r="E40" s="1162"/>
      <c r="F40" s="1107"/>
    </row>
    <row r="41" spans="1:6" ht="12" customHeight="1">
      <c r="A41" s="1148" t="s">
        <v>1276</v>
      </c>
      <c r="B41" s="1149">
        <v>230</v>
      </c>
      <c r="C41" s="1150"/>
      <c r="D41" s="1154"/>
      <c r="E41" s="1150"/>
      <c r="F41" s="1107"/>
    </row>
    <row r="42" spans="1:6" ht="12" customHeight="1">
      <c r="A42" s="1151" t="s">
        <v>370</v>
      </c>
      <c r="B42" s="1152">
        <v>235</v>
      </c>
      <c r="C42" s="2512"/>
      <c r="D42" s="1158"/>
      <c r="E42" s="2512"/>
      <c r="F42" s="1107"/>
    </row>
    <row r="43" spans="1:6" ht="12" customHeight="1">
      <c r="A43" s="2993" t="s">
        <v>711</v>
      </c>
      <c r="B43" s="2994">
        <v>237</v>
      </c>
      <c r="C43" s="2512"/>
      <c r="D43" s="1158"/>
      <c r="E43" s="2512"/>
      <c r="F43" s="1107"/>
    </row>
    <row r="44" spans="1:6" ht="12" customHeight="1">
      <c r="A44" s="1151" t="s">
        <v>1282</v>
      </c>
      <c r="B44" s="1152"/>
      <c r="C44" s="1142"/>
      <c r="D44" s="1153"/>
      <c r="E44" s="1142"/>
      <c r="F44" s="1107"/>
    </row>
    <row r="45" spans="1:6" ht="12" customHeight="1">
      <c r="A45" s="1148" t="s">
        <v>371</v>
      </c>
      <c r="B45" s="1149">
        <v>240</v>
      </c>
      <c r="C45" s="1150"/>
      <c r="D45" s="1154"/>
      <c r="E45" s="1150"/>
      <c r="F45" s="1107"/>
    </row>
    <row r="46" spans="1:6" ht="12" customHeight="1">
      <c r="A46" s="1155" t="s">
        <v>372</v>
      </c>
      <c r="B46" s="1156">
        <v>245</v>
      </c>
      <c r="C46" s="1162"/>
      <c r="D46" s="1157"/>
      <c r="E46" s="1162">
        <v>1261</v>
      </c>
      <c r="F46" s="1107"/>
    </row>
    <row r="47" spans="1:6" ht="12" customHeight="1">
      <c r="A47" s="1148" t="s">
        <v>1287</v>
      </c>
      <c r="B47" s="1149">
        <v>250</v>
      </c>
      <c r="C47" s="1150"/>
      <c r="D47" s="1154"/>
      <c r="E47" s="1150"/>
      <c r="F47" s="1107"/>
    </row>
    <row r="48" spans="1:6" ht="12" customHeight="1">
      <c r="A48" s="1151" t="s">
        <v>1288</v>
      </c>
      <c r="B48" s="1152"/>
      <c r="C48" s="1142"/>
      <c r="D48" s="1153"/>
      <c r="E48" s="1142"/>
      <c r="F48" s="1107"/>
    </row>
    <row r="49" spans="1:6" ht="12" customHeight="1">
      <c r="A49" s="1146" t="s">
        <v>373</v>
      </c>
      <c r="B49" s="1147">
        <v>255</v>
      </c>
      <c r="C49" s="2513"/>
      <c r="D49" s="1159"/>
      <c r="E49" s="2513"/>
      <c r="F49" s="1107"/>
    </row>
    <row r="50" spans="1:6" ht="12" customHeight="1">
      <c r="A50" s="1151" t="s">
        <v>795</v>
      </c>
      <c r="B50" s="1152">
        <v>260</v>
      </c>
      <c r="C50" s="2512"/>
      <c r="D50" s="1158"/>
      <c r="E50" s="2512"/>
      <c r="F50" s="1107"/>
    </row>
    <row r="51" spans="1:6" ht="12" customHeight="1">
      <c r="A51" s="1155" t="s">
        <v>1291</v>
      </c>
      <c r="B51" s="1156">
        <v>265</v>
      </c>
      <c r="C51" s="1162"/>
      <c r="D51" s="1157"/>
      <c r="E51" s="1162"/>
      <c r="F51" s="1107"/>
    </row>
    <row r="52" spans="1:6" ht="12" customHeight="1">
      <c r="A52" s="1155" t="s">
        <v>1292</v>
      </c>
      <c r="B52" s="1156">
        <v>270</v>
      </c>
      <c r="C52" s="1162"/>
      <c r="D52" s="1157"/>
      <c r="E52" s="1162"/>
      <c r="F52" s="1107"/>
    </row>
    <row r="53" spans="1:6" ht="12" customHeight="1">
      <c r="A53" s="1155" t="s">
        <v>1293</v>
      </c>
      <c r="B53" s="1156">
        <v>275</v>
      </c>
      <c r="C53" s="1162"/>
      <c r="D53" s="1157"/>
      <c r="E53" s="1162"/>
      <c r="F53" s="1107"/>
    </row>
    <row r="54" spans="1:6" ht="12" customHeight="1">
      <c r="A54" s="1106"/>
      <c r="B54" s="1110"/>
      <c r="C54" s="1106"/>
      <c r="D54" s="1106"/>
      <c r="E54" s="1106"/>
      <c r="F54" s="1107"/>
    </row>
    <row r="55" spans="1:6" ht="12" customHeight="1">
      <c r="A55" s="1160"/>
      <c r="B55" s="1160"/>
      <c r="C55" s="1160"/>
      <c r="D55" s="1160"/>
      <c r="E55" s="1160"/>
      <c r="F55" s="1161"/>
    </row>
    <row r="56" spans="1:6" ht="12" customHeight="1">
      <c r="A56" s="1104" t="s">
        <v>1019</v>
      </c>
      <c r="B56" s="1105">
        <f>B1</f>
        <v>270</v>
      </c>
      <c r="C56" s="1106"/>
      <c r="D56" s="1106"/>
      <c r="E56" s="1104" t="s">
        <v>1020</v>
      </c>
      <c r="F56" s="1107"/>
    </row>
    <row r="57" spans="1:6" ht="12" customHeight="1">
      <c r="A57" s="1106"/>
      <c r="B57" s="1110"/>
      <c r="C57" s="1106"/>
      <c r="D57" s="1106"/>
      <c r="E57" s="1104" t="s">
        <v>1212</v>
      </c>
      <c r="F57" s="1107"/>
    </row>
    <row r="58" spans="1:6" ht="12" customHeight="1">
      <c r="A58" s="1106"/>
      <c r="B58" s="1110"/>
      <c r="C58" s="1106"/>
      <c r="D58" s="1106"/>
      <c r="E58" s="1104" t="str">
        <f>E3</f>
        <v>2016-2017</v>
      </c>
      <c r="F58" s="1107"/>
    </row>
    <row r="59" spans="1:6" ht="5.0999999999999996" customHeight="1">
      <c r="A59" s="1106"/>
      <c r="B59" s="1110"/>
      <c r="C59" s="1106"/>
      <c r="D59" s="1106"/>
      <c r="E59" s="1106"/>
      <c r="F59" s="1107"/>
    </row>
    <row r="60" spans="1:6" ht="12" customHeight="1">
      <c r="A60" s="1106"/>
      <c r="B60" s="1109"/>
      <c r="C60" s="1110" t="s">
        <v>1213</v>
      </c>
      <c r="D60" s="1110" t="s">
        <v>1213</v>
      </c>
      <c r="E60" s="1110" t="s">
        <v>1213</v>
      </c>
      <c r="F60" s="1107"/>
    </row>
    <row r="61" spans="1:6" ht="12" customHeight="1">
      <c r="A61" s="1111" t="s">
        <v>361</v>
      </c>
      <c r="B61" s="1112" t="s">
        <v>1045</v>
      </c>
      <c r="C61" s="1113" t="str">
        <f>C6</f>
        <v>2014-2015</v>
      </c>
      <c r="D61" s="1113" t="str">
        <f>D6</f>
        <v>2015-2016</v>
      </c>
      <c r="E61" s="1113" t="str">
        <f>E6</f>
        <v>2016-2017</v>
      </c>
      <c r="F61" s="1107"/>
    </row>
    <row r="62" spans="1:6" ht="12" customHeight="1">
      <c r="A62" s="1111" t="s">
        <v>81</v>
      </c>
      <c r="B62" s="1115">
        <v>28</v>
      </c>
      <c r="C62" s="1116" t="s">
        <v>1139</v>
      </c>
      <c r="D62" s="1116" t="s">
        <v>1139</v>
      </c>
      <c r="E62" s="1116" t="s">
        <v>1215</v>
      </c>
      <c r="F62" s="1107"/>
    </row>
    <row r="63" spans="1:6" ht="12" customHeight="1">
      <c r="A63" s="1118"/>
      <c r="B63" s="1119" t="s">
        <v>1051</v>
      </c>
      <c r="C63" s="1120">
        <v>1</v>
      </c>
      <c r="D63" s="1120">
        <v>2</v>
      </c>
      <c r="E63" s="1120">
        <v>3</v>
      </c>
      <c r="F63" s="1107"/>
    </row>
    <row r="64" spans="1:6" ht="12" customHeight="1">
      <c r="A64" s="1151" t="s">
        <v>1296</v>
      </c>
      <c r="B64" s="1152"/>
      <c r="C64" s="1142"/>
      <c r="D64" s="1153"/>
      <c r="E64" s="1142"/>
      <c r="F64" s="1107"/>
    </row>
    <row r="65" spans="1:6" ht="12" customHeight="1">
      <c r="A65" s="1146" t="s">
        <v>1268</v>
      </c>
      <c r="B65" s="1147"/>
      <c r="C65" s="1145"/>
      <c r="D65" s="1163"/>
      <c r="E65" s="1145"/>
      <c r="F65" s="1107"/>
    </row>
    <row r="66" spans="1:6" ht="12" customHeight="1">
      <c r="A66" s="1148" t="s">
        <v>1269</v>
      </c>
      <c r="B66" s="1149">
        <v>280</v>
      </c>
      <c r="C66" s="1150"/>
      <c r="D66" s="1154"/>
      <c r="E66" s="1150"/>
      <c r="F66" s="1107"/>
    </row>
    <row r="67" spans="1:6" ht="12" customHeight="1">
      <c r="A67" s="1155" t="s">
        <v>374</v>
      </c>
      <c r="B67" s="1156">
        <v>285</v>
      </c>
      <c r="C67" s="1162"/>
      <c r="D67" s="1157"/>
      <c r="E67" s="1162"/>
      <c r="F67" s="1107"/>
    </row>
    <row r="68" spans="1:6" ht="12" customHeight="1">
      <c r="A68" s="1151" t="s">
        <v>1271</v>
      </c>
      <c r="B68" s="1152"/>
      <c r="C68" s="1142"/>
      <c r="D68" s="1153"/>
      <c r="E68" s="1142"/>
      <c r="F68" s="1107"/>
    </row>
    <row r="69" spans="1:6" ht="12" customHeight="1">
      <c r="A69" s="1148" t="s">
        <v>1272</v>
      </c>
      <c r="B69" s="1149">
        <v>290</v>
      </c>
      <c r="C69" s="1150"/>
      <c r="D69" s="1154"/>
      <c r="E69" s="1150"/>
      <c r="F69" s="1107"/>
    </row>
    <row r="70" spans="1:6" ht="12" customHeight="1">
      <c r="A70" s="1151" t="s">
        <v>1273</v>
      </c>
      <c r="B70" s="1152">
        <v>295</v>
      </c>
      <c r="C70" s="2512"/>
      <c r="D70" s="1158"/>
      <c r="E70" s="2512"/>
      <c r="F70" s="1107"/>
    </row>
    <row r="71" spans="1:6" ht="12" customHeight="1">
      <c r="A71" s="1155" t="s">
        <v>1276</v>
      </c>
      <c r="B71" s="1156">
        <v>300</v>
      </c>
      <c r="C71" s="1162"/>
      <c r="D71" s="1157"/>
      <c r="E71" s="1162"/>
      <c r="F71" s="1107"/>
    </row>
    <row r="72" spans="1:6" ht="12" customHeight="1">
      <c r="A72" s="1151" t="s">
        <v>1439</v>
      </c>
      <c r="B72" s="1152">
        <v>305</v>
      </c>
      <c r="C72" s="2512"/>
      <c r="D72" s="1158"/>
      <c r="E72" s="2512"/>
      <c r="F72" s="1107"/>
    </row>
    <row r="73" spans="1:6" ht="12" customHeight="1">
      <c r="A73" s="2993" t="s">
        <v>1303</v>
      </c>
      <c r="B73" s="2994">
        <v>307</v>
      </c>
      <c r="C73" s="2512"/>
      <c r="D73" s="1158"/>
      <c r="E73" s="2512"/>
      <c r="F73" s="1107"/>
    </row>
    <row r="74" spans="1:6" ht="12" customHeight="1">
      <c r="A74" s="1155" t="s">
        <v>1282</v>
      </c>
      <c r="B74" s="1156">
        <v>310</v>
      </c>
      <c r="C74" s="1162"/>
      <c r="D74" s="1157"/>
      <c r="E74" s="1162"/>
      <c r="F74" s="1107"/>
    </row>
    <row r="75" spans="1:6" ht="12" customHeight="1">
      <c r="A75" s="1155" t="s">
        <v>1288</v>
      </c>
      <c r="B75" s="1156">
        <v>315</v>
      </c>
      <c r="C75" s="1162"/>
      <c r="D75" s="1157"/>
      <c r="E75" s="1162"/>
      <c r="F75" s="1107"/>
    </row>
    <row r="76" spans="1:6" ht="12" customHeight="1">
      <c r="A76" s="1155" t="s">
        <v>1292</v>
      </c>
      <c r="B76" s="1156">
        <v>320</v>
      </c>
      <c r="C76" s="1162"/>
      <c r="D76" s="1157"/>
      <c r="E76" s="1162"/>
      <c r="F76" s="1107"/>
    </row>
    <row r="77" spans="1:6" ht="12" customHeight="1">
      <c r="A77" s="1155" t="s">
        <v>1293</v>
      </c>
      <c r="B77" s="1156">
        <v>325</v>
      </c>
      <c r="C77" s="1162"/>
      <c r="D77" s="1157"/>
      <c r="E77" s="1162"/>
      <c r="F77" s="1107"/>
    </row>
    <row r="78" spans="1:6" ht="12" customHeight="1">
      <c r="A78" s="1151" t="s">
        <v>1745</v>
      </c>
      <c r="B78" s="1152"/>
      <c r="C78" s="1142"/>
      <c r="D78" s="1153"/>
      <c r="E78" s="1142"/>
      <c r="F78" s="1107"/>
    </row>
    <row r="79" spans="1:6" ht="12" customHeight="1">
      <c r="A79" s="1146" t="s">
        <v>1268</v>
      </c>
      <c r="B79" s="1147"/>
      <c r="C79" s="1145"/>
      <c r="D79" s="1163"/>
      <c r="E79" s="1145"/>
      <c r="F79" s="1107"/>
    </row>
    <row r="80" spans="1:6" ht="12" customHeight="1">
      <c r="A80" s="1148" t="s">
        <v>1269</v>
      </c>
      <c r="B80" s="1149">
        <v>330</v>
      </c>
      <c r="C80" s="1150"/>
      <c r="D80" s="1154"/>
      <c r="E80" s="1150"/>
      <c r="F80" s="1107"/>
    </row>
    <row r="81" spans="1:6" ht="12" customHeight="1">
      <c r="A81" s="1148" t="s">
        <v>375</v>
      </c>
      <c r="B81" s="1149">
        <v>335</v>
      </c>
      <c r="C81" s="1150"/>
      <c r="D81" s="1154"/>
      <c r="E81" s="1150"/>
      <c r="F81" s="1107"/>
    </row>
    <row r="82" spans="1:6" ht="12" customHeight="1">
      <c r="A82" s="1151" t="s">
        <v>1271</v>
      </c>
      <c r="B82" s="1152"/>
      <c r="C82" s="1142"/>
      <c r="D82" s="1153"/>
      <c r="E82" s="1142"/>
      <c r="F82" s="1107"/>
    </row>
    <row r="83" spans="1:6" ht="12" customHeight="1">
      <c r="A83" s="1148" t="s">
        <v>353</v>
      </c>
      <c r="B83" s="1149">
        <v>340</v>
      </c>
      <c r="C83" s="1150"/>
      <c r="D83" s="1154"/>
      <c r="E83" s="1150"/>
      <c r="F83" s="1107"/>
    </row>
    <row r="84" spans="1:6" ht="12" customHeight="1">
      <c r="A84" s="1155" t="s">
        <v>1273</v>
      </c>
      <c r="B84" s="1156">
        <v>345</v>
      </c>
      <c r="C84" s="1162"/>
      <c r="D84" s="1157"/>
      <c r="E84" s="1162"/>
      <c r="F84" s="1107"/>
    </row>
    <row r="85" spans="1:6" ht="12" customHeight="1">
      <c r="A85" s="1155" t="s">
        <v>1276</v>
      </c>
      <c r="B85" s="1156">
        <v>350</v>
      </c>
      <c r="C85" s="1162"/>
      <c r="D85" s="1157"/>
      <c r="E85" s="1162"/>
      <c r="F85" s="1107"/>
    </row>
    <row r="86" spans="1:6" ht="12" customHeight="1">
      <c r="A86" s="1151" t="s">
        <v>1439</v>
      </c>
      <c r="B86" s="1152">
        <v>355</v>
      </c>
      <c r="C86" s="2512"/>
      <c r="D86" s="1158"/>
      <c r="E86" s="2512"/>
      <c r="F86" s="1107"/>
    </row>
    <row r="87" spans="1:6" ht="12" customHeight="1">
      <c r="A87" s="1155" t="s">
        <v>1303</v>
      </c>
      <c r="B87" s="1156">
        <v>360</v>
      </c>
      <c r="C87" s="1162"/>
      <c r="D87" s="1157"/>
      <c r="E87" s="1162"/>
      <c r="F87" s="1107"/>
    </row>
    <row r="88" spans="1:6" ht="12" customHeight="1">
      <c r="A88" s="1155" t="s">
        <v>1282</v>
      </c>
      <c r="B88" s="1156">
        <v>365</v>
      </c>
      <c r="C88" s="1162"/>
      <c r="D88" s="1157"/>
      <c r="E88" s="1162"/>
      <c r="F88" s="1107"/>
    </row>
    <row r="89" spans="1:6" ht="12" customHeight="1">
      <c r="A89" s="1155" t="s">
        <v>1288</v>
      </c>
      <c r="B89" s="1156">
        <v>370</v>
      </c>
      <c r="C89" s="1162"/>
      <c r="D89" s="1157"/>
      <c r="E89" s="1162"/>
      <c r="F89" s="1107"/>
    </row>
    <row r="90" spans="1:6" ht="12" customHeight="1">
      <c r="A90" s="1155" t="s">
        <v>1292</v>
      </c>
      <c r="B90" s="1156">
        <v>375</v>
      </c>
      <c r="C90" s="1162"/>
      <c r="D90" s="1157"/>
      <c r="E90" s="1162"/>
      <c r="F90" s="1107"/>
    </row>
    <row r="91" spans="1:6" ht="11.85" customHeight="1">
      <c r="A91" s="1151" t="s">
        <v>1293</v>
      </c>
      <c r="B91" s="1156">
        <v>380</v>
      </c>
      <c r="C91" s="2512"/>
      <c r="D91" s="1157"/>
      <c r="E91" s="1162"/>
      <c r="F91" s="1107"/>
    </row>
    <row r="92" spans="1:6" ht="11.85" customHeight="1">
      <c r="A92" s="375" t="s">
        <v>1750</v>
      </c>
      <c r="B92" s="379"/>
      <c r="C92" s="3851"/>
      <c r="D92" s="3854"/>
      <c r="E92" s="3854"/>
      <c r="F92" s="1107"/>
    </row>
    <row r="93" spans="1:6" ht="11.85" customHeight="1">
      <c r="A93" s="378" t="s">
        <v>1544</v>
      </c>
      <c r="B93" s="379"/>
      <c r="C93" s="2635"/>
      <c r="D93" s="3854"/>
      <c r="E93" s="3854"/>
      <c r="F93" s="1107"/>
    </row>
    <row r="94" spans="1:6" ht="11.85" customHeight="1">
      <c r="A94" s="381" t="s">
        <v>1746</v>
      </c>
      <c r="B94" s="2903">
        <v>390</v>
      </c>
      <c r="C94" s="3953"/>
      <c r="D94" s="3963"/>
      <c r="E94" s="3958"/>
      <c r="F94" s="1107"/>
    </row>
    <row r="95" spans="1:6" ht="11.85" customHeight="1">
      <c r="A95" s="384" t="s">
        <v>1732</v>
      </c>
      <c r="B95" s="2902">
        <v>395</v>
      </c>
      <c r="C95" s="3953"/>
      <c r="D95" s="3960"/>
      <c r="E95" s="3960"/>
      <c r="F95" s="1107"/>
    </row>
    <row r="96" spans="1:6" ht="11.85" customHeight="1">
      <c r="A96" s="378" t="s">
        <v>944</v>
      </c>
      <c r="B96" s="2900"/>
      <c r="C96" s="3850"/>
      <c r="D96" s="3965"/>
      <c r="E96" s="3962"/>
      <c r="F96" s="1107"/>
    </row>
    <row r="97" spans="1:7" ht="11.85" customHeight="1">
      <c r="A97" s="381" t="s">
        <v>1748</v>
      </c>
      <c r="B97" s="2900">
        <v>400</v>
      </c>
      <c r="C97" s="3953"/>
      <c r="D97" s="3963"/>
      <c r="E97" s="3963"/>
      <c r="F97" s="1107"/>
    </row>
    <row r="98" spans="1:7" ht="11.85" customHeight="1">
      <c r="A98" s="384" t="s">
        <v>1747</v>
      </c>
      <c r="B98" s="2902">
        <v>405</v>
      </c>
      <c r="C98" s="3953">
        <v>567</v>
      </c>
      <c r="D98" s="3960">
        <v>775</v>
      </c>
      <c r="E98" s="3960"/>
      <c r="F98" s="1107"/>
    </row>
    <row r="99" spans="1:7" ht="11.85" customHeight="1">
      <c r="A99" s="384" t="s">
        <v>1749</v>
      </c>
      <c r="B99" s="2902">
        <v>410</v>
      </c>
      <c r="C99" s="3953"/>
      <c r="D99" s="3960"/>
      <c r="E99" s="3960"/>
      <c r="F99" s="1107"/>
    </row>
    <row r="100" spans="1:7" ht="11.85" customHeight="1">
      <c r="A100" s="384" t="s">
        <v>1439</v>
      </c>
      <c r="B100" s="2902">
        <v>415</v>
      </c>
      <c r="C100" s="3953"/>
      <c r="D100" s="3960"/>
      <c r="E100" s="3960"/>
      <c r="F100" s="1107"/>
    </row>
    <row r="101" spans="1:7" ht="11.85" customHeight="1">
      <c r="A101" s="384" t="s">
        <v>711</v>
      </c>
      <c r="B101" s="2902">
        <v>420</v>
      </c>
      <c r="C101" s="3953"/>
      <c r="D101" s="3960"/>
      <c r="E101" s="3960"/>
      <c r="F101" s="1107"/>
    </row>
    <row r="102" spans="1:7" ht="11.85" customHeight="1">
      <c r="A102" s="384" t="s">
        <v>683</v>
      </c>
      <c r="B102" s="2902">
        <v>425</v>
      </c>
      <c r="C102" s="3953"/>
      <c r="D102" s="3960"/>
      <c r="E102" s="3960"/>
      <c r="F102" s="1107"/>
    </row>
    <row r="103" spans="1:7" ht="11.85" customHeight="1">
      <c r="A103" s="384" t="s">
        <v>1738</v>
      </c>
      <c r="B103" s="2902">
        <v>430</v>
      </c>
      <c r="C103" s="3953"/>
      <c r="D103" s="3960"/>
      <c r="E103" s="3960"/>
      <c r="F103" s="1107"/>
    </row>
    <row r="104" spans="1:7" ht="11.85" customHeight="1">
      <c r="A104" s="384" t="s">
        <v>1739</v>
      </c>
      <c r="B104" s="2902">
        <v>435</v>
      </c>
      <c r="C104" s="3953"/>
      <c r="D104" s="3960"/>
      <c r="E104" s="3960"/>
      <c r="F104" s="1107"/>
    </row>
    <row r="105" spans="1:7" ht="11.85" customHeight="1">
      <c r="A105" s="384" t="s">
        <v>943</v>
      </c>
      <c r="B105" s="2902">
        <v>440</v>
      </c>
      <c r="C105" s="3953"/>
      <c r="D105" s="3960"/>
      <c r="E105" s="3960"/>
      <c r="F105" s="1107"/>
    </row>
    <row r="106" spans="1:7" ht="11.85" customHeight="1">
      <c r="A106" s="3412" t="s">
        <v>1501</v>
      </c>
      <c r="B106" s="3415"/>
      <c r="C106" s="3413"/>
      <c r="D106" s="3876"/>
      <c r="E106" s="3412"/>
      <c r="F106" s="1107"/>
    </row>
    <row r="107" spans="1:7" ht="11.85" customHeight="1">
      <c r="A107" s="3414" t="s">
        <v>1503</v>
      </c>
      <c r="B107" s="3593">
        <v>385</v>
      </c>
      <c r="C107" s="3782"/>
      <c r="D107" s="3874"/>
      <c r="E107" s="1150"/>
      <c r="F107" s="1107"/>
      <c r="G107" s="3538"/>
    </row>
    <row r="108" spans="1:7" ht="11.85" customHeight="1">
      <c r="A108" s="1148" t="s">
        <v>1248</v>
      </c>
      <c r="B108" s="4025" t="s">
        <v>92</v>
      </c>
      <c r="C108" s="4026">
        <f>SUM(C64:C107,C33:C53)</f>
        <v>567</v>
      </c>
      <c r="D108" s="2581">
        <f>SUM(D64:D107,D33:D53)</f>
        <v>775</v>
      </c>
      <c r="E108" s="2581">
        <f>SUM(E64:E107,E33:E53)</f>
        <v>1261</v>
      </c>
      <c r="F108" s="1107"/>
      <c r="G108" s="3538"/>
    </row>
    <row r="109" spans="1:7" ht="11.85" customHeight="1">
      <c r="A109" s="1164"/>
      <c r="B109" s="1165"/>
      <c r="C109" s="1166"/>
      <c r="D109" s="1166"/>
      <c r="E109" s="1166"/>
      <c r="F109" s="1107"/>
    </row>
    <row r="110" spans="1:7" ht="14.1" customHeight="1">
      <c r="A110" s="1106"/>
      <c r="B110" s="1165"/>
      <c r="C110" s="1166"/>
      <c r="D110" s="1166"/>
      <c r="E110" s="1166"/>
      <c r="F110" s="1107"/>
    </row>
    <row r="111" spans="1:7" s="1167" customFormat="1" ht="12" customHeight="1"/>
    <row r="112" spans="1:7" s="1167" customFormat="1" ht="12" customHeight="1"/>
    <row r="113" spans="1:6" ht="12" customHeight="1">
      <c r="A113" s="1106"/>
      <c r="B113" s="1110"/>
      <c r="C113" s="1107"/>
      <c r="D113" s="1107"/>
      <c r="E113" s="1107"/>
      <c r="F113" s="1107"/>
    </row>
    <row r="114" spans="1:6" ht="12" customHeight="1">
      <c r="A114" s="1106"/>
      <c r="B114" s="1110"/>
      <c r="C114" s="1107"/>
      <c r="D114" s="1107"/>
      <c r="E114" s="1107"/>
      <c r="F114" s="1107"/>
    </row>
    <row r="115" spans="1:6" ht="12" customHeight="1">
      <c r="A115" s="1106"/>
      <c r="B115" s="1110"/>
      <c r="C115" s="1107"/>
      <c r="D115" s="1107"/>
      <c r="E115" s="1107"/>
      <c r="F115" s="1107"/>
    </row>
    <row r="116" spans="1:6" ht="12" customHeight="1">
      <c r="A116" s="1106"/>
      <c r="B116" s="1110"/>
      <c r="C116" s="1107"/>
      <c r="D116" s="1107"/>
      <c r="E116" s="1107"/>
      <c r="F116" s="1107"/>
    </row>
    <row r="117" spans="1:6" ht="12" customHeight="1">
      <c r="A117" s="1106"/>
      <c r="B117" s="1110"/>
      <c r="C117" s="1107"/>
      <c r="D117" s="1107"/>
      <c r="E117" s="1107"/>
      <c r="F117" s="1107"/>
    </row>
    <row r="118" spans="1:6" ht="12" customHeight="1">
      <c r="A118" s="1106"/>
      <c r="B118" s="1110"/>
      <c r="C118" s="1107"/>
      <c r="D118" s="1107"/>
      <c r="E118" s="1107"/>
      <c r="F118" s="1107"/>
    </row>
    <row r="119" spans="1:6" ht="12" customHeight="1">
      <c r="A119" s="5286"/>
      <c r="B119" s="5286"/>
      <c r="C119" s="5286"/>
      <c r="D119" s="5286"/>
      <c r="E119" s="5286"/>
      <c r="F119" s="1107"/>
    </row>
    <row r="120" spans="1:6" ht="12" customHeight="1">
      <c r="A120" s="1167"/>
      <c r="B120" s="1110"/>
      <c r="C120" s="1107"/>
      <c r="D120" s="1107"/>
      <c r="E120" s="1107"/>
      <c r="F120" s="1107"/>
    </row>
    <row r="121" spans="1:6" ht="12" customHeight="1">
      <c r="A121" s="1106"/>
      <c r="B121" s="1110"/>
      <c r="C121" s="1107"/>
      <c r="D121" s="1107"/>
      <c r="E121" s="1107"/>
      <c r="F121" s="1107"/>
    </row>
    <row r="122" spans="1:6" ht="12" customHeight="1">
      <c r="A122" s="1160"/>
      <c r="B122" s="1160"/>
      <c r="C122" s="1161"/>
      <c r="D122" s="1161"/>
      <c r="E122" s="1161"/>
      <c r="F122" s="1107"/>
    </row>
    <row r="123" spans="1:6" ht="12" customHeight="1">
      <c r="A123" s="1106"/>
      <c r="B123" s="1110"/>
      <c r="C123" s="1107"/>
      <c r="D123" s="1107"/>
      <c r="E123" s="1107"/>
      <c r="F123" s="1107"/>
    </row>
    <row r="124" spans="1:6" ht="12" customHeight="1">
      <c r="A124" s="1106"/>
      <c r="B124" s="1110"/>
      <c r="C124" s="1107"/>
      <c r="D124" s="1107"/>
      <c r="E124" s="1107"/>
      <c r="F124" s="1107"/>
    </row>
    <row r="125" spans="1:6" ht="12" customHeight="1">
      <c r="A125" s="1106"/>
      <c r="B125" s="1110"/>
      <c r="C125" s="1107"/>
      <c r="D125" s="1107"/>
      <c r="E125" s="1107"/>
      <c r="F125" s="1107"/>
    </row>
    <row r="126" spans="1:6" ht="12" customHeight="1">
      <c r="A126" s="1106"/>
      <c r="B126" s="1110"/>
      <c r="C126" s="1107"/>
      <c r="D126" s="1107"/>
      <c r="E126" s="1107"/>
      <c r="F126" s="1107"/>
    </row>
    <row r="127" spans="1:6" ht="12" customHeight="1">
      <c r="A127" s="1106"/>
      <c r="B127" s="1110"/>
      <c r="C127" s="1107"/>
      <c r="D127" s="1107"/>
      <c r="E127" s="1107"/>
      <c r="F127" s="1107"/>
    </row>
    <row r="128" spans="1:6" ht="12" customHeight="1">
      <c r="A128" s="1106"/>
      <c r="B128" s="1110"/>
      <c r="C128" s="1107"/>
      <c r="D128" s="1107"/>
      <c r="E128" s="1107"/>
      <c r="F128" s="1107"/>
    </row>
    <row r="129" spans="1:6" ht="12" customHeight="1">
      <c r="A129" s="1106"/>
      <c r="B129" s="1110"/>
      <c r="C129" s="1107"/>
      <c r="D129" s="1107"/>
      <c r="E129" s="1107"/>
      <c r="F129" s="1107"/>
    </row>
    <row r="130" spans="1:6" ht="12" customHeight="1">
      <c r="A130" s="1106"/>
      <c r="B130" s="1110"/>
      <c r="C130" s="1107"/>
      <c r="D130" s="1107"/>
      <c r="E130" s="1107"/>
      <c r="F130" s="1107"/>
    </row>
    <row r="131" spans="1:6" ht="12" customHeight="1">
      <c r="A131" s="1106"/>
      <c r="B131" s="1110"/>
      <c r="C131" s="1107"/>
      <c r="D131" s="1107"/>
      <c r="E131" s="1107"/>
      <c r="F131" s="1107"/>
    </row>
    <row r="132" spans="1:6" ht="12" customHeight="1">
      <c r="A132" s="1106"/>
      <c r="B132" s="1110"/>
      <c r="C132" s="1107"/>
      <c r="D132" s="1107"/>
      <c r="E132" s="1107"/>
      <c r="F132" s="1107"/>
    </row>
    <row r="133" spans="1:6" ht="12" customHeight="1">
      <c r="A133" s="1106"/>
      <c r="B133" s="1110"/>
      <c r="C133" s="1107"/>
      <c r="D133" s="1107"/>
      <c r="E133" s="1107"/>
      <c r="F133" s="1107"/>
    </row>
    <row r="134" spans="1:6" ht="12" customHeight="1">
      <c r="A134" s="1106"/>
      <c r="B134" s="1110"/>
      <c r="C134" s="1107"/>
      <c r="D134" s="1107"/>
      <c r="E134" s="1107"/>
      <c r="F134" s="1107"/>
    </row>
    <row r="135" spans="1:6" ht="12" customHeight="1">
      <c r="A135" s="1106"/>
      <c r="B135" s="1110"/>
      <c r="C135" s="1107"/>
      <c r="D135" s="1107"/>
      <c r="E135" s="1107"/>
      <c r="F135" s="1107"/>
    </row>
    <row r="136" spans="1:6" ht="12" customHeight="1">
      <c r="A136" s="1106"/>
      <c r="B136" s="1110"/>
      <c r="C136" s="1107"/>
      <c r="D136" s="1107"/>
      <c r="E136" s="1107"/>
      <c r="F136" s="1107"/>
    </row>
    <row r="137" spans="1:6" ht="12" customHeight="1">
      <c r="A137" s="1106"/>
      <c r="B137" s="1110"/>
      <c r="C137" s="1107"/>
      <c r="D137" s="1107"/>
      <c r="E137" s="1107"/>
      <c r="F137" s="1107"/>
    </row>
    <row r="138" spans="1:6" ht="12" customHeight="1">
      <c r="A138" s="1106"/>
      <c r="B138" s="1110"/>
      <c r="C138" s="1107"/>
      <c r="D138" s="1107"/>
      <c r="E138" s="1107"/>
      <c r="F138" s="1107"/>
    </row>
    <row r="139" spans="1:6" ht="12" customHeight="1">
      <c r="A139" s="1106"/>
      <c r="B139" s="1110"/>
      <c r="C139" s="1107"/>
      <c r="D139" s="1107"/>
      <c r="E139" s="1107"/>
      <c r="F139" s="1107"/>
    </row>
    <row r="140" spans="1:6" ht="12" customHeight="1">
      <c r="A140" s="1106"/>
      <c r="B140" s="1110"/>
      <c r="C140" s="1107"/>
      <c r="D140" s="1107"/>
      <c r="E140" s="1107"/>
      <c r="F140" s="1107"/>
    </row>
    <row r="141" spans="1:6" ht="12" customHeight="1">
      <c r="A141" s="1106"/>
      <c r="B141" s="1110"/>
      <c r="C141" s="1107"/>
      <c r="D141" s="1107"/>
      <c r="E141" s="1107"/>
      <c r="F141" s="1107"/>
    </row>
    <row r="142" spans="1:6" ht="12" customHeight="1">
      <c r="A142" s="1106"/>
      <c r="B142" s="1110"/>
      <c r="C142" s="1107"/>
      <c r="D142" s="1107"/>
      <c r="E142" s="1107"/>
      <c r="F142" s="1107"/>
    </row>
    <row r="143" spans="1:6" ht="12" customHeight="1">
      <c r="A143" s="1106"/>
      <c r="B143" s="1110"/>
      <c r="C143" s="1107"/>
      <c r="D143" s="1107"/>
      <c r="E143" s="1107"/>
      <c r="F143" s="1107"/>
    </row>
    <row r="144" spans="1:6" ht="12" customHeight="1">
      <c r="A144" s="1106"/>
      <c r="B144" s="1110"/>
      <c r="C144" s="1107"/>
      <c r="D144" s="1107"/>
      <c r="E144" s="1107"/>
      <c r="F144" s="1107"/>
    </row>
    <row r="145" spans="1:6" ht="12" customHeight="1">
      <c r="A145" s="1106"/>
      <c r="B145" s="1110"/>
      <c r="C145" s="1107"/>
      <c r="D145" s="1107"/>
      <c r="E145" s="1107"/>
      <c r="F145" s="1107"/>
    </row>
    <row r="146" spans="1:6" ht="12" customHeight="1">
      <c r="A146" s="1106"/>
      <c r="B146" s="1110"/>
      <c r="C146" s="1107"/>
      <c r="D146" s="1107"/>
      <c r="E146" s="1107"/>
      <c r="F146" s="1107"/>
    </row>
    <row r="147" spans="1:6" ht="12" customHeight="1">
      <c r="A147" s="1106"/>
      <c r="B147" s="1110"/>
      <c r="C147" s="1107"/>
      <c r="D147" s="1107"/>
      <c r="E147" s="1107"/>
      <c r="F147" s="1107"/>
    </row>
    <row r="148" spans="1:6" ht="12" customHeight="1">
      <c r="A148" s="1106"/>
      <c r="B148" s="1110"/>
      <c r="C148" s="1107"/>
      <c r="D148" s="1107"/>
      <c r="E148" s="1107"/>
      <c r="F148" s="1107"/>
    </row>
    <row r="149" spans="1:6" ht="12" customHeight="1">
      <c r="A149" s="1106"/>
      <c r="B149" s="1110"/>
      <c r="C149" s="1107"/>
      <c r="D149" s="1107"/>
      <c r="E149" s="1107"/>
      <c r="F149" s="1107"/>
    </row>
    <row r="150" spans="1:6" ht="12" customHeight="1">
      <c r="A150" s="1106"/>
      <c r="B150" s="1110"/>
      <c r="C150" s="1107"/>
      <c r="D150" s="1107"/>
      <c r="E150" s="1107"/>
      <c r="F150" s="1107"/>
    </row>
    <row r="151" spans="1:6" ht="12" customHeight="1">
      <c r="A151" s="1106"/>
      <c r="B151" s="1110"/>
      <c r="C151" s="1107"/>
      <c r="D151" s="1107"/>
      <c r="E151" s="1107"/>
      <c r="F151" s="1107"/>
    </row>
    <row r="152" spans="1:6" ht="12" customHeight="1">
      <c r="A152" s="1106"/>
      <c r="B152" s="1110"/>
      <c r="C152" s="1107"/>
      <c r="D152" s="1107"/>
      <c r="E152" s="1107"/>
      <c r="F152" s="1107"/>
    </row>
    <row r="153" spans="1:6" ht="12" customHeight="1">
      <c r="A153" s="1106"/>
      <c r="B153" s="1110"/>
      <c r="C153" s="1107"/>
      <c r="D153" s="1107"/>
      <c r="E153" s="1107"/>
      <c r="F153" s="1107"/>
    </row>
    <row r="154" spans="1:6" ht="12" customHeight="1">
      <c r="A154" s="1106"/>
      <c r="B154" s="1110"/>
      <c r="C154" s="1107"/>
      <c r="D154" s="1107"/>
      <c r="E154" s="1107"/>
      <c r="F154" s="1107"/>
    </row>
    <row r="155" spans="1:6" ht="12" customHeight="1">
      <c r="A155" s="1106"/>
      <c r="B155" s="1110"/>
      <c r="C155" s="1107"/>
      <c r="D155" s="1107"/>
      <c r="E155" s="1107"/>
      <c r="F155" s="1107"/>
    </row>
    <row r="156" spans="1:6" ht="12" customHeight="1">
      <c r="A156" s="1106"/>
      <c r="B156" s="1110"/>
      <c r="C156" s="1107"/>
      <c r="D156" s="1107"/>
      <c r="E156" s="1107"/>
      <c r="F156" s="1107"/>
    </row>
    <row r="157" spans="1:6" ht="12" customHeight="1">
      <c r="A157" s="1106"/>
      <c r="B157" s="1110"/>
      <c r="C157" s="1107"/>
      <c r="D157" s="1107"/>
      <c r="E157" s="1107"/>
      <c r="F157" s="1107"/>
    </row>
    <row r="158" spans="1:6" ht="12" customHeight="1">
      <c r="A158" s="1106"/>
      <c r="B158" s="1110"/>
      <c r="C158" s="1107"/>
      <c r="D158" s="1107"/>
      <c r="E158" s="1107"/>
      <c r="F158" s="1107"/>
    </row>
    <row r="159" spans="1:6" ht="12" customHeight="1">
      <c r="A159" s="1106"/>
      <c r="B159" s="1110"/>
      <c r="C159" s="1107"/>
      <c r="D159" s="1107"/>
      <c r="E159" s="1107"/>
      <c r="F159" s="1107"/>
    </row>
    <row r="160" spans="1:6" ht="12" customHeight="1">
      <c r="A160" s="1106"/>
      <c r="B160" s="1110"/>
      <c r="C160" s="1107"/>
      <c r="D160" s="1107"/>
      <c r="E160" s="1107"/>
      <c r="F160" s="1107"/>
    </row>
    <row r="161" spans="1:6" ht="12" customHeight="1">
      <c r="A161" s="1106"/>
      <c r="B161" s="1110"/>
      <c r="C161" s="1107"/>
      <c r="D161" s="1107"/>
      <c r="E161" s="1107"/>
      <c r="F161" s="1107"/>
    </row>
    <row r="162" spans="1:6" ht="12" customHeight="1">
      <c r="A162" s="1106"/>
      <c r="B162" s="1110"/>
      <c r="C162" s="1107"/>
      <c r="D162" s="1107"/>
      <c r="E162" s="1107"/>
      <c r="F162" s="1107"/>
    </row>
    <row r="163" spans="1:6" ht="12" customHeight="1">
      <c r="A163" s="1106"/>
      <c r="B163" s="1110"/>
      <c r="C163" s="1107"/>
      <c r="D163" s="1107"/>
      <c r="E163" s="1107"/>
      <c r="F163" s="1107"/>
    </row>
    <row r="164" spans="1:6" ht="12" customHeight="1">
      <c r="A164" s="1106"/>
      <c r="B164" s="1110"/>
      <c r="C164" s="1107"/>
      <c r="D164" s="1107"/>
      <c r="E164" s="1107"/>
      <c r="F164" s="1107"/>
    </row>
    <row r="165" spans="1:6" ht="12" customHeight="1">
      <c r="A165" s="1106"/>
      <c r="B165" s="1110"/>
      <c r="C165" s="1107"/>
      <c r="D165" s="1107"/>
      <c r="E165" s="1107"/>
      <c r="F165" s="1107"/>
    </row>
    <row r="166" spans="1:6" ht="12" customHeight="1">
      <c r="A166" s="1106"/>
      <c r="B166" s="1110"/>
      <c r="C166" s="1107"/>
      <c r="D166" s="1107"/>
      <c r="E166" s="1107"/>
      <c r="F166" s="1107"/>
    </row>
    <row r="167" spans="1:6" ht="12" customHeight="1">
      <c r="A167" s="1106"/>
      <c r="B167" s="1110"/>
      <c r="C167" s="1107"/>
      <c r="D167" s="1107"/>
      <c r="E167" s="1107"/>
      <c r="F167" s="1107"/>
    </row>
    <row r="168" spans="1:6" ht="12" customHeight="1">
      <c r="A168" s="1106"/>
      <c r="B168" s="1110"/>
      <c r="C168" s="1107"/>
      <c r="D168" s="1107"/>
      <c r="E168" s="1107"/>
      <c r="F168" s="1107"/>
    </row>
    <row r="169" spans="1:6" ht="12" customHeight="1">
      <c r="A169" s="1106"/>
      <c r="B169" s="1110"/>
      <c r="C169" s="1107"/>
      <c r="D169" s="1107"/>
      <c r="E169" s="1107"/>
      <c r="F169" s="1107"/>
    </row>
    <row r="170" spans="1:6" ht="12" customHeight="1">
      <c r="A170" s="1106"/>
      <c r="B170" s="1110"/>
      <c r="C170" s="1107"/>
      <c r="D170" s="1107"/>
      <c r="E170" s="1107"/>
      <c r="F170" s="1107"/>
    </row>
    <row r="171" spans="1:6" ht="12" customHeight="1">
      <c r="A171" s="1106"/>
      <c r="B171" s="1110"/>
      <c r="C171" s="1107"/>
      <c r="D171" s="1107"/>
      <c r="E171" s="1107"/>
      <c r="F171" s="1107"/>
    </row>
    <row r="172" spans="1:6" ht="12" customHeight="1">
      <c r="A172" s="1106"/>
      <c r="B172" s="1110"/>
      <c r="C172" s="1107"/>
      <c r="D172" s="1107"/>
      <c r="E172" s="1107"/>
      <c r="F172" s="1107"/>
    </row>
    <row r="173" spans="1:6" ht="12" customHeight="1">
      <c r="A173" s="1106"/>
      <c r="B173" s="1110"/>
      <c r="C173" s="1107"/>
      <c r="D173" s="1107"/>
      <c r="E173" s="1107"/>
      <c r="F173" s="1107"/>
    </row>
    <row r="174" spans="1:6" ht="12" customHeight="1">
      <c r="A174" s="1106"/>
      <c r="B174" s="1110"/>
      <c r="C174" s="1107"/>
      <c r="D174" s="1107"/>
      <c r="E174" s="1107"/>
      <c r="F174" s="1107"/>
    </row>
    <row r="175" spans="1:6" ht="12" customHeight="1">
      <c r="A175" s="1106"/>
      <c r="B175" s="1110"/>
      <c r="C175" s="1107"/>
      <c r="D175" s="1107"/>
      <c r="E175" s="1107"/>
      <c r="F175" s="1107"/>
    </row>
    <row r="176" spans="1:6" ht="12" customHeight="1">
      <c r="A176" s="1106"/>
      <c r="B176" s="1110"/>
      <c r="C176" s="1107"/>
      <c r="D176" s="1107"/>
      <c r="E176" s="1107"/>
      <c r="F176" s="1107"/>
    </row>
    <row r="177" spans="1:6" ht="12" customHeight="1">
      <c r="A177" s="1106"/>
      <c r="B177" s="1110"/>
      <c r="C177" s="1107"/>
      <c r="D177" s="1107"/>
      <c r="E177" s="1107"/>
      <c r="F177" s="1107"/>
    </row>
    <row r="178" spans="1:6" ht="12" customHeight="1">
      <c r="A178" s="1106"/>
      <c r="B178" s="1110"/>
      <c r="C178" s="1107"/>
      <c r="D178" s="1107"/>
      <c r="E178" s="1107"/>
      <c r="F178" s="1107"/>
    </row>
    <row r="179" spans="1:6" ht="12" customHeight="1">
      <c r="A179" s="1106"/>
      <c r="B179" s="1110"/>
      <c r="C179" s="1107"/>
      <c r="D179" s="1107"/>
      <c r="E179" s="1107"/>
      <c r="F179" s="1107"/>
    </row>
    <row r="180" spans="1:6" ht="12" customHeight="1">
      <c r="A180" s="1106"/>
      <c r="B180" s="1110"/>
      <c r="C180" s="1107"/>
      <c r="D180" s="1107"/>
      <c r="E180" s="1107"/>
      <c r="F180" s="1107"/>
    </row>
    <row r="181" spans="1:6" ht="12" customHeight="1">
      <c r="A181" s="1106"/>
      <c r="B181" s="1110"/>
      <c r="C181" s="1107"/>
      <c r="D181" s="1107"/>
      <c r="E181" s="1107"/>
      <c r="F181" s="1107"/>
    </row>
    <row r="182" spans="1:6" ht="12" customHeight="1">
      <c r="A182" s="1106"/>
      <c r="B182" s="1110"/>
      <c r="C182" s="1107"/>
      <c r="D182" s="1107"/>
      <c r="E182" s="1107"/>
      <c r="F182" s="1107"/>
    </row>
    <row r="183" spans="1:6" ht="12" customHeight="1">
      <c r="A183" s="1106"/>
      <c r="B183" s="1110"/>
      <c r="C183" s="1107"/>
      <c r="D183" s="1107"/>
      <c r="E183" s="1107"/>
      <c r="F183" s="1107"/>
    </row>
    <row r="184" spans="1:6" ht="12" customHeight="1">
      <c r="A184" s="1106"/>
      <c r="B184" s="1110"/>
      <c r="C184" s="1107"/>
      <c r="D184" s="1107"/>
      <c r="E184" s="1107"/>
      <c r="F184" s="1107"/>
    </row>
    <row r="185" spans="1:6" ht="12" customHeight="1">
      <c r="A185" s="1106"/>
      <c r="B185" s="1110"/>
      <c r="C185" s="1107"/>
      <c r="D185" s="1107"/>
      <c r="E185" s="1107"/>
      <c r="F185" s="1107"/>
    </row>
    <row r="186" spans="1:6" ht="12" customHeight="1">
      <c r="A186" s="1106"/>
      <c r="B186" s="1110"/>
      <c r="C186" s="1107"/>
      <c r="D186" s="1107"/>
      <c r="E186" s="1107"/>
      <c r="F186" s="1107"/>
    </row>
    <row r="187" spans="1:6" ht="12" customHeight="1">
      <c r="A187" s="1106"/>
      <c r="B187" s="1110"/>
      <c r="C187" s="1107"/>
      <c r="D187" s="1107"/>
      <c r="E187" s="1107"/>
      <c r="F187" s="1107"/>
    </row>
    <row r="188" spans="1:6" ht="12" customHeight="1">
      <c r="A188" s="1106"/>
      <c r="B188" s="1110"/>
      <c r="C188" s="1107"/>
      <c r="D188" s="1107"/>
      <c r="E188" s="1107"/>
      <c r="F188" s="1107"/>
    </row>
    <row r="189" spans="1:6" ht="12" customHeight="1">
      <c r="A189" s="1106"/>
      <c r="B189" s="1110"/>
      <c r="C189" s="1107"/>
      <c r="D189" s="1107"/>
      <c r="E189" s="1107"/>
      <c r="F189" s="1107"/>
    </row>
    <row r="190" spans="1:6" ht="12" customHeight="1">
      <c r="A190" s="1106"/>
      <c r="B190" s="1110"/>
      <c r="C190" s="1107"/>
      <c r="D190" s="1107"/>
      <c r="E190" s="1107"/>
      <c r="F190" s="1107"/>
    </row>
    <row r="191" spans="1:6" ht="12" customHeight="1">
      <c r="A191" s="1106"/>
      <c r="B191" s="1110"/>
      <c r="C191" s="1107"/>
      <c r="D191" s="1107"/>
      <c r="E191" s="1107"/>
      <c r="F191" s="1107"/>
    </row>
    <row r="192" spans="1:6" ht="12" customHeight="1">
      <c r="A192" s="1106"/>
      <c r="B192" s="1110"/>
      <c r="C192" s="1107"/>
      <c r="D192" s="1107"/>
      <c r="E192" s="1107"/>
      <c r="F192" s="1107"/>
    </row>
    <row r="193" spans="1:6" ht="12" customHeight="1">
      <c r="A193" s="1106"/>
      <c r="B193" s="1110"/>
      <c r="C193" s="1107"/>
      <c r="D193" s="1107"/>
      <c r="E193" s="1107"/>
      <c r="F193" s="1107"/>
    </row>
    <row r="194" spans="1:6" ht="12" customHeight="1">
      <c r="A194" s="1106"/>
      <c r="B194" s="1110"/>
      <c r="C194" s="1107"/>
      <c r="D194" s="1107"/>
      <c r="E194" s="1107"/>
      <c r="F194" s="1107"/>
    </row>
    <row r="195" spans="1:6" ht="12" customHeight="1">
      <c r="A195" s="1106"/>
      <c r="B195" s="1110"/>
      <c r="C195" s="1107"/>
      <c r="D195" s="1107"/>
      <c r="E195" s="1107"/>
      <c r="F195" s="1107"/>
    </row>
    <row r="196" spans="1:6" ht="12" customHeight="1">
      <c r="A196" s="1106"/>
      <c r="B196" s="1110"/>
      <c r="C196" s="1107"/>
      <c r="D196" s="1107"/>
      <c r="E196" s="1107"/>
      <c r="F196" s="1107"/>
    </row>
    <row r="197" spans="1:6" ht="12" customHeight="1">
      <c r="A197" s="1106"/>
      <c r="B197" s="1110"/>
      <c r="C197" s="1107"/>
      <c r="D197" s="1107"/>
      <c r="E197" s="1107"/>
      <c r="F197" s="1107"/>
    </row>
    <row r="198" spans="1:6" ht="12" customHeight="1">
      <c r="A198" s="1106"/>
      <c r="B198" s="1110"/>
      <c r="C198" s="1107"/>
      <c r="D198" s="1107"/>
      <c r="E198" s="1107"/>
      <c r="F198" s="1107"/>
    </row>
    <row r="199" spans="1:6" ht="12" customHeight="1">
      <c r="A199" s="1106"/>
      <c r="B199" s="1110"/>
      <c r="C199" s="1107"/>
      <c r="D199" s="1107"/>
      <c r="E199" s="1107"/>
      <c r="F199" s="1107"/>
    </row>
    <row r="200" spans="1:6" ht="12" customHeight="1">
      <c r="A200" s="1106"/>
      <c r="B200" s="1110"/>
      <c r="C200" s="1107"/>
      <c r="D200" s="1107"/>
      <c r="E200" s="1107"/>
      <c r="F200" s="1107"/>
    </row>
    <row r="201" spans="1:6" ht="12" customHeight="1">
      <c r="A201" s="1106"/>
      <c r="B201" s="1110"/>
      <c r="C201" s="1107"/>
      <c r="D201" s="1107"/>
      <c r="E201" s="1107"/>
      <c r="F201" s="1107"/>
    </row>
    <row r="202" spans="1:6" ht="12" customHeight="1">
      <c r="A202" s="1106"/>
      <c r="B202" s="1110"/>
      <c r="C202" s="1107"/>
      <c r="D202" s="1107"/>
      <c r="E202" s="1107"/>
      <c r="F202" s="1107"/>
    </row>
    <row r="203" spans="1:6" ht="12" customHeight="1">
      <c r="A203" s="1106"/>
      <c r="B203" s="1110"/>
      <c r="C203" s="1107"/>
      <c r="D203" s="1107"/>
      <c r="E203" s="1107"/>
      <c r="F203" s="1107"/>
    </row>
    <row r="204" spans="1:6" ht="12" customHeight="1">
      <c r="A204" s="1106"/>
      <c r="B204" s="1110"/>
      <c r="C204" s="1107"/>
      <c r="D204" s="1107"/>
      <c r="E204" s="1107"/>
      <c r="F204" s="1107"/>
    </row>
    <row r="205" spans="1:6" ht="12" customHeight="1">
      <c r="A205" s="1106"/>
      <c r="B205" s="1110"/>
      <c r="C205" s="1107"/>
      <c r="D205" s="1107"/>
      <c r="E205" s="1107"/>
      <c r="F205" s="1107"/>
    </row>
    <row r="206" spans="1:6" ht="12" customHeight="1">
      <c r="A206" s="1106"/>
      <c r="B206" s="1110"/>
      <c r="C206" s="1107"/>
      <c r="D206" s="1107"/>
      <c r="E206" s="1107"/>
      <c r="F206" s="1107"/>
    </row>
    <row r="207" spans="1:6" ht="12" customHeight="1">
      <c r="A207" s="1106"/>
      <c r="B207" s="1110"/>
      <c r="C207" s="1107"/>
      <c r="D207" s="1107"/>
      <c r="E207" s="1107"/>
      <c r="F207" s="1107"/>
    </row>
    <row r="208" spans="1:6" ht="12" customHeight="1">
      <c r="A208" s="1106"/>
      <c r="B208" s="1110"/>
      <c r="C208" s="1107"/>
      <c r="D208" s="1107"/>
      <c r="E208" s="1107"/>
      <c r="F208" s="1107"/>
    </row>
    <row r="209" spans="1:6" ht="12" customHeight="1">
      <c r="A209" s="1106"/>
      <c r="B209" s="1110"/>
      <c r="C209" s="1107"/>
      <c r="D209" s="1107"/>
      <c r="E209" s="1107"/>
      <c r="F209" s="1107"/>
    </row>
    <row r="210" spans="1:6" ht="12" customHeight="1">
      <c r="A210" s="1106"/>
      <c r="B210" s="1110"/>
      <c r="C210" s="1107"/>
      <c r="D210" s="1107"/>
      <c r="E210" s="1107"/>
      <c r="F210" s="1107"/>
    </row>
    <row r="211" spans="1:6" ht="12" customHeight="1">
      <c r="A211" s="1106"/>
      <c r="B211" s="1110"/>
      <c r="C211" s="1107"/>
      <c r="D211" s="1107"/>
      <c r="E211" s="1107"/>
      <c r="F211" s="1107"/>
    </row>
    <row r="212" spans="1:6" ht="12" customHeight="1">
      <c r="A212" s="1106"/>
      <c r="B212" s="1110"/>
      <c r="C212" s="1107"/>
      <c r="D212" s="1107"/>
      <c r="E212" s="1107"/>
      <c r="F212" s="1107"/>
    </row>
    <row r="213" spans="1:6" ht="12" customHeight="1">
      <c r="A213" s="1106"/>
      <c r="B213" s="1110"/>
      <c r="C213" s="1107"/>
      <c r="D213" s="1107"/>
      <c r="E213" s="1107"/>
      <c r="F213" s="1107"/>
    </row>
    <row r="214" spans="1:6" ht="12" customHeight="1">
      <c r="A214" s="1106"/>
      <c r="B214" s="1110"/>
      <c r="C214" s="1107"/>
      <c r="D214" s="1107"/>
      <c r="E214" s="1107"/>
      <c r="F214" s="1107"/>
    </row>
    <row r="215" spans="1:6" ht="12" customHeight="1">
      <c r="A215" s="1106"/>
      <c r="B215" s="1110"/>
      <c r="C215" s="1107"/>
      <c r="D215" s="1107"/>
      <c r="E215" s="1107"/>
      <c r="F215" s="1107"/>
    </row>
    <row r="216" spans="1:6" ht="12" customHeight="1">
      <c r="A216" s="1106"/>
      <c r="B216" s="1110"/>
      <c r="C216" s="1107"/>
      <c r="D216" s="1107"/>
      <c r="E216" s="1107"/>
      <c r="F216" s="1107"/>
    </row>
    <row r="217" spans="1:6" ht="12" customHeight="1">
      <c r="A217" s="1106"/>
      <c r="B217" s="1110"/>
      <c r="C217" s="1107"/>
      <c r="D217" s="1107"/>
      <c r="E217" s="1107"/>
      <c r="F217" s="1107"/>
    </row>
    <row r="218" spans="1:6" ht="12" customHeight="1">
      <c r="A218" s="1106"/>
      <c r="B218" s="1110"/>
      <c r="C218" s="1107"/>
      <c r="D218" s="1107"/>
      <c r="E218" s="1107"/>
      <c r="F218" s="1107"/>
    </row>
    <row r="219" spans="1:6" ht="12" customHeight="1">
      <c r="A219" s="1106"/>
      <c r="B219" s="1110"/>
      <c r="C219" s="1107"/>
      <c r="D219" s="1107"/>
      <c r="E219" s="1107"/>
      <c r="F219" s="1107"/>
    </row>
    <row r="220" spans="1:6" ht="12" customHeight="1">
      <c r="A220" s="1106"/>
      <c r="B220" s="1110"/>
      <c r="C220" s="1107"/>
      <c r="D220" s="1107"/>
      <c r="E220" s="1107"/>
      <c r="F220" s="1107"/>
    </row>
    <row r="221" spans="1:6" ht="12" customHeight="1">
      <c r="A221" s="1106"/>
      <c r="B221" s="1110"/>
      <c r="C221" s="1107"/>
      <c r="D221" s="1107"/>
      <c r="E221" s="1107"/>
      <c r="F221" s="1107"/>
    </row>
    <row r="222" spans="1:6" ht="12" customHeight="1">
      <c r="A222" s="1106"/>
      <c r="B222" s="1110"/>
      <c r="C222" s="1107"/>
      <c r="D222" s="1107"/>
      <c r="E222" s="1107"/>
      <c r="F222" s="1107"/>
    </row>
    <row r="223" spans="1:6" ht="12" customHeight="1">
      <c r="A223" s="1106"/>
      <c r="B223" s="1110"/>
      <c r="C223" s="1107"/>
      <c r="D223" s="1107"/>
      <c r="E223" s="1107"/>
      <c r="F223" s="1107"/>
    </row>
    <row r="224" spans="1:6" ht="12" customHeight="1">
      <c r="A224" s="1106"/>
      <c r="B224" s="1110"/>
      <c r="C224" s="1107"/>
      <c r="D224" s="1107"/>
      <c r="E224" s="1107"/>
      <c r="F224" s="1107"/>
    </row>
    <row r="225" spans="1:6" ht="12" customHeight="1">
      <c r="A225" s="1106"/>
      <c r="B225" s="1110"/>
      <c r="C225" s="1107"/>
      <c r="D225" s="1107"/>
      <c r="E225" s="1107"/>
      <c r="F225" s="1107"/>
    </row>
    <row r="226" spans="1:6" ht="12" customHeight="1">
      <c r="A226" s="1106"/>
      <c r="B226" s="1110"/>
      <c r="C226" s="1107"/>
      <c r="D226" s="1107"/>
      <c r="E226" s="1107"/>
      <c r="F226" s="1107"/>
    </row>
    <row r="227" spans="1:6" ht="12" customHeight="1">
      <c r="A227" s="1106"/>
      <c r="B227" s="1110"/>
      <c r="C227" s="1107"/>
      <c r="D227" s="1107"/>
      <c r="E227" s="1107"/>
      <c r="F227" s="1107"/>
    </row>
    <row r="228" spans="1:6" ht="12" customHeight="1">
      <c r="A228" s="1106"/>
      <c r="B228" s="1110"/>
      <c r="C228" s="1107"/>
      <c r="D228" s="1107"/>
      <c r="E228" s="1107"/>
      <c r="F228" s="1107"/>
    </row>
    <row r="229" spans="1:6" ht="12" customHeight="1">
      <c r="A229" s="1106"/>
      <c r="B229" s="1110"/>
      <c r="C229" s="1107"/>
      <c r="D229" s="1107"/>
      <c r="E229" s="1107"/>
      <c r="F229" s="1107"/>
    </row>
    <row r="230" spans="1:6" ht="12" customHeight="1">
      <c r="A230" s="1106"/>
      <c r="B230" s="1110"/>
      <c r="C230" s="1107"/>
      <c r="D230" s="1107"/>
      <c r="E230" s="1107"/>
      <c r="F230" s="1107"/>
    </row>
    <row r="231" spans="1:6" ht="12" customHeight="1">
      <c r="A231" s="1106"/>
      <c r="B231" s="1110"/>
      <c r="C231" s="1107"/>
      <c r="D231" s="1107"/>
      <c r="E231" s="1107"/>
      <c r="F231" s="1107"/>
    </row>
    <row r="232" spans="1:6" ht="12" customHeight="1">
      <c r="A232" s="1106"/>
      <c r="B232" s="1110"/>
      <c r="C232" s="1107"/>
      <c r="D232" s="1107"/>
      <c r="E232" s="1107"/>
      <c r="F232" s="1107"/>
    </row>
  </sheetData>
  <sheetProtection algorithmName="SHA-512" hashValue="3OAXPD+Eg4ApKjWhDDTMbf9JY+XJfQlw95tXRPMjxBStEW79N8kyhHgwR22I5oIrSzdkOJl/ygAXvweQZT8EVw==" saltValue="ptOQ9ulCldvqHZefjsd8Aw==" spinCount="100000" sheet="1" objects="1" scenarios="1"/>
  <mergeCells count="1">
    <mergeCell ref="A119:E119"/>
  </mergeCells>
  <phoneticPr fontId="10" type="noConversion"/>
  <dataValidations count="4">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zero." sqref="C10:D10 C106:E107 C19:E19 C39:E43 C45:E47 C49:E53 C66:E67 C69:E77 C80:E81 C36:E37 C83:E91 E15:E17 E13 C13:C17 D13 D15:D17">
      <formula1>0</formula1>
    </dataValidation>
    <dataValidation type="whole" operator="greaterThanOrEqual" showInputMessage="1" showErrorMessage="1" errorTitle="Invalid Data Entry" error="Please enter a positive number or press the delete key or enter a zero." sqref="C94:E95 C97:E105">
      <formula1>0</formula1>
    </dataValidation>
    <dataValidation operator="greaterThanOrEqual" errorTitle="Invalid Data Entry " error="Please enter a positive number or press the delete key or enter zero." sqref="E14"/>
  </dataValidations>
  <hyperlinks>
    <hyperlink ref="G1" location="Contents!F1" display="Return to Contents page"/>
  </hyperlinks>
  <printOptions horizontalCentered="1"/>
  <pageMargins left="0.25" right="0.25" top="0.19" bottom="0.19" header="0.5" footer="0.5"/>
  <pageSetup orientation="portrait" blackAndWhite="1" r:id="rId1"/>
  <headerFooter alignWithMargins="0">
    <oddFooter>&amp;L&amp;D     &amp;T&amp;CCode No. 28&amp;RPage &amp;P</oddFooter>
  </headerFooter>
  <rowBreaks count="1" manualBreakCount="1">
    <brk id="55" max="4"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sheetPr>
  <dimension ref="A1:Q260"/>
  <sheetViews>
    <sheetView topLeftCell="A21" zoomScaleNormal="100" workbookViewId="0">
      <selection activeCell="E44" sqref="E44"/>
    </sheetView>
  </sheetViews>
  <sheetFormatPr defaultColWidth="10.7109375" defaultRowHeight="12" customHeight="1"/>
  <cols>
    <col min="1" max="1" width="41.5703125" style="1178" customWidth="1"/>
    <col min="2" max="2" width="4.85546875" style="1254" customWidth="1"/>
    <col min="3" max="3" width="16.85546875" style="1172" customWidth="1"/>
    <col min="4" max="4" width="17.28515625" style="1172" customWidth="1"/>
    <col min="5" max="5" width="17.140625" style="1172" customWidth="1"/>
    <col min="6" max="6" width="2.28515625" style="1172" customWidth="1"/>
    <col min="7" max="7" width="21" style="1172" customWidth="1"/>
    <col min="8" max="16384" width="10.7109375" style="1172"/>
  </cols>
  <sheetData>
    <row r="1" spans="1:17" ht="12" customHeight="1">
      <c r="A1" s="1169" t="s">
        <v>1019</v>
      </c>
      <c r="B1" s="1170">
        <f>OPEN!$B$4</f>
        <v>270</v>
      </c>
      <c r="C1" s="1171"/>
      <c r="D1" s="1171"/>
      <c r="E1" s="1169" t="s">
        <v>1020</v>
      </c>
      <c r="F1" s="1171"/>
      <c r="G1" s="3013" t="s">
        <v>866</v>
      </c>
    </row>
    <row r="2" spans="1:17" ht="12" customHeight="1">
      <c r="A2" s="1171"/>
      <c r="B2" s="1173"/>
      <c r="C2" s="1171"/>
      <c r="D2" s="1171"/>
      <c r="E2" s="1169" t="s">
        <v>1212</v>
      </c>
      <c r="F2" s="1171"/>
    </row>
    <row r="3" spans="1:17" ht="12" customHeight="1">
      <c r="A3" s="1171"/>
      <c r="B3" s="1173"/>
      <c r="C3" s="1171"/>
      <c r="D3" s="1171"/>
      <c r="E3" s="1169" t="str">
        <f>OPEN!N2</f>
        <v>2016-2017</v>
      </c>
      <c r="F3" s="1171"/>
    </row>
    <row r="4" spans="1:17" ht="5.0999999999999996" customHeight="1">
      <c r="A4" s="1171"/>
      <c r="B4" s="1173"/>
      <c r="C4" s="1171"/>
      <c r="D4" s="1171"/>
      <c r="E4" s="1171"/>
      <c r="F4" s="1171"/>
    </row>
    <row r="5" spans="1:17" ht="12" customHeight="1">
      <c r="A5" s="1171"/>
      <c r="B5" s="1173"/>
      <c r="C5" s="1174" t="s">
        <v>1213</v>
      </c>
      <c r="D5" s="1174" t="s">
        <v>1213</v>
      </c>
      <c r="E5" s="1174" t="s">
        <v>1213</v>
      </c>
      <c r="F5" s="1171"/>
    </row>
    <row r="6" spans="1:17" ht="12" customHeight="1">
      <c r="A6" s="1175"/>
      <c r="B6" s="1176" t="s">
        <v>1045</v>
      </c>
      <c r="C6" s="1177" t="str">
        <f>OPEN!N4</f>
        <v>2014-2015</v>
      </c>
      <c r="D6" s="1177" t="str">
        <f>OPEN!O4</f>
        <v>2015-2016</v>
      </c>
      <c r="E6" s="1177" t="str">
        <f>OPEN!P4</f>
        <v>2016-2017</v>
      </c>
      <c r="F6" s="1171"/>
      <c r="K6" s="1178"/>
      <c r="L6" s="1178"/>
      <c r="M6" s="1178"/>
      <c r="N6" s="1179"/>
      <c r="O6" s="1178"/>
      <c r="P6" s="1178"/>
      <c r="Q6" s="1178"/>
    </row>
    <row r="7" spans="1:17" ht="12" customHeight="1">
      <c r="A7" s="1175" t="s">
        <v>376</v>
      </c>
      <c r="B7" s="1180">
        <v>29</v>
      </c>
      <c r="C7" s="1181" t="s">
        <v>1139</v>
      </c>
      <c r="D7" s="1181" t="s">
        <v>1139</v>
      </c>
      <c r="E7" s="1181" t="s">
        <v>1215</v>
      </c>
      <c r="F7" s="1171"/>
      <c r="N7" s="1178"/>
      <c r="O7" s="1182"/>
      <c r="P7" s="1182"/>
      <c r="Q7" s="1182"/>
    </row>
    <row r="8" spans="1:17" ht="12" customHeight="1">
      <c r="A8" s="1183"/>
      <c r="B8" s="1184" t="s">
        <v>1051</v>
      </c>
      <c r="C8" s="1185">
        <v>1</v>
      </c>
      <c r="D8" s="1185">
        <v>2</v>
      </c>
      <c r="E8" s="1185">
        <v>3</v>
      </c>
      <c r="F8" s="1171"/>
      <c r="N8" s="1178"/>
      <c r="O8" s="1182"/>
      <c r="P8" s="1182"/>
      <c r="Q8" s="1182"/>
    </row>
    <row r="9" spans="1:17" ht="12" customHeight="1">
      <c r="A9" s="1186" t="s">
        <v>1402</v>
      </c>
      <c r="B9" s="1187">
        <v>1</v>
      </c>
      <c r="C9" s="2514">
        <v>14137</v>
      </c>
      <c r="D9" s="1190">
        <f>C28</f>
        <v>27245</v>
      </c>
      <c r="E9" s="2521">
        <f>D28</f>
        <v>18752</v>
      </c>
      <c r="F9" s="1191"/>
      <c r="N9" s="1178"/>
      <c r="O9" s="1182"/>
      <c r="P9" s="1182"/>
      <c r="Q9" s="1182"/>
    </row>
    <row r="10" spans="1:17" ht="12" customHeight="1">
      <c r="A10" s="1192" t="s">
        <v>73</v>
      </c>
      <c r="B10" s="1193">
        <v>3</v>
      </c>
      <c r="C10" s="2515"/>
      <c r="D10" s="1194"/>
      <c r="E10" s="2516"/>
      <c r="F10" s="1191"/>
      <c r="N10" s="1178"/>
      <c r="O10" s="1182"/>
      <c r="P10" s="1182"/>
      <c r="Q10" s="1182"/>
    </row>
    <row r="11" spans="1:17" ht="12" customHeight="1">
      <c r="A11" s="1195" t="s">
        <v>19</v>
      </c>
      <c r="B11" s="2891"/>
      <c r="C11" s="2516"/>
      <c r="D11" s="1197"/>
      <c r="E11" s="2516"/>
      <c r="F11" s="1191"/>
      <c r="N11" s="1178"/>
      <c r="O11" s="1182"/>
      <c r="P11" s="1182"/>
      <c r="Q11" s="1182"/>
    </row>
    <row r="12" spans="1:17" ht="12" customHeight="1">
      <c r="A12" s="1192" t="s">
        <v>20</v>
      </c>
      <c r="B12" s="2892"/>
      <c r="C12" s="2516"/>
      <c r="D12" s="1197"/>
      <c r="E12" s="2516"/>
      <c r="F12" s="1191"/>
      <c r="N12" s="1178"/>
      <c r="O12" s="1182"/>
      <c r="P12" s="1182"/>
      <c r="Q12" s="1182"/>
    </row>
    <row r="13" spans="1:17" ht="12" customHeight="1">
      <c r="A13" s="1192" t="s">
        <v>74</v>
      </c>
      <c r="B13" s="2892"/>
      <c r="C13" s="2516"/>
      <c r="D13" s="1197"/>
      <c r="E13" s="2516"/>
      <c r="F13" s="1191"/>
      <c r="N13" s="1178"/>
      <c r="O13" s="1178"/>
      <c r="P13" s="1178"/>
      <c r="Q13" s="1178"/>
    </row>
    <row r="14" spans="1:17" ht="12" customHeight="1">
      <c r="A14" s="1186" t="s">
        <v>377</v>
      </c>
      <c r="B14" s="2893">
        <v>5</v>
      </c>
      <c r="C14" s="2515"/>
      <c r="D14" s="1194"/>
      <c r="E14" s="2515"/>
      <c r="F14" s="1191"/>
      <c r="N14" s="1179"/>
      <c r="O14" s="1178"/>
      <c r="P14" s="1178"/>
      <c r="Q14" s="1178"/>
    </row>
    <row r="15" spans="1:17" ht="12" customHeight="1">
      <c r="A15" s="1186" t="s">
        <v>378</v>
      </c>
      <c r="B15" s="1198">
        <v>10</v>
      </c>
      <c r="C15" s="2514"/>
      <c r="D15" s="1188"/>
      <c r="E15" s="2514"/>
      <c r="F15" s="1191"/>
      <c r="N15" s="1178"/>
      <c r="O15" s="1199"/>
      <c r="P15" s="1199"/>
      <c r="Q15" s="1199"/>
    </row>
    <row r="16" spans="1:17" ht="12" customHeight="1">
      <c r="A16" s="1186" t="s">
        <v>379</v>
      </c>
      <c r="B16" s="1187">
        <v>15</v>
      </c>
      <c r="C16" s="2515"/>
      <c r="D16" s="1194"/>
      <c r="E16" s="2515"/>
      <c r="F16" s="1191"/>
      <c r="N16" s="1178"/>
      <c r="O16" s="1199"/>
      <c r="P16" s="1199"/>
      <c r="Q16" s="1199"/>
    </row>
    <row r="17" spans="1:17" ht="12" customHeight="1">
      <c r="A17" s="1195" t="s">
        <v>399</v>
      </c>
      <c r="B17" s="1196">
        <v>20</v>
      </c>
      <c r="C17" s="2517"/>
      <c r="D17" s="4995" t="s">
        <v>54</v>
      </c>
      <c r="E17" s="4169" t="s">
        <v>1431</v>
      </c>
      <c r="F17" s="1191"/>
      <c r="N17" s="1178"/>
      <c r="O17" s="1199"/>
      <c r="P17" s="1199"/>
      <c r="Q17" s="1199"/>
    </row>
    <row r="18" spans="1:17" ht="12" customHeight="1">
      <c r="A18" s="1195" t="s">
        <v>1461</v>
      </c>
      <c r="B18" s="1196">
        <v>25</v>
      </c>
      <c r="C18" s="2517"/>
      <c r="D18" s="1200"/>
      <c r="E18" s="2517"/>
      <c r="F18" s="1191"/>
      <c r="N18" s="1178"/>
      <c r="O18" s="1199"/>
      <c r="P18" s="1199"/>
      <c r="Q18" s="1199"/>
    </row>
    <row r="19" spans="1:17" ht="12" customHeight="1">
      <c r="A19" s="1195" t="s">
        <v>325</v>
      </c>
      <c r="B19" s="1196"/>
      <c r="C19" s="2518"/>
      <c r="D19" s="1201"/>
      <c r="E19" s="2518"/>
      <c r="F19" s="1191"/>
      <c r="N19" s="1178"/>
      <c r="O19" s="1199"/>
      <c r="P19" s="1199"/>
      <c r="Q19" s="1199"/>
    </row>
    <row r="20" spans="1:17" ht="12" customHeight="1">
      <c r="A20" s="3414" t="s">
        <v>1536</v>
      </c>
      <c r="B20" s="1184">
        <v>30</v>
      </c>
      <c r="C20" s="4274"/>
      <c r="D20" s="3801"/>
      <c r="E20" s="4275"/>
      <c r="F20" s="1191"/>
      <c r="N20" s="1178"/>
      <c r="O20" s="1199"/>
      <c r="P20" s="1199"/>
      <c r="Q20" s="1199"/>
    </row>
    <row r="21" spans="1:17" ht="12" customHeight="1">
      <c r="A21" s="1186" t="s">
        <v>1098</v>
      </c>
      <c r="B21" s="1187">
        <v>35</v>
      </c>
      <c r="C21" s="2515"/>
      <c r="D21" s="1194"/>
      <c r="E21" s="2515"/>
      <c r="F21" s="1191"/>
      <c r="N21" s="1178"/>
      <c r="O21" s="1178"/>
      <c r="P21" s="1178"/>
      <c r="Q21" s="1178"/>
    </row>
    <row r="22" spans="1:17" ht="12" customHeight="1">
      <c r="A22" s="1192" t="s">
        <v>79</v>
      </c>
      <c r="B22" s="1193"/>
      <c r="C22" s="2516"/>
      <c r="D22" s="1197"/>
      <c r="E22" s="2516"/>
      <c r="F22" s="1191"/>
      <c r="N22" s="1178"/>
      <c r="O22" s="1199"/>
      <c r="P22" s="1199"/>
      <c r="Q22" s="1199"/>
    </row>
    <row r="23" spans="1:17" ht="12" customHeight="1">
      <c r="A23" s="1186" t="s">
        <v>400</v>
      </c>
      <c r="B23" s="1187">
        <v>40</v>
      </c>
      <c r="C23" s="2519">
        <f>'C06'!$C$347</f>
        <v>0</v>
      </c>
      <c r="D23" s="1202">
        <f>'C06'!$D$347</f>
        <v>0</v>
      </c>
      <c r="E23" s="2519">
        <f>'C06'!$E$347</f>
        <v>0</v>
      </c>
      <c r="F23" s="1191"/>
    </row>
    <row r="24" spans="1:17" ht="12" customHeight="1">
      <c r="A24" s="1186" t="s">
        <v>1243</v>
      </c>
      <c r="B24" s="1187">
        <v>45</v>
      </c>
      <c r="C24" s="2519">
        <f>'C08'!$C$316</f>
        <v>30000</v>
      </c>
      <c r="D24" s="1202">
        <f>'C08'!$D$316</f>
        <v>0</v>
      </c>
      <c r="E24" s="2519">
        <f>'C08'!$E$316</f>
        <v>0</v>
      </c>
      <c r="F24" s="1191"/>
    </row>
    <row r="25" spans="1:17" ht="12" customHeight="1">
      <c r="A25" s="1195" t="s">
        <v>50</v>
      </c>
      <c r="B25" s="1198">
        <v>50</v>
      </c>
      <c r="C25" s="2520">
        <f>'C053'!$D$270</f>
        <v>0</v>
      </c>
      <c r="D25" s="1203">
        <f>'C053'!$D$270</f>
        <v>0</v>
      </c>
      <c r="E25" s="1189" t="s">
        <v>1431</v>
      </c>
      <c r="F25" s="1191"/>
    </row>
    <row r="26" spans="1:17" ht="12" customHeight="1">
      <c r="A26" s="1204" t="s">
        <v>52</v>
      </c>
      <c r="B26" s="1198">
        <v>170</v>
      </c>
      <c r="C26" s="2521">
        <f>SUM(C9:C25)</f>
        <v>44137</v>
      </c>
      <c r="D26" s="1190">
        <f>SUM(D9:D25)</f>
        <v>27245</v>
      </c>
      <c r="E26" s="2521">
        <f>SUM(E9:E25)</f>
        <v>18752</v>
      </c>
      <c r="F26" s="1191"/>
    </row>
    <row r="27" spans="1:17" ht="12" customHeight="1">
      <c r="A27" s="1186" t="s">
        <v>53</v>
      </c>
      <c r="B27" s="1187">
        <v>175</v>
      </c>
      <c r="C27" s="2519">
        <f>C184</f>
        <v>16892</v>
      </c>
      <c r="D27" s="1202">
        <f>D184</f>
        <v>8493</v>
      </c>
      <c r="E27" s="2519">
        <f>IF(E184&lt;=E26,E184,"ERROR")</f>
        <v>17060</v>
      </c>
      <c r="F27" s="1191"/>
      <c r="G27" s="3103" t="str">
        <f>IF(E27="ERROR","Expenditures must be less than or equal to the Resources Available","")</f>
        <v/>
      </c>
      <c r="H27" s="1205"/>
    </row>
    <row r="28" spans="1:17" ht="12" customHeight="1">
      <c r="A28" s="1206" t="s">
        <v>290</v>
      </c>
      <c r="B28" s="1207">
        <v>190</v>
      </c>
      <c r="C28" s="2521">
        <f>SUM(C26-C27)</f>
        <v>27245</v>
      </c>
      <c r="D28" s="1190">
        <f>SUM(D26-D27)</f>
        <v>18752</v>
      </c>
      <c r="E28" s="2619">
        <f>IF(ISERROR(E26-E27),"NEGATIVE",E26-E27)</f>
        <v>1692</v>
      </c>
      <c r="F28" s="1191"/>
      <c r="G28" s="3537"/>
      <c r="H28" s="1205"/>
    </row>
    <row r="29" spans="1:17" ht="12.75" customHeight="1">
      <c r="A29" s="3515"/>
      <c r="B29" s="3516"/>
      <c r="C29" s="3517"/>
      <c r="D29" s="3517"/>
      <c r="E29" s="3518"/>
      <c r="F29" s="1191"/>
      <c r="G29" s="1205"/>
      <c r="H29" s="1205"/>
    </row>
    <row r="30" spans="1:17" s="1191" customFormat="1" ht="12.75" customHeight="1">
      <c r="A30"/>
      <c r="B30"/>
      <c r="C30"/>
      <c r="D30"/>
      <c r="E30"/>
    </row>
    <row r="31" spans="1:17" ht="12" customHeight="1">
      <c r="A31" s="1209"/>
      <c r="B31" s="1212"/>
      <c r="C31" s="1213" t="s">
        <v>1213</v>
      </c>
      <c r="D31" s="1213" t="s">
        <v>1213</v>
      </c>
      <c r="E31" s="1213" t="s">
        <v>1213</v>
      </c>
      <c r="F31" s="1211"/>
    </row>
    <row r="32" spans="1:17" ht="12" customHeight="1">
      <c r="A32" s="1214"/>
      <c r="B32" s="1215" t="s">
        <v>1045</v>
      </c>
      <c r="C32" s="1243" t="str">
        <f>C6</f>
        <v>2014-2015</v>
      </c>
      <c r="D32" s="1243" t="str">
        <f>D6</f>
        <v>2015-2016</v>
      </c>
      <c r="E32" s="1243" t="str">
        <f>E6</f>
        <v>2016-2017</v>
      </c>
      <c r="F32" s="1211"/>
    </row>
    <row r="33" spans="1:6" ht="12" customHeight="1">
      <c r="A33" s="1214" t="s">
        <v>401</v>
      </c>
      <c r="B33" s="1216">
        <v>29</v>
      </c>
      <c r="C33" s="1217" t="s">
        <v>1139</v>
      </c>
      <c r="D33" s="1217" t="s">
        <v>1139</v>
      </c>
      <c r="E33" s="1217" t="s">
        <v>1215</v>
      </c>
      <c r="F33" s="1211"/>
    </row>
    <row r="34" spans="1:6" ht="12" customHeight="1">
      <c r="A34" s="1218"/>
      <c r="B34" s="1219" t="s">
        <v>1051</v>
      </c>
      <c r="C34" s="1220">
        <v>1</v>
      </c>
      <c r="D34" s="1220">
        <v>2</v>
      </c>
      <c r="E34" s="1220">
        <v>3</v>
      </c>
      <c r="F34" s="1211"/>
    </row>
    <row r="35" spans="1:6" ht="11.85" customHeight="1">
      <c r="A35" s="1221" t="s">
        <v>82</v>
      </c>
      <c r="B35" s="1222"/>
      <c r="C35" s="1224"/>
      <c r="D35" s="1236"/>
      <c r="E35" s="1224"/>
      <c r="F35" s="1211"/>
    </row>
    <row r="36" spans="1:6" ht="11.85" customHeight="1">
      <c r="A36" s="1225" t="s">
        <v>1309</v>
      </c>
      <c r="B36" s="1226"/>
      <c r="C36" s="1227"/>
      <c r="D36" s="1223"/>
      <c r="E36" s="1227"/>
      <c r="F36" s="1211"/>
    </row>
    <row r="37" spans="1:6" ht="11.85" customHeight="1">
      <c r="A37" s="1228" t="s">
        <v>1347</v>
      </c>
      <c r="B37" s="1229">
        <v>210</v>
      </c>
      <c r="C37" s="1230">
        <v>14150</v>
      </c>
      <c r="D37" s="1237">
        <v>7781</v>
      </c>
      <c r="E37" s="1230">
        <v>12000</v>
      </c>
      <c r="F37" s="1211"/>
    </row>
    <row r="38" spans="1:6" ht="11.85" customHeight="1">
      <c r="A38" s="1231" t="s">
        <v>1270</v>
      </c>
      <c r="B38" s="1232">
        <v>215</v>
      </c>
      <c r="C38" s="1233"/>
      <c r="D38" s="1238"/>
      <c r="E38" s="1233"/>
      <c r="F38" s="1211"/>
    </row>
    <row r="39" spans="1:6" ht="11.85" customHeight="1">
      <c r="A39" s="1234" t="s">
        <v>1310</v>
      </c>
      <c r="B39" s="1235"/>
      <c r="C39" s="1224"/>
      <c r="D39" s="1236"/>
      <c r="E39" s="1224"/>
      <c r="F39" s="1211"/>
    </row>
    <row r="40" spans="1:6" ht="11.85" customHeight="1">
      <c r="A40" s="1228" t="s">
        <v>1311</v>
      </c>
      <c r="B40" s="1229">
        <v>220</v>
      </c>
      <c r="C40" s="1230"/>
      <c r="D40" s="1237"/>
      <c r="E40" s="1230"/>
      <c r="F40" s="1211"/>
    </row>
    <row r="41" spans="1:6" ht="11.85" customHeight="1">
      <c r="A41" s="1231" t="s">
        <v>1314</v>
      </c>
      <c r="B41" s="1232">
        <v>225</v>
      </c>
      <c r="C41" s="1233">
        <v>1082</v>
      </c>
      <c r="D41" s="1238">
        <v>595</v>
      </c>
      <c r="E41" s="1233">
        <v>1000</v>
      </c>
      <c r="F41" s="1211"/>
    </row>
    <row r="42" spans="1:6" ht="11.85" customHeight="1">
      <c r="A42" s="1231" t="s">
        <v>1315</v>
      </c>
      <c r="B42" s="1232">
        <v>230</v>
      </c>
      <c r="C42" s="1233">
        <v>58</v>
      </c>
      <c r="D42" s="1238">
        <v>32</v>
      </c>
      <c r="E42" s="1233">
        <v>60</v>
      </c>
      <c r="F42" s="1211"/>
    </row>
    <row r="43" spans="1:6" ht="11.85" customHeight="1">
      <c r="A43" s="1228" t="s">
        <v>273</v>
      </c>
      <c r="B43" s="1229">
        <v>235</v>
      </c>
      <c r="C43" s="1230">
        <v>1000</v>
      </c>
      <c r="D43" s="1237">
        <v>18</v>
      </c>
      <c r="E43" s="1230">
        <v>2000</v>
      </c>
      <c r="F43" s="1211"/>
    </row>
    <row r="44" spans="1:6" ht="11.85" customHeight="1">
      <c r="A44" s="2995" t="s">
        <v>711</v>
      </c>
      <c r="B44" s="2996">
        <v>237</v>
      </c>
      <c r="C44" s="2522"/>
      <c r="D44" s="1250"/>
      <c r="E44" s="2522"/>
      <c r="F44" s="1211"/>
    </row>
    <row r="45" spans="1:6" ht="11.85" customHeight="1">
      <c r="A45" s="1234" t="s">
        <v>1327</v>
      </c>
      <c r="B45" s="1235"/>
      <c r="C45" s="1224"/>
      <c r="D45" s="1236"/>
      <c r="E45" s="1224"/>
      <c r="F45" s="1211"/>
    </row>
    <row r="46" spans="1:6" ht="11.85" customHeight="1">
      <c r="A46" s="1239" t="s">
        <v>83</v>
      </c>
      <c r="B46" s="1240"/>
      <c r="C46" s="1227"/>
      <c r="D46" s="1223"/>
      <c r="E46" s="1227"/>
      <c r="F46" s="1211"/>
    </row>
    <row r="47" spans="1:6" ht="11.85" customHeight="1">
      <c r="A47" s="1228" t="s">
        <v>99</v>
      </c>
      <c r="B47" s="1229">
        <v>240</v>
      </c>
      <c r="C47" s="1230"/>
      <c r="D47" s="1237"/>
      <c r="E47" s="1230"/>
      <c r="F47" s="1211"/>
    </row>
    <row r="48" spans="1:6" ht="11.85" customHeight="1">
      <c r="A48" s="1228" t="s">
        <v>402</v>
      </c>
      <c r="B48" s="1229">
        <v>245</v>
      </c>
      <c r="C48" s="1230"/>
      <c r="D48" s="1237"/>
      <c r="E48" s="1230"/>
      <c r="F48" s="1211"/>
    </row>
    <row r="49" spans="1:6" ht="11.85" customHeight="1">
      <c r="A49" s="1231" t="s">
        <v>306</v>
      </c>
      <c r="B49" s="1232">
        <v>250</v>
      </c>
      <c r="C49" s="1233"/>
      <c r="D49" s="1238"/>
      <c r="E49" s="1233"/>
      <c r="F49" s="1211"/>
    </row>
    <row r="50" spans="1:6" ht="11.85" customHeight="1">
      <c r="A50" s="1231" t="s">
        <v>1336</v>
      </c>
      <c r="B50" s="1232">
        <v>255</v>
      </c>
      <c r="C50" s="1233"/>
      <c r="D50" s="1238"/>
      <c r="E50" s="1233"/>
      <c r="F50" s="1211"/>
    </row>
    <row r="51" spans="1:6" ht="11.85" customHeight="1">
      <c r="A51" s="1234" t="s">
        <v>1337</v>
      </c>
      <c r="B51" s="1235"/>
      <c r="C51" s="1224"/>
      <c r="D51" s="1236"/>
      <c r="E51" s="1224"/>
      <c r="F51" s="1211"/>
    </row>
    <row r="52" spans="1:6" ht="11.85" customHeight="1">
      <c r="A52" s="1228" t="s">
        <v>84</v>
      </c>
      <c r="B52" s="1229">
        <v>260</v>
      </c>
      <c r="C52" s="1230">
        <v>602</v>
      </c>
      <c r="D52" s="1237">
        <v>67</v>
      </c>
      <c r="E52" s="1230">
        <v>2000</v>
      </c>
      <c r="F52" s="1211"/>
    </row>
    <row r="53" spans="1:6" ht="11.85" customHeight="1">
      <c r="A53" s="1231" t="s">
        <v>87</v>
      </c>
      <c r="B53" s="1232">
        <v>265</v>
      </c>
      <c r="C53" s="1233"/>
      <c r="D53" s="1238"/>
      <c r="E53" s="1233"/>
      <c r="F53" s="1211"/>
    </row>
    <row r="54" spans="1:6" ht="11.85" customHeight="1">
      <c r="A54" s="2997" t="s">
        <v>1256</v>
      </c>
      <c r="B54" s="2998">
        <v>267</v>
      </c>
      <c r="C54" s="1233"/>
      <c r="D54" s="1238"/>
      <c r="E54" s="1233"/>
      <c r="F54" s="1211"/>
    </row>
    <row r="55" spans="1:6" ht="11.85" customHeight="1">
      <c r="A55" s="1231" t="s">
        <v>1344</v>
      </c>
      <c r="B55" s="1232">
        <v>270</v>
      </c>
      <c r="C55" s="1233"/>
      <c r="D55" s="1238"/>
      <c r="E55" s="1233"/>
      <c r="F55" s="1211"/>
    </row>
    <row r="56" spans="1:6" ht="11.85" customHeight="1">
      <c r="A56" s="1231" t="s">
        <v>1345</v>
      </c>
      <c r="B56" s="1232">
        <v>275</v>
      </c>
      <c r="C56" s="1233"/>
      <c r="D56" s="1238"/>
      <c r="E56" s="1233"/>
      <c r="F56" s="1211"/>
    </row>
    <row r="57" spans="1:6" ht="11.85" customHeight="1">
      <c r="A57" s="1231" t="s">
        <v>1346</v>
      </c>
      <c r="B57" s="1232">
        <v>280</v>
      </c>
      <c r="C57" s="1233"/>
      <c r="D57" s="1238"/>
      <c r="E57" s="1233"/>
      <c r="F57" s="1211"/>
    </row>
    <row r="58" spans="1:6" ht="11.85" customHeight="1">
      <c r="A58" s="1234" t="s">
        <v>88</v>
      </c>
      <c r="B58" s="1235"/>
      <c r="C58" s="1224"/>
      <c r="D58" s="1236"/>
      <c r="E58" s="1224"/>
      <c r="F58" s="1211"/>
    </row>
    <row r="59" spans="1:6" ht="11.85" customHeight="1">
      <c r="A59" s="1239" t="s">
        <v>89</v>
      </c>
      <c r="B59" s="1240"/>
      <c r="C59" s="1227"/>
      <c r="D59" s="1223"/>
      <c r="E59" s="1227"/>
      <c r="F59" s="1211"/>
    </row>
    <row r="60" spans="1:6" ht="11.85" customHeight="1">
      <c r="A60" s="1239" t="s">
        <v>1309</v>
      </c>
      <c r="B60" s="1240"/>
      <c r="C60" s="1227"/>
      <c r="D60" s="1223"/>
      <c r="E60" s="1227"/>
      <c r="F60" s="1211"/>
    </row>
    <row r="61" spans="1:6" ht="11.85" customHeight="1">
      <c r="A61" s="1228" t="s">
        <v>1347</v>
      </c>
      <c r="B61" s="1229">
        <v>285</v>
      </c>
      <c r="C61" s="1230"/>
      <c r="D61" s="1237"/>
      <c r="E61" s="1230"/>
      <c r="F61" s="1211"/>
    </row>
    <row r="62" spans="1:6" ht="11.85" customHeight="1">
      <c r="A62" s="1231" t="s">
        <v>1270</v>
      </c>
      <c r="B62" s="1232">
        <v>290</v>
      </c>
      <c r="C62" s="1233"/>
      <c r="D62" s="1238"/>
      <c r="E62" s="1233"/>
      <c r="F62" s="1211"/>
    </row>
    <row r="63" spans="1:6" ht="11.85" customHeight="1">
      <c r="A63" s="1234" t="s">
        <v>1310</v>
      </c>
      <c r="B63" s="1235"/>
      <c r="C63" s="1224"/>
      <c r="D63" s="1236"/>
      <c r="E63" s="1224"/>
      <c r="F63" s="1211"/>
    </row>
    <row r="64" spans="1:6" ht="11.85" customHeight="1">
      <c r="A64" s="1228" t="s">
        <v>1311</v>
      </c>
      <c r="B64" s="1229">
        <v>295</v>
      </c>
      <c r="C64" s="1230"/>
      <c r="D64" s="1237"/>
      <c r="E64" s="1230"/>
      <c r="F64" s="1211"/>
    </row>
    <row r="65" spans="1:6" ht="11.85" customHeight="1">
      <c r="A65" s="1231" t="s">
        <v>1314</v>
      </c>
      <c r="B65" s="1232">
        <v>300</v>
      </c>
      <c r="C65" s="1233"/>
      <c r="D65" s="1238"/>
      <c r="E65" s="1233"/>
      <c r="F65" s="1211"/>
    </row>
    <row r="66" spans="1:6" ht="11.85" customHeight="1">
      <c r="A66" s="1231" t="s">
        <v>1315</v>
      </c>
      <c r="B66" s="1232">
        <v>305</v>
      </c>
      <c r="C66" s="1233"/>
      <c r="D66" s="1238"/>
      <c r="E66" s="1233"/>
      <c r="F66" s="1211"/>
    </row>
    <row r="67" spans="1:6" ht="11.85" customHeight="1">
      <c r="A67" s="3087"/>
      <c r="B67" s="3088"/>
      <c r="C67" s="3205"/>
      <c r="D67" s="3205"/>
      <c r="E67" s="3205"/>
      <c r="F67" s="1211"/>
    </row>
    <row r="68" spans="1:6" ht="12" customHeight="1">
      <c r="A68" s="1242" t="s">
        <v>1019</v>
      </c>
      <c r="B68" s="1212">
        <f>B1</f>
        <v>270</v>
      </c>
      <c r="C68" s="1209"/>
      <c r="D68" s="1209"/>
      <c r="E68" s="1242" t="s">
        <v>1020</v>
      </c>
      <c r="F68" s="1211"/>
    </row>
    <row r="69" spans="1:6" ht="12" customHeight="1">
      <c r="A69" s="1209"/>
      <c r="B69" s="1212"/>
      <c r="C69" s="1209"/>
      <c r="D69" s="1209"/>
      <c r="E69" s="1242" t="s">
        <v>1212</v>
      </c>
      <c r="F69" s="1211"/>
    </row>
    <row r="70" spans="1:6" ht="12" customHeight="1">
      <c r="A70" s="1209"/>
      <c r="B70" s="1212"/>
      <c r="C70" s="1209"/>
      <c r="D70" s="1209"/>
      <c r="E70" s="1242" t="str">
        <f>E3</f>
        <v>2016-2017</v>
      </c>
      <c r="F70" s="1211"/>
    </row>
    <row r="71" spans="1:6" ht="10.5" customHeight="1">
      <c r="A71" s="1209"/>
      <c r="B71" s="1212"/>
      <c r="C71" s="1209"/>
      <c r="D71" s="1209"/>
      <c r="E71" s="1209"/>
      <c r="F71" s="1211"/>
    </row>
    <row r="72" spans="1:6" ht="12" customHeight="1">
      <c r="A72" s="1209"/>
      <c r="B72" s="1212"/>
      <c r="C72" s="1210" t="s">
        <v>1213</v>
      </c>
      <c r="D72" s="1210" t="s">
        <v>1213</v>
      </c>
      <c r="E72" s="1210" t="s">
        <v>1213</v>
      </c>
      <c r="F72" s="1211"/>
    </row>
    <row r="73" spans="1:6" ht="12" customHeight="1">
      <c r="A73" s="1214" t="s">
        <v>401</v>
      </c>
      <c r="B73" s="1215" t="s">
        <v>1045</v>
      </c>
      <c r="C73" s="1243" t="str">
        <f>C6</f>
        <v>2014-2015</v>
      </c>
      <c r="D73" s="1243" t="str">
        <f>D6</f>
        <v>2015-2016</v>
      </c>
      <c r="E73" s="1243" t="str">
        <f>E6</f>
        <v>2016-2017</v>
      </c>
      <c r="F73" s="1211"/>
    </row>
    <row r="74" spans="1:6" ht="12" customHeight="1">
      <c r="A74" s="1214"/>
      <c r="B74" s="1216">
        <v>29</v>
      </c>
      <c r="C74" s="1244" t="s">
        <v>1139</v>
      </c>
      <c r="D74" s="1244" t="s">
        <v>1139</v>
      </c>
      <c r="E74" s="1244" t="s">
        <v>1215</v>
      </c>
      <c r="F74" s="1211"/>
    </row>
    <row r="75" spans="1:6" ht="12" customHeight="1">
      <c r="A75" s="1218"/>
      <c r="B75" s="1219" t="s">
        <v>1051</v>
      </c>
      <c r="C75" s="1245">
        <v>1</v>
      </c>
      <c r="D75" s="1245">
        <v>2</v>
      </c>
      <c r="E75" s="1245">
        <v>3</v>
      </c>
      <c r="F75" s="1211"/>
    </row>
    <row r="76" spans="1:6" ht="11.85" customHeight="1">
      <c r="A76" s="1228" t="s">
        <v>911</v>
      </c>
      <c r="B76" s="1229">
        <v>310</v>
      </c>
      <c r="C76" s="1230"/>
      <c r="D76" s="1237"/>
      <c r="E76" s="1230"/>
      <c r="F76" s="1211"/>
    </row>
    <row r="77" spans="1:6" ht="11.85" customHeight="1">
      <c r="A77" s="2999" t="s">
        <v>711</v>
      </c>
      <c r="B77" s="3000">
        <v>313</v>
      </c>
      <c r="C77" s="1230"/>
      <c r="D77" s="1237"/>
      <c r="E77" s="1230"/>
      <c r="F77" s="1211"/>
    </row>
    <row r="78" spans="1:6" ht="11.85" customHeight="1">
      <c r="A78" s="1231" t="s">
        <v>1327</v>
      </c>
      <c r="B78" s="1232">
        <v>315</v>
      </c>
      <c r="C78" s="1233"/>
      <c r="D78" s="1238"/>
      <c r="E78" s="1233"/>
      <c r="F78" s="1211"/>
    </row>
    <row r="79" spans="1:6" ht="11.85" customHeight="1">
      <c r="A79" s="1231" t="s">
        <v>1337</v>
      </c>
      <c r="B79" s="1232">
        <v>320</v>
      </c>
      <c r="C79" s="1233"/>
      <c r="D79" s="1238"/>
      <c r="E79" s="1233"/>
      <c r="F79" s="1211"/>
    </row>
    <row r="80" spans="1:6" ht="11.85" customHeight="1">
      <c r="A80" s="1231" t="s">
        <v>1345</v>
      </c>
      <c r="B80" s="1232">
        <v>325</v>
      </c>
      <c r="C80" s="1233"/>
      <c r="D80" s="1238"/>
      <c r="E80" s="1233"/>
      <c r="F80" s="1211"/>
    </row>
    <row r="81" spans="1:6" ht="11.85" customHeight="1">
      <c r="A81" s="1231" t="s">
        <v>1346</v>
      </c>
      <c r="B81" s="1232">
        <v>330</v>
      </c>
      <c r="C81" s="1233"/>
      <c r="D81" s="1238"/>
      <c r="E81" s="1233"/>
      <c r="F81" s="1211"/>
    </row>
    <row r="82" spans="1:6" ht="11.85" customHeight="1">
      <c r="A82" s="1234" t="s">
        <v>307</v>
      </c>
      <c r="B82" s="1235"/>
      <c r="C82" s="1224"/>
      <c r="D82" s="1236"/>
      <c r="E82" s="1224"/>
      <c r="F82" s="1211"/>
    </row>
    <row r="83" spans="1:6" ht="11.85" customHeight="1">
      <c r="A83" s="1239" t="s">
        <v>1309</v>
      </c>
      <c r="B83" s="1240"/>
      <c r="C83" s="1227"/>
      <c r="D83" s="1223"/>
      <c r="E83" s="1227"/>
      <c r="F83" s="1211"/>
    </row>
    <row r="84" spans="1:6" ht="11.85" customHeight="1">
      <c r="A84" s="1228" t="s">
        <v>1347</v>
      </c>
      <c r="B84" s="1229">
        <v>335</v>
      </c>
      <c r="C84" s="1230"/>
      <c r="D84" s="1237"/>
      <c r="E84" s="1230"/>
      <c r="F84" s="1211"/>
    </row>
    <row r="85" spans="1:6" ht="11.85" customHeight="1">
      <c r="A85" s="1231" t="s">
        <v>1270</v>
      </c>
      <c r="B85" s="1232">
        <v>340</v>
      </c>
      <c r="C85" s="1233"/>
      <c r="D85" s="1238"/>
      <c r="E85" s="1233"/>
      <c r="F85" s="1211"/>
    </row>
    <row r="86" spans="1:6" ht="11.85" customHeight="1">
      <c r="A86" s="1234" t="s">
        <v>1310</v>
      </c>
      <c r="B86" s="1235"/>
      <c r="C86" s="1224"/>
      <c r="D86" s="1236"/>
      <c r="E86" s="1224"/>
      <c r="F86" s="1211"/>
    </row>
    <row r="87" spans="1:6" ht="11.85" customHeight="1">
      <c r="A87" s="1228" t="s">
        <v>1311</v>
      </c>
      <c r="B87" s="1229">
        <v>345</v>
      </c>
      <c r="C87" s="1230"/>
      <c r="D87" s="1237"/>
      <c r="E87" s="1230"/>
      <c r="F87" s="1211"/>
    </row>
    <row r="88" spans="1:6" ht="11.85" customHeight="1">
      <c r="A88" s="1231" t="s">
        <v>1314</v>
      </c>
      <c r="B88" s="1232">
        <v>350</v>
      </c>
      <c r="C88" s="1233"/>
      <c r="D88" s="1238"/>
      <c r="E88" s="1233"/>
      <c r="F88" s="1211"/>
    </row>
    <row r="89" spans="1:6" ht="11.85" customHeight="1">
      <c r="A89" s="1231" t="s">
        <v>1315</v>
      </c>
      <c r="B89" s="1232">
        <v>355</v>
      </c>
      <c r="C89" s="1233"/>
      <c r="D89" s="1238"/>
      <c r="E89" s="1233"/>
      <c r="F89" s="1211"/>
    </row>
    <row r="90" spans="1:6" ht="11.85" customHeight="1">
      <c r="A90" s="1228" t="s">
        <v>911</v>
      </c>
      <c r="B90" s="1229">
        <v>360</v>
      </c>
      <c r="C90" s="1230"/>
      <c r="D90" s="1237"/>
      <c r="E90" s="1230"/>
      <c r="F90" s="1211"/>
    </row>
    <row r="91" spans="1:6" ht="11.85" customHeight="1">
      <c r="A91" s="2999" t="s">
        <v>711</v>
      </c>
      <c r="B91" s="3000">
        <v>363</v>
      </c>
      <c r="C91" s="1230"/>
      <c r="D91" s="1237"/>
      <c r="E91" s="1230"/>
      <c r="F91" s="1211"/>
    </row>
    <row r="92" spans="1:6" ht="11.85" customHeight="1">
      <c r="A92" s="1231" t="s">
        <v>1327</v>
      </c>
      <c r="B92" s="1232">
        <v>365</v>
      </c>
      <c r="C92" s="1233"/>
      <c r="D92" s="1238"/>
      <c r="E92" s="1233"/>
      <c r="F92" s="1211"/>
    </row>
    <row r="93" spans="1:6" ht="12" customHeight="1">
      <c r="A93" s="1221" t="s">
        <v>1288</v>
      </c>
      <c r="B93" s="1222"/>
      <c r="C93" s="1224"/>
      <c r="D93" s="1236"/>
      <c r="E93" s="1224"/>
      <c r="F93" s="1211"/>
    </row>
    <row r="94" spans="1:6" ht="12" customHeight="1">
      <c r="A94" s="1246" t="s">
        <v>671</v>
      </c>
      <c r="B94" s="1247">
        <v>370</v>
      </c>
      <c r="C94" s="1230"/>
      <c r="D94" s="1237"/>
      <c r="E94" s="1230"/>
      <c r="F94" s="1211"/>
    </row>
    <row r="95" spans="1:6" ht="12" customHeight="1">
      <c r="A95" s="1248" t="s">
        <v>798</v>
      </c>
      <c r="B95" s="1249">
        <v>375</v>
      </c>
      <c r="C95" s="1233"/>
      <c r="D95" s="1238"/>
      <c r="E95" s="1233"/>
      <c r="F95" s="1211"/>
    </row>
    <row r="96" spans="1:6" ht="12" customHeight="1">
      <c r="A96" s="1246" t="s">
        <v>1291</v>
      </c>
      <c r="B96" s="1247">
        <v>380</v>
      </c>
      <c r="C96" s="1230"/>
      <c r="D96" s="1237"/>
      <c r="E96" s="1230"/>
      <c r="F96" s="1211"/>
    </row>
    <row r="97" spans="1:6" ht="12" customHeight="1">
      <c r="A97" s="1248" t="s">
        <v>1292</v>
      </c>
      <c r="B97" s="1249">
        <v>385</v>
      </c>
      <c r="C97" s="1233"/>
      <c r="D97" s="1238"/>
      <c r="E97" s="1233"/>
      <c r="F97" s="1211"/>
    </row>
    <row r="98" spans="1:6" ht="12" customHeight="1">
      <c r="A98" s="1248" t="s">
        <v>1293</v>
      </c>
      <c r="B98" s="1249">
        <v>390</v>
      </c>
      <c r="C98" s="1233"/>
      <c r="D98" s="3093"/>
      <c r="E98" s="1233"/>
      <c r="F98" s="1211"/>
    </row>
    <row r="99" spans="1:6" ht="12" customHeight="1">
      <c r="A99" s="1221" t="s">
        <v>1307</v>
      </c>
      <c r="B99" s="1222"/>
      <c r="C99" s="3050"/>
      <c r="D99" s="1227"/>
      <c r="E99" s="3052"/>
      <c r="F99" s="1211"/>
    </row>
    <row r="100" spans="1:6" ht="12" customHeight="1">
      <c r="A100" s="1225" t="s">
        <v>1268</v>
      </c>
      <c r="B100" s="1226"/>
      <c r="C100" s="3050"/>
      <c r="D100" s="1227"/>
      <c r="E100" s="3052"/>
      <c r="F100" s="1211"/>
    </row>
    <row r="101" spans="1:6" ht="12" customHeight="1">
      <c r="A101" s="1246" t="s">
        <v>1269</v>
      </c>
      <c r="B101" s="1247">
        <v>460</v>
      </c>
      <c r="C101" s="3051"/>
      <c r="D101" s="1230"/>
      <c r="E101" s="3053"/>
      <c r="F101" s="1211"/>
    </row>
    <row r="102" spans="1:6" ht="12" customHeight="1">
      <c r="A102" s="1248" t="s">
        <v>674</v>
      </c>
      <c r="B102" s="1249">
        <v>465</v>
      </c>
      <c r="C102" s="1233"/>
      <c r="D102" s="1237"/>
      <c r="E102" s="1230"/>
      <c r="F102" s="1211"/>
    </row>
    <row r="103" spans="1:6" ht="12" customHeight="1">
      <c r="A103" s="1221" t="s">
        <v>1271</v>
      </c>
      <c r="B103" s="1222"/>
      <c r="C103" s="1224"/>
      <c r="D103" s="1236"/>
      <c r="E103" s="1224"/>
      <c r="F103" s="1211"/>
    </row>
    <row r="104" spans="1:6" ht="12" customHeight="1">
      <c r="A104" s="1246" t="s">
        <v>1272</v>
      </c>
      <c r="B104" s="1247">
        <v>470</v>
      </c>
      <c r="C104" s="1230"/>
      <c r="D104" s="1237"/>
      <c r="E104" s="1230"/>
      <c r="F104" s="1211"/>
    </row>
    <row r="105" spans="1:6" ht="12" customHeight="1">
      <c r="A105" s="1248" t="s">
        <v>1273</v>
      </c>
      <c r="B105" s="1249">
        <v>475</v>
      </c>
      <c r="C105" s="1233"/>
      <c r="D105" s="1238"/>
      <c r="E105" s="1233"/>
      <c r="F105" s="1211"/>
    </row>
    <row r="106" spans="1:6" ht="12" customHeight="1">
      <c r="A106" s="1248" t="s">
        <v>1276</v>
      </c>
      <c r="B106" s="1249">
        <v>480</v>
      </c>
      <c r="C106" s="1233"/>
      <c r="D106" s="1238"/>
      <c r="E106" s="1233"/>
      <c r="F106" s="1211"/>
    </row>
    <row r="107" spans="1:6" ht="12" customHeight="1">
      <c r="A107" s="1246" t="s">
        <v>673</v>
      </c>
      <c r="B107" s="1222">
        <v>485</v>
      </c>
      <c r="C107" s="2523"/>
      <c r="D107" s="1251"/>
      <c r="E107" s="2523"/>
      <c r="F107" s="1211"/>
    </row>
    <row r="108" spans="1:6" ht="12" customHeight="1">
      <c r="A108" s="1225" t="s">
        <v>310</v>
      </c>
      <c r="B108" s="1222">
        <v>490</v>
      </c>
      <c r="C108" s="2523"/>
      <c r="D108" s="1251"/>
      <c r="E108" s="2523"/>
      <c r="F108" s="1211"/>
    </row>
    <row r="109" spans="1:6" ht="12" customHeight="1">
      <c r="A109" s="1221" t="s">
        <v>1282</v>
      </c>
      <c r="B109" s="1222"/>
      <c r="C109" s="1224"/>
      <c r="D109" s="1236"/>
      <c r="E109" s="1224"/>
      <c r="F109" s="1241"/>
    </row>
    <row r="110" spans="1:6" ht="12" customHeight="1">
      <c r="A110" s="1246" t="s">
        <v>675</v>
      </c>
      <c r="B110" s="1247">
        <v>495</v>
      </c>
      <c r="C110" s="1230"/>
      <c r="D110" s="1237"/>
      <c r="E110" s="1230"/>
      <c r="F110" s="1241"/>
    </row>
    <row r="111" spans="1:6" ht="12" customHeight="1">
      <c r="A111" s="1246" t="s">
        <v>676</v>
      </c>
      <c r="B111" s="1247">
        <v>500</v>
      </c>
      <c r="C111" s="1233"/>
      <c r="D111" s="1238"/>
      <c r="E111" s="1233"/>
      <c r="F111" s="1241"/>
    </row>
    <row r="112" spans="1:6" ht="12" customHeight="1">
      <c r="A112" s="1248" t="s">
        <v>1288</v>
      </c>
      <c r="B112" s="1249">
        <v>505</v>
      </c>
      <c r="C112" s="1233"/>
      <c r="D112" s="1238"/>
      <c r="E112" s="1233"/>
      <c r="F112" s="1211"/>
    </row>
    <row r="113" spans="1:6" ht="12" customHeight="1">
      <c r="A113" s="1248" t="s">
        <v>1292</v>
      </c>
      <c r="B113" s="1249">
        <v>510</v>
      </c>
      <c r="C113" s="1233"/>
      <c r="D113" s="1238"/>
      <c r="E113" s="1233"/>
      <c r="F113" s="1211"/>
    </row>
    <row r="114" spans="1:6" ht="12" customHeight="1">
      <c r="A114" s="1248" t="s">
        <v>1293</v>
      </c>
      <c r="B114" s="1249">
        <v>515</v>
      </c>
      <c r="C114" s="1233"/>
      <c r="D114" s="1238"/>
      <c r="E114" s="1233"/>
      <c r="F114" s="1211"/>
    </row>
    <row r="115" spans="1:6" ht="12" customHeight="1">
      <c r="A115" s="1221" t="s">
        <v>342</v>
      </c>
      <c r="B115" s="1222"/>
      <c r="C115" s="1224"/>
      <c r="D115" s="1236"/>
      <c r="E115" s="1224"/>
      <c r="F115" s="1211"/>
    </row>
    <row r="116" spans="1:6" ht="12" customHeight="1">
      <c r="A116" s="1225" t="s">
        <v>1268</v>
      </c>
      <c r="B116" s="1226"/>
      <c r="C116" s="1227"/>
      <c r="D116" s="1223"/>
      <c r="E116" s="1227"/>
      <c r="F116" s="1211"/>
    </row>
    <row r="117" spans="1:6" ht="12" customHeight="1">
      <c r="A117" s="1246" t="s">
        <v>677</v>
      </c>
      <c r="B117" s="1247">
        <v>520</v>
      </c>
      <c r="C117" s="1230"/>
      <c r="D117" s="1237"/>
      <c r="E117" s="1230"/>
      <c r="F117" s="1211"/>
    </row>
    <row r="118" spans="1:6" ht="12" customHeight="1">
      <c r="A118" s="1221" t="s">
        <v>1271</v>
      </c>
      <c r="B118" s="1222"/>
      <c r="C118" s="1224"/>
      <c r="D118" s="1236"/>
      <c r="E118" s="1224"/>
      <c r="F118" s="1211"/>
    </row>
    <row r="119" spans="1:6" ht="12" customHeight="1">
      <c r="A119" s="1246" t="s">
        <v>1272</v>
      </c>
      <c r="B119" s="1247">
        <v>525</v>
      </c>
      <c r="C119" s="1230"/>
      <c r="D119" s="1237"/>
      <c r="E119" s="1230"/>
      <c r="F119" s="1211"/>
    </row>
    <row r="120" spans="1:6" ht="12" customHeight="1">
      <c r="A120" s="1248" t="s">
        <v>1273</v>
      </c>
      <c r="B120" s="1249">
        <v>530</v>
      </c>
      <c r="C120" s="1233"/>
      <c r="D120" s="1238"/>
      <c r="E120" s="1233"/>
      <c r="F120" s="1211"/>
    </row>
    <row r="121" spans="1:6" ht="12" customHeight="1">
      <c r="A121" s="1248" t="s">
        <v>1276</v>
      </c>
      <c r="B121" s="1249">
        <v>535</v>
      </c>
      <c r="C121" s="1233"/>
      <c r="D121" s="1238"/>
      <c r="E121" s="1233"/>
      <c r="F121" s="1211"/>
    </row>
    <row r="122" spans="1:6" ht="12" customHeight="1">
      <c r="A122" s="1171"/>
      <c r="B122" s="1171"/>
      <c r="C122" s="1171"/>
      <c r="D122" s="1171"/>
      <c r="E122" s="1171"/>
      <c r="F122" s="1211"/>
    </row>
    <row r="123" spans="1:6" ht="12" customHeight="1">
      <c r="A123" s="1252"/>
      <c r="B123" s="1252"/>
      <c r="C123" s="1252"/>
      <c r="D123" s="1252"/>
      <c r="E123" s="1252"/>
      <c r="F123" s="1241"/>
    </row>
    <row r="124" spans="1:6" ht="12" customHeight="1">
      <c r="A124" s="1242" t="s">
        <v>1019</v>
      </c>
      <c r="B124" s="1212">
        <f>B1</f>
        <v>270</v>
      </c>
      <c r="C124" s="1209"/>
      <c r="D124" s="1209"/>
      <c r="E124" s="1242" t="s">
        <v>1020</v>
      </c>
      <c r="F124" s="1211"/>
    </row>
    <row r="125" spans="1:6" ht="12" customHeight="1">
      <c r="A125" s="1209"/>
      <c r="B125" s="1212"/>
      <c r="C125" s="1209"/>
      <c r="D125" s="1209"/>
      <c r="E125" s="1242" t="s">
        <v>1212</v>
      </c>
      <c r="F125" s="1211"/>
    </row>
    <row r="126" spans="1:6" ht="12" customHeight="1">
      <c r="A126" s="1209"/>
      <c r="B126" s="1212"/>
      <c r="C126" s="1209"/>
      <c r="D126" s="1209"/>
      <c r="E126" s="1242" t="str">
        <f>E3</f>
        <v>2016-2017</v>
      </c>
      <c r="F126" s="1211"/>
    </row>
    <row r="127" spans="1:6" ht="12" customHeight="1">
      <c r="A127" s="1209"/>
      <c r="B127" s="1212"/>
      <c r="C127" s="1209"/>
      <c r="D127" s="1209"/>
      <c r="E127" s="1209"/>
      <c r="F127" s="1211"/>
    </row>
    <row r="128" spans="1:6" ht="12" customHeight="1">
      <c r="A128" s="1209"/>
      <c r="B128" s="1212"/>
      <c r="C128" s="1210" t="s">
        <v>1213</v>
      </c>
      <c r="D128" s="1210" t="s">
        <v>1213</v>
      </c>
      <c r="E128" s="1210" t="s">
        <v>1213</v>
      </c>
      <c r="F128" s="1211"/>
    </row>
    <row r="129" spans="1:6" ht="12" customHeight="1">
      <c r="A129" s="1214"/>
      <c r="B129" s="1215" t="s">
        <v>1045</v>
      </c>
      <c r="C129" s="1243" t="str">
        <f>C6</f>
        <v>2014-2015</v>
      </c>
      <c r="D129" s="1243" t="str">
        <f>D6</f>
        <v>2015-2016</v>
      </c>
      <c r="E129" s="1243" t="str">
        <f>E6</f>
        <v>2016-2017</v>
      </c>
      <c r="F129" s="1211"/>
    </row>
    <row r="130" spans="1:6" ht="12" customHeight="1">
      <c r="A130" s="1214" t="s">
        <v>401</v>
      </c>
      <c r="B130" s="1216">
        <v>29</v>
      </c>
      <c r="C130" s="1244" t="s">
        <v>1139</v>
      </c>
      <c r="D130" s="1244" t="s">
        <v>1139</v>
      </c>
      <c r="E130" s="1244" t="s">
        <v>1215</v>
      </c>
      <c r="F130" s="1211"/>
    </row>
    <row r="131" spans="1:6" ht="12" customHeight="1">
      <c r="A131" s="1218"/>
      <c r="B131" s="1219" t="s">
        <v>1051</v>
      </c>
      <c r="C131" s="1245">
        <v>1</v>
      </c>
      <c r="D131" s="1245">
        <v>2</v>
      </c>
      <c r="E131" s="1245">
        <v>3</v>
      </c>
      <c r="F131" s="1211"/>
    </row>
    <row r="132" spans="1:6" ht="12" customHeight="1">
      <c r="A132" s="1248" t="s">
        <v>673</v>
      </c>
      <c r="B132" s="1249">
        <v>540</v>
      </c>
      <c r="C132" s="2523"/>
      <c r="D132" s="1251"/>
      <c r="E132" s="2523"/>
      <c r="F132" s="1211"/>
    </row>
    <row r="133" spans="1:6" ht="12" customHeight="1">
      <c r="A133" s="1234" t="s">
        <v>1303</v>
      </c>
      <c r="B133" s="1235"/>
      <c r="C133" s="1224"/>
      <c r="D133" s="1236"/>
      <c r="E133" s="1224"/>
      <c r="F133" s="1211"/>
    </row>
    <row r="134" spans="1:6" ht="12" customHeight="1">
      <c r="A134" s="1228" t="s">
        <v>344</v>
      </c>
      <c r="B134" s="1229">
        <v>545</v>
      </c>
      <c r="C134" s="1230"/>
      <c r="D134" s="1237"/>
      <c r="E134" s="1230"/>
      <c r="F134" s="1211"/>
    </row>
    <row r="135" spans="1:6" ht="12" customHeight="1">
      <c r="A135" s="1231" t="s">
        <v>678</v>
      </c>
      <c r="B135" s="1232">
        <v>550</v>
      </c>
      <c r="C135" s="1233"/>
      <c r="D135" s="1238"/>
      <c r="E135" s="1233"/>
      <c r="F135" s="1211"/>
    </row>
    <row r="136" spans="1:6" ht="12" customHeight="1">
      <c r="A136" s="1231" t="s">
        <v>679</v>
      </c>
      <c r="B136" s="1232">
        <v>555</v>
      </c>
      <c r="C136" s="1233"/>
      <c r="D136" s="1238"/>
      <c r="E136" s="1233"/>
      <c r="F136" s="1211"/>
    </row>
    <row r="137" spans="1:6" ht="12" customHeight="1">
      <c r="A137" s="1231" t="s">
        <v>680</v>
      </c>
      <c r="B137" s="1232">
        <v>560</v>
      </c>
      <c r="C137" s="1233"/>
      <c r="D137" s="1238"/>
      <c r="E137" s="1233"/>
      <c r="F137" s="1211"/>
    </row>
    <row r="138" spans="1:6" ht="12" customHeight="1">
      <c r="A138" s="1231" t="s">
        <v>681</v>
      </c>
      <c r="B138" s="1232">
        <v>565</v>
      </c>
      <c r="C138" s="1233"/>
      <c r="D138" s="1238"/>
      <c r="E138" s="1233"/>
      <c r="F138" s="1211"/>
    </row>
    <row r="139" spans="1:6" ht="12" customHeight="1">
      <c r="A139" s="1231" t="s">
        <v>345</v>
      </c>
      <c r="B139" s="1232">
        <v>570</v>
      </c>
      <c r="C139" s="1233"/>
      <c r="D139" s="1238"/>
      <c r="E139" s="1233"/>
      <c r="F139" s="1211"/>
    </row>
    <row r="140" spans="1:6" ht="12" customHeight="1">
      <c r="A140" s="1234" t="s">
        <v>1282</v>
      </c>
      <c r="B140" s="1235"/>
      <c r="C140" s="1224"/>
      <c r="D140" s="1236"/>
      <c r="E140" s="1224"/>
      <c r="F140" s="1211"/>
    </row>
    <row r="141" spans="1:6" ht="12" customHeight="1">
      <c r="A141" s="1228" t="s">
        <v>1395</v>
      </c>
      <c r="B141" s="1229">
        <v>575</v>
      </c>
      <c r="C141" s="1230"/>
      <c r="D141" s="1237"/>
      <c r="E141" s="1230"/>
      <c r="F141" s="1211"/>
    </row>
    <row r="142" spans="1:6" ht="12" customHeight="1">
      <c r="A142" s="1234" t="s">
        <v>676</v>
      </c>
      <c r="B142" s="1235">
        <v>580</v>
      </c>
      <c r="C142" s="2523"/>
      <c r="D142" s="1251"/>
      <c r="E142" s="2523"/>
      <c r="F142" s="1211"/>
    </row>
    <row r="143" spans="1:6" ht="12" customHeight="1">
      <c r="A143" s="1234" t="s">
        <v>1288</v>
      </c>
      <c r="B143" s="1235"/>
      <c r="C143" s="1224"/>
      <c r="D143" s="1236"/>
      <c r="E143" s="1224"/>
      <c r="F143" s="1211"/>
    </row>
    <row r="144" spans="1:6" ht="12" customHeight="1">
      <c r="A144" s="1228" t="s">
        <v>346</v>
      </c>
      <c r="B144" s="1229">
        <v>585</v>
      </c>
      <c r="C144" s="1230"/>
      <c r="D144" s="1237"/>
      <c r="E144" s="1230"/>
      <c r="F144" s="1211"/>
    </row>
    <row r="145" spans="1:6" ht="12" customHeight="1">
      <c r="A145" s="1234" t="s">
        <v>347</v>
      </c>
      <c r="B145" s="1235"/>
      <c r="C145" s="1224"/>
      <c r="D145" s="1236"/>
      <c r="E145" s="1224"/>
      <c r="F145" s="1211"/>
    </row>
    <row r="146" spans="1:6" ht="12" customHeight="1">
      <c r="A146" s="1228" t="s">
        <v>348</v>
      </c>
      <c r="B146" s="1229">
        <v>590</v>
      </c>
      <c r="C146" s="1230"/>
      <c r="D146" s="1237"/>
      <c r="E146" s="1230"/>
      <c r="F146" s="1211"/>
    </row>
    <row r="147" spans="1:6" ht="12" customHeight="1">
      <c r="A147" s="1231" t="s">
        <v>349</v>
      </c>
      <c r="B147" s="1232">
        <v>595</v>
      </c>
      <c r="C147" s="1233"/>
      <c r="D147" s="1238"/>
      <c r="E147" s="1233"/>
      <c r="F147" s="1211"/>
    </row>
    <row r="148" spans="1:6" ht="12" customHeight="1">
      <c r="A148" s="1231" t="s">
        <v>682</v>
      </c>
      <c r="B148" s="1232">
        <v>600</v>
      </c>
      <c r="C148" s="1233"/>
      <c r="D148" s="1238"/>
      <c r="E148" s="1233"/>
      <c r="F148" s="1211"/>
    </row>
    <row r="149" spans="1:6" ht="12" customHeight="1">
      <c r="A149" s="1231" t="s">
        <v>350</v>
      </c>
      <c r="B149" s="1232">
        <v>605</v>
      </c>
      <c r="C149" s="1233"/>
      <c r="D149" s="1238"/>
      <c r="E149" s="1233"/>
      <c r="F149" s="1211"/>
    </row>
    <row r="150" spans="1:6" ht="12" customHeight="1">
      <c r="A150" s="1231" t="s">
        <v>1291</v>
      </c>
      <c r="B150" s="1232">
        <v>610</v>
      </c>
      <c r="C150" s="1233"/>
      <c r="D150" s="1238"/>
      <c r="E150" s="1233"/>
      <c r="F150" s="1211"/>
    </row>
    <row r="151" spans="1:6" ht="12" customHeight="1">
      <c r="A151" s="1231" t="s">
        <v>1292</v>
      </c>
      <c r="B151" s="1232">
        <v>615</v>
      </c>
      <c r="C151" s="1233"/>
      <c r="D151" s="1238"/>
      <c r="E151" s="1233"/>
      <c r="F151" s="1211"/>
    </row>
    <row r="152" spans="1:6" ht="12" customHeight="1">
      <c r="A152" s="1231" t="s">
        <v>1293</v>
      </c>
      <c r="B152" s="1232">
        <v>620</v>
      </c>
      <c r="C152" s="1233"/>
      <c r="D152" s="1238"/>
      <c r="E152" s="1233"/>
      <c r="F152" s="1211"/>
    </row>
    <row r="153" spans="1:6" ht="12" customHeight="1">
      <c r="A153" s="1234" t="s">
        <v>1745</v>
      </c>
      <c r="B153" s="1235"/>
      <c r="C153" s="1224"/>
      <c r="D153" s="1236"/>
      <c r="E153" s="1224"/>
      <c r="F153" s="1211"/>
    </row>
    <row r="154" spans="1:6" ht="12" customHeight="1">
      <c r="A154" s="1239" t="s">
        <v>1268</v>
      </c>
      <c r="B154" s="1240"/>
      <c r="C154" s="1227"/>
      <c r="D154" s="1223"/>
      <c r="E154" s="1227"/>
      <c r="F154" s="1211"/>
    </row>
    <row r="155" spans="1:6" ht="12" customHeight="1">
      <c r="A155" s="1228" t="s">
        <v>308</v>
      </c>
      <c r="B155" s="1229">
        <v>625</v>
      </c>
      <c r="C155" s="2522"/>
      <c r="D155" s="1250"/>
      <c r="E155" s="2522"/>
      <c r="F155" s="1211"/>
    </row>
    <row r="156" spans="1:6" ht="12" customHeight="1">
      <c r="A156" s="1228" t="s">
        <v>374</v>
      </c>
      <c r="B156" s="1229">
        <v>630</v>
      </c>
      <c r="C156" s="1233"/>
      <c r="D156" s="1238"/>
      <c r="E156" s="1233"/>
      <c r="F156" s="1211"/>
    </row>
    <row r="157" spans="1:6" ht="12" customHeight="1">
      <c r="A157" s="1234" t="s">
        <v>1271</v>
      </c>
      <c r="B157" s="1235"/>
      <c r="C157" s="1224"/>
      <c r="D157" s="1236"/>
      <c r="E157" s="1224"/>
      <c r="F157" s="1211"/>
    </row>
    <row r="158" spans="1:6" ht="12" customHeight="1">
      <c r="A158" s="1228" t="s">
        <v>353</v>
      </c>
      <c r="B158" s="1229">
        <v>635</v>
      </c>
      <c r="C158" s="1230"/>
      <c r="D158" s="1237"/>
      <c r="E158" s="1230"/>
      <c r="F158" s="1211"/>
    </row>
    <row r="159" spans="1:6" ht="12" customHeight="1">
      <c r="A159" s="1231" t="s">
        <v>1273</v>
      </c>
      <c r="B159" s="1232">
        <v>640</v>
      </c>
      <c r="C159" s="1233"/>
      <c r="D159" s="1238"/>
      <c r="E159" s="1233"/>
      <c r="F159" s="1211"/>
    </row>
    <row r="160" spans="1:6" ht="12" customHeight="1">
      <c r="A160" s="1231" t="s">
        <v>1276</v>
      </c>
      <c r="B160" s="1232">
        <v>645</v>
      </c>
      <c r="C160" s="1233"/>
      <c r="D160" s="1238"/>
      <c r="E160" s="1233"/>
      <c r="F160" s="1211"/>
    </row>
    <row r="161" spans="1:6" ht="12" customHeight="1">
      <c r="A161" s="1225" t="s">
        <v>59</v>
      </c>
      <c r="B161" s="1232">
        <v>650</v>
      </c>
      <c r="C161" s="1233"/>
      <c r="D161" s="1238"/>
      <c r="E161" s="1233"/>
      <c r="F161" s="1211"/>
    </row>
    <row r="162" spans="1:6" ht="12" customHeight="1">
      <c r="A162" s="1231" t="s">
        <v>1303</v>
      </c>
      <c r="B162" s="1232">
        <v>655</v>
      </c>
      <c r="C162" s="1233"/>
      <c r="D162" s="1238"/>
      <c r="E162" s="1233"/>
      <c r="F162" s="1211"/>
    </row>
    <row r="163" spans="1:6" ht="12" customHeight="1">
      <c r="A163" s="1231" t="s">
        <v>683</v>
      </c>
      <c r="B163" s="1232">
        <v>660</v>
      </c>
      <c r="C163" s="1233"/>
      <c r="D163" s="1238"/>
      <c r="E163" s="1233"/>
      <c r="F163" s="1211"/>
    </row>
    <row r="164" spans="1:6" ht="12" customHeight="1">
      <c r="A164" s="1231" t="s">
        <v>1288</v>
      </c>
      <c r="B164" s="1232">
        <v>665</v>
      </c>
      <c r="C164" s="1233"/>
      <c r="D164" s="1238"/>
      <c r="E164" s="1233"/>
      <c r="F164" s="1211"/>
    </row>
    <row r="165" spans="1:6" ht="12" customHeight="1">
      <c r="A165" s="1231" t="s">
        <v>1292</v>
      </c>
      <c r="B165" s="1232">
        <v>670</v>
      </c>
      <c r="C165" s="1233"/>
      <c r="D165" s="1238"/>
      <c r="E165" s="1233"/>
      <c r="F165" s="1211"/>
    </row>
    <row r="166" spans="1:6" ht="12" customHeight="1">
      <c r="A166" s="1231" t="s">
        <v>1293</v>
      </c>
      <c r="B166" s="1232">
        <v>675</v>
      </c>
      <c r="C166" s="2523"/>
      <c r="D166" s="1238"/>
      <c r="E166" s="1233"/>
      <c r="F166" s="1211"/>
    </row>
    <row r="167" spans="1:6" ht="12" customHeight="1">
      <c r="A167" s="375" t="s">
        <v>1750</v>
      </c>
      <c r="B167" s="379"/>
      <c r="C167" s="3851"/>
      <c r="D167" s="3854"/>
      <c r="E167" s="3854"/>
      <c r="F167" s="1211"/>
    </row>
    <row r="168" spans="1:6" ht="12" customHeight="1">
      <c r="A168" s="378" t="s">
        <v>1544</v>
      </c>
      <c r="B168" s="379"/>
      <c r="C168" s="2635"/>
      <c r="D168" s="3854"/>
      <c r="E168" s="3854"/>
      <c r="F168" s="1211"/>
    </row>
    <row r="169" spans="1:6" ht="12" customHeight="1">
      <c r="A169" s="381" t="s">
        <v>1746</v>
      </c>
      <c r="B169" s="2903">
        <v>690</v>
      </c>
      <c r="C169" s="4027"/>
      <c r="D169" s="3963"/>
      <c r="E169" s="3958"/>
      <c r="F169" s="1211"/>
    </row>
    <row r="170" spans="1:6" ht="12" customHeight="1">
      <c r="A170" s="384" t="s">
        <v>1732</v>
      </c>
      <c r="B170" s="2902">
        <v>695</v>
      </c>
      <c r="C170" s="4027"/>
      <c r="D170" s="3960"/>
      <c r="E170" s="3960"/>
      <c r="F170" s="1211"/>
    </row>
    <row r="171" spans="1:6" ht="12" customHeight="1">
      <c r="A171" s="378" t="s">
        <v>944</v>
      </c>
      <c r="B171" s="2900"/>
      <c r="C171" s="3850"/>
      <c r="D171" s="3965"/>
      <c r="E171" s="3962"/>
      <c r="F171" s="1211"/>
    </row>
    <row r="172" spans="1:6" ht="12" customHeight="1">
      <c r="A172" s="381" t="s">
        <v>1748</v>
      </c>
      <c r="B172" s="2900">
        <v>700</v>
      </c>
      <c r="C172" s="4027"/>
      <c r="D172" s="3963"/>
      <c r="E172" s="3963"/>
      <c r="F172" s="1211"/>
    </row>
    <row r="173" spans="1:6" ht="12" customHeight="1">
      <c r="A173" s="384" t="s">
        <v>1747</v>
      </c>
      <c r="B173" s="2902">
        <v>705</v>
      </c>
      <c r="C173" s="4027"/>
      <c r="D173" s="3960"/>
      <c r="E173" s="3960"/>
      <c r="F173" s="1211"/>
    </row>
    <row r="174" spans="1:6" ht="12" customHeight="1">
      <c r="A174" s="384" t="s">
        <v>1749</v>
      </c>
      <c r="B174" s="2902">
        <v>710</v>
      </c>
      <c r="C174" s="4027"/>
      <c r="D174" s="3960"/>
      <c r="E174" s="3960"/>
      <c r="F174" s="1211"/>
    </row>
    <row r="175" spans="1:6" ht="12" customHeight="1">
      <c r="A175" s="384" t="s">
        <v>1439</v>
      </c>
      <c r="B175" s="2902">
        <v>715</v>
      </c>
      <c r="C175" s="4027"/>
      <c r="D175" s="3960"/>
      <c r="E175" s="3960"/>
      <c r="F175" s="1211"/>
    </row>
    <row r="176" spans="1:6" ht="12" customHeight="1">
      <c r="A176" s="384" t="s">
        <v>711</v>
      </c>
      <c r="B176" s="2902">
        <v>720</v>
      </c>
      <c r="C176" s="4027"/>
      <c r="D176" s="3960"/>
      <c r="E176" s="3960"/>
      <c r="F176" s="1211"/>
    </row>
    <row r="177" spans="1:7" ht="12" customHeight="1">
      <c r="A177" s="384" t="s">
        <v>683</v>
      </c>
      <c r="B177" s="2902">
        <v>725</v>
      </c>
      <c r="C177" s="4027"/>
      <c r="D177" s="3960"/>
      <c r="E177" s="3960"/>
      <c r="F177" s="1211"/>
    </row>
    <row r="178" spans="1:7" ht="12" customHeight="1">
      <c r="A178" s="384" t="s">
        <v>1738</v>
      </c>
      <c r="B178" s="2902">
        <v>730</v>
      </c>
      <c r="C178" s="4027"/>
      <c r="D178" s="3960"/>
      <c r="E178" s="3960"/>
      <c r="F178" s="1211"/>
    </row>
    <row r="179" spans="1:7" ht="12" customHeight="1">
      <c r="A179" s="384" t="s">
        <v>1739</v>
      </c>
      <c r="B179" s="2902">
        <v>735</v>
      </c>
      <c r="C179" s="4027"/>
      <c r="D179" s="3960"/>
      <c r="E179" s="3960"/>
      <c r="F179" s="1211"/>
    </row>
    <row r="180" spans="1:7" ht="12" customHeight="1">
      <c r="A180" s="384" t="s">
        <v>943</v>
      </c>
      <c r="B180" s="2902">
        <v>740</v>
      </c>
      <c r="C180" s="4027"/>
      <c r="D180" s="3960"/>
      <c r="E180" s="3960"/>
      <c r="F180" s="1211"/>
    </row>
    <row r="181" spans="1:7" ht="12" customHeight="1">
      <c r="A181" s="1234" t="s">
        <v>684</v>
      </c>
      <c r="B181" s="1235">
        <v>680</v>
      </c>
      <c r="C181" s="4028"/>
      <c r="D181" s="1251"/>
      <c r="E181" s="2523"/>
      <c r="F181" s="1211"/>
    </row>
    <row r="182" spans="1:7" ht="12" customHeight="1">
      <c r="A182" s="3520" t="s">
        <v>1501</v>
      </c>
      <c r="B182" s="1235"/>
      <c r="C182" s="3877"/>
      <c r="D182" s="3524"/>
      <c r="E182" s="3519"/>
      <c r="F182" s="1211"/>
    </row>
    <row r="183" spans="1:7" ht="12" customHeight="1">
      <c r="A183" s="3521" t="s">
        <v>1503</v>
      </c>
      <c r="B183" s="3591">
        <v>685</v>
      </c>
      <c r="C183" s="3749"/>
      <c r="D183" s="3749"/>
      <c r="E183" s="1230"/>
      <c r="F183" s="1211"/>
      <c r="G183" s="3538"/>
    </row>
    <row r="184" spans="1:7" ht="12" customHeight="1">
      <c r="A184" s="1228" t="s">
        <v>1416</v>
      </c>
      <c r="B184" s="3522" t="s">
        <v>1364</v>
      </c>
      <c r="C184" s="3523">
        <f>SUM(C132:C183,C76:C121,C35:C66)</f>
        <v>16892</v>
      </c>
      <c r="D184" s="3523">
        <f>SUM(D132:D183,D76:D121,D35:D66)</f>
        <v>8493</v>
      </c>
      <c r="E184" s="3523">
        <f>SUM(E132:E183,E76:E121,E35:E66)</f>
        <v>17060</v>
      </c>
      <c r="F184" s="1211"/>
      <c r="G184" s="3538"/>
    </row>
    <row r="185" spans="1:7" s="1191" customFormat="1" ht="12" customHeight="1">
      <c r="A185" s="1171"/>
      <c r="B185" s="1171"/>
      <c r="C185" s="1171"/>
      <c r="D185" s="1171"/>
      <c r="E185" s="1171"/>
    </row>
    <row r="186" spans="1:7" s="1191" customFormat="1" ht="12" customHeight="1">
      <c r="A186" s="1171"/>
      <c r="B186" s="1171"/>
      <c r="C186" s="1171"/>
      <c r="D186" s="1171"/>
      <c r="E186" s="1171"/>
    </row>
    <row r="187" spans="1:7" s="1191" customFormat="1" ht="12" customHeight="1">
      <c r="A187" s="1171"/>
      <c r="B187" s="1171"/>
      <c r="C187" s="1171"/>
      <c r="D187" s="1171"/>
      <c r="E187" s="1171"/>
    </row>
    <row r="188" spans="1:7" s="1191" customFormat="1" ht="12" customHeight="1">
      <c r="A188" s="1171"/>
      <c r="B188" s="1171"/>
    </row>
    <row r="189" spans="1:7" s="1191" customFormat="1" ht="12" customHeight="1">
      <c r="A189" s="1171"/>
      <c r="B189" s="1171"/>
    </row>
    <row r="190" spans="1:7" s="1191" customFormat="1" ht="11.25" customHeight="1">
      <c r="A190" s="1171"/>
      <c r="B190" s="1171"/>
    </row>
    <row r="191" spans="1:7" s="1191" customFormat="1" ht="12" customHeight="1">
      <c r="A191" s="1208"/>
      <c r="B191" s="1208"/>
      <c r="C191" s="1253"/>
      <c r="D191" s="1253"/>
      <c r="E191" s="1253"/>
      <c r="F191" s="1253"/>
    </row>
    <row r="192" spans="1:7" s="1191" customFormat="1" ht="12" customHeight="1">
      <c r="A192" s="1171"/>
      <c r="B192" s="1171"/>
    </row>
    <row r="193" spans="1:2" s="1191" customFormat="1" ht="12" customHeight="1">
      <c r="A193" s="1171"/>
      <c r="B193" s="1171"/>
    </row>
    <row r="194" spans="1:2" s="1191" customFormat="1" ht="12" customHeight="1">
      <c r="A194" s="1171"/>
      <c r="B194" s="1171"/>
    </row>
    <row r="195" spans="1:2" s="1191" customFormat="1" ht="12" customHeight="1">
      <c r="A195" s="1171"/>
      <c r="B195" s="1171"/>
    </row>
    <row r="196" spans="1:2" s="1191" customFormat="1" ht="12" customHeight="1">
      <c r="A196" s="1171"/>
      <c r="B196" s="1171"/>
    </row>
    <row r="197" spans="1:2" s="1191" customFormat="1" ht="12" customHeight="1">
      <c r="A197" s="1171"/>
      <c r="B197" s="1171"/>
    </row>
    <row r="198" spans="1:2" s="1191" customFormat="1" ht="12" customHeight="1">
      <c r="A198" s="1171"/>
      <c r="B198" s="1171"/>
    </row>
    <row r="199" spans="1:2" s="1191" customFormat="1" ht="12" customHeight="1">
      <c r="A199" s="1171"/>
      <c r="B199" s="1171"/>
    </row>
    <row r="200" spans="1:2" s="1191" customFormat="1" ht="12" customHeight="1">
      <c r="A200" s="1171"/>
      <c r="B200" s="1171"/>
    </row>
    <row r="201" spans="1:2" s="1191" customFormat="1" ht="12" customHeight="1">
      <c r="A201" s="1171"/>
      <c r="B201" s="1171"/>
    </row>
    <row r="202" spans="1:2" s="1191" customFormat="1" ht="12" customHeight="1">
      <c r="A202" s="1171"/>
      <c r="B202" s="1171"/>
    </row>
    <row r="203" spans="1:2" s="1191" customFormat="1" ht="12" customHeight="1">
      <c r="A203" s="1171"/>
      <c r="B203" s="1171"/>
    </row>
    <row r="204" spans="1:2" s="1191" customFormat="1" ht="12" customHeight="1">
      <c r="A204" s="1171"/>
      <c r="B204" s="1171"/>
    </row>
    <row r="205" spans="1:2" s="1191" customFormat="1" ht="12" customHeight="1">
      <c r="A205" s="1171"/>
      <c r="B205" s="1171"/>
    </row>
    <row r="206" spans="1:2" s="1191" customFormat="1" ht="12" customHeight="1">
      <c r="A206" s="1171"/>
      <c r="B206" s="1171"/>
    </row>
    <row r="207" spans="1:2" s="1191" customFormat="1" ht="12" customHeight="1">
      <c r="A207" s="1171"/>
      <c r="B207" s="1171"/>
    </row>
    <row r="208" spans="1:2" s="1191" customFormat="1" ht="12" customHeight="1">
      <c r="A208" s="1171"/>
      <c r="B208" s="1171"/>
    </row>
    <row r="209" spans="1:2" s="1191" customFormat="1" ht="12" customHeight="1">
      <c r="A209" s="1171"/>
      <c r="B209" s="1171"/>
    </row>
    <row r="210" spans="1:2" s="1191" customFormat="1" ht="12" customHeight="1">
      <c r="A210" s="1171"/>
      <c r="B210" s="1171"/>
    </row>
    <row r="211" spans="1:2" s="1191" customFormat="1" ht="12" customHeight="1">
      <c r="A211" s="1171"/>
      <c r="B211" s="1171"/>
    </row>
    <row r="212" spans="1:2" s="1191" customFormat="1" ht="12" customHeight="1">
      <c r="A212" s="1171"/>
      <c r="B212" s="1171"/>
    </row>
    <row r="213" spans="1:2" s="1191" customFormat="1" ht="12" customHeight="1">
      <c r="A213" s="1171"/>
      <c r="B213" s="1171"/>
    </row>
    <row r="214" spans="1:2" s="1191" customFormat="1" ht="12" customHeight="1">
      <c r="A214" s="1171"/>
      <c r="B214" s="1171"/>
    </row>
    <row r="215" spans="1:2" s="1191" customFormat="1" ht="12" customHeight="1">
      <c r="A215" s="1171"/>
      <c r="B215" s="1171"/>
    </row>
    <row r="216" spans="1:2" s="1191" customFormat="1" ht="12" customHeight="1">
      <c r="A216" s="1171"/>
      <c r="B216" s="1171"/>
    </row>
    <row r="217" spans="1:2" s="1191" customFormat="1" ht="12" customHeight="1">
      <c r="A217" s="1171"/>
      <c r="B217" s="1171"/>
    </row>
    <row r="218" spans="1:2" s="1191" customFormat="1" ht="12" customHeight="1">
      <c r="A218" s="1171"/>
      <c r="B218" s="1171"/>
    </row>
    <row r="219" spans="1:2" s="1191" customFormat="1" ht="12" customHeight="1">
      <c r="A219" s="1171"/>
      <c r="B219" s="1171"/>
    </row>
    <row r="220" spans="1:2" s="1191" customFormat="1" ht="12" customHeight="1">
      <c r="A220" s="1171"/>
      <c r="B220" s="1171"/>
    </row>
    <row r="221" spans="1:2" s="1191" customFormat="1" ht="12" customHeight="1">
      <c r="A221" s="1171"/>
      <c r="B221" s="1171"/>
    </row>
    <row r="222" spans="1:2" s="1191" customFormat="1" ht="12" customHeight="1">
      <c r="A222" s="1171"/>
      <c r="B222" s="1171"/>
    </row>
    <row r="223" spans="1:2" s="1191" customFormat="1" ht="12" customHeight="1">
      <c r="A223" s="1171"/>
      <c r="B223" s="1171"/>
    </row>
    <row r="224" spans="1:2" s="1191" customFormat="1" ht="12" customHeight="1">
      <c r="A224" s="1171"/>
      <c r="B224" s="1171"/>
    </row>
    <row r="225" spans="1:2" s="1191" customFormat="1" ht="12" customHeight="1">
      <c r="A225" s="1171"/>
      <c r="B225" s="1171"/>
    </row>
    <row r="226" spans="1:2" s="1191" customFormat="1" ht="12" customHeight="1">
      <c r="A226" s="1171"/>
      <c r="B226" s="1171"/>
    </row>
    <row r="227" spans="1:2" s="1191" customFormat="1" ht="12" customHeight="1">
      <c r="A227" s="1171"/>
      <c r="B227" s="1171"/>
    </row>
    <row r="228" spans="1:2" s="1191" customFormat="1" ht="12" customHeight="1">
      <c r="A228" s="1171"/>
      <c r="B228" s="1171"/>
    </row>
    <row r="229" spans="1:2" s="1191" customFormat="1" ht="12" customHeight="1">
      <c r="A229" s="1171"/>
      <c r="B229" s="1171"/>
    </row>
    <row r="230" spans="1:2" s="1191" customFormat="1" ht="12" customHeight="1">
      <c r="A230" s="1171"/>
      <c r="B230" s="1171"/>
    </row>
    <row r="231" spans="1:2" s="1191" customFormat="1" ht="12" customHeight="1">
      <c r="A231" s="1171"/>
      <c r="B231" s="1171"/>
    </row>
    <row r="232" spans="1:2" s="1191" customFormat="1" ht="12" customHeight="1">
      <c r="A232" s="1171"/>
      <c r="B232" s="1171"/>
    </row>
    <row r="233" spans="1:2" s="1191" customFormat="1" ht="12" customHeight="1">
      <c r="A233" s="1171"/>
      <c r="B233" s="1171"/>
    </row>
    <row r="234" spans="1:2" s="1191" customFormat="1" ht="12" customHeight="1">
      <c r="A234" s="1171"/>
      <c r="B234" s="1171"/>
    </row>
    <row r="235" spans="1:2" s="1191" customFormat="1" ht="12" customHeight="1">
      <c r="A235" s="1171"/>
      <c r="B235" s="1171"/>
    </row>
    <row r="236" spans="1:2" s="1191" customFormat="1" ht="12" customHeight="1">
      <c r="A236" s="1171"/>
      <c r="B236" s="1171"/>
    </row>
    <row r="237" spans="1:2" s="1191" customFormat="1" ht="12" customHeight="1">
      <c r="A237" s="1171"/>
      <c r="B237" s="1171"/>
    </row>
    <row r="238" spans="1:2" s="1191" customFormat="1" ht="12" customHeight="1">
      <c r="A238" s="1171"/>
      <c r="B238" s="1171"/>
    </row>
    <row r="239" spans="1:2" s="1191" customFormat="1" ht="12" customHeight="1">
      <c r="A239" s="1171"/>
      <c r="B239" s="1171"/>
    </row>
    <row r="240" spans="1:2" s="1191" customFormat="1" ht="12" customHeight="1">
      <c r="A240" s="1171"/>
      <c r="B240" s="1171"/>
    </row>
    <row r="241" spans="1:2" s="1191" customFormat="1" ht="12" customHeight="1">
      <c r="A241" s="1171"/>
      <c r="B241" s="1171"/>
    </row>
    <row r="242" spans="1:2" s="1191" customFormat="1" ht="12" customHeight="1">
      <c r="A242" s="1171"/>
      <c r="B242" s="1171"/>
    </row>
    <row r="243" spans="1:2" s="1191" customFormat="1" ht="12" customHeight="1">
      <c r="A243" s="1171"/>
      <c r="B243" s="1171"/>
    </row>
    <row r="244" spans="1:2" s="1191" customFormat="1" ht="12" customHeight="1">
      <c r="A244" s="1171"/>
      <c r="B244" s="1171"/>
    </row>
    <row r="245" spans="1:2" s="1191" customFormat="1" ht="12" customHeight="1">
      <c r="A245" s="1171"/>
      <c r="B245" s="1171"/>
    </row>
    <row r="246" spans="1:2" s="1191" customFormat="1" ht="12" customHeight="1">
      <c r="A246" s="1171"/>
      <c r="B246" s="1171"/>
    </row>
    <row r="247" spans="1:2" s="1191" customFormat="1" ht="12" customHeight="1">
      <c r="A247" s="1171"/>
      <c r="B247" s="1171"/>
    </row>
    <row r="248" spans="1:2" s="1191" customFormat="1" ht="12" customHeight="1">
      <c r="A248" s="1171"/>
      <c r="B248" s="1171"/>
    </row>
    <row r="249" spans="1:2" s="1191" customFormat="1" ht="12" customHeight="1">
      <c r="A249" s="1171"/>
      <c r="B249" s="1171"/>
    </row>
    <row r="250" spans="1:2" s="1191" customFormat="1" ht="12" customHeight="1">
      <c r="A250" s="1171"/>
      <c r="B250" s="1171"/>
    </row>
    <row r="251" spans="1:2" s="1191" customFormat="1" ht="12" customHeight="1">
      <c r="A251" s="1171"/>
      <c r="B251" s="1171"/>
    </row>
    <row r="252" spans="1:2" s="1191" customFormat="1" ht="12" customHeight="1">
      <c r="A252" s="1171"/>
      <c r="B252" s="1171"/>
    </row>
    <row r="253" spans="1:2" s="1191" customFormat="1" ht="12" customHeight="1">
      <c r="A253" s="1171"/>
      <c r="B253" s="1171"/>
    </row>
    <row r="254" spans="1:2" s="1191" customFormat="1" ht="12" customHeight="1">
      <c r="A254" s="1171"/>
      <c r="B254" s="1171"/>
    </row>
    <row r="255" spans="1:2" s="1191" customFormat="1" ht="12" customHeight="1">
      <c r="A255" s="1171"/>
      <c r="B255" s="1171"/>
    </row>
    <row r="256" spans="1:2" s="1191" customFormat="1" ht="12" customHeight="1">
      <c r="A256" s="1171"/>
      <c r="B256" s="1171"/>
    </row>
    <row r="257" spans="1:2" s="1191" customFormat="1" ht="12" customHeight="1">
      <c r="A257" s="1171"/>
      <c r="B257" s="1171"/>
    </row>
    <row r="258" spans="1:2" s="1191" customFormat="1" ht="12" customHeight="1">
      <c r="A258" s="1171"/>
      <c r="B258" s="1171"/>
    </row>
    <row r="259" spans="1:2" s="1191" customFormat="1" ht="12" customHeight="1">
      <c r="A259" s="1171"/>
      <c r="B259" s="1171"/>
    </row>
    <row r="260" spans="1:2" s="1191" customFormat="1" ht="12" customHeight="1">
      <c r="A260" s="1171"/>
      <c r="B260" s="1171"/>
    </row>
  </sheetData>
  <sheetProtection algorithmName="SHA-512" hashValue="fQp/NkXe/zTBv/0nbTY4umAdLLvELf0h6nkNIip46DsERYgH/M0PTmKs1bX1B0HYFrz/sEuANvkmSfnTGU6xxw==" saltValue="x1e9GqipDW+SElis0/IMTA==" spinCount="100000" sheet="1" objects="1" scenarios="1"/>
  <phoneticPr fontId="10" type="noConversion"/>
  <dataValidations count="5">
    <dataValidation type="whole" operator="greaterThanOrEqual" showInputMessage="1" showErrorMessage="1" errorTitle="Invalid Data Entry " error="Please enter a positive number or press the delete key or enter zero." sqref="C132:E132 C134:E139 C141:E144 C146:E152 C155:E156 C104:E108 C181:E183 C10:D10 C21:E21 C87:E92 C84:E85 C40:E44 C37:E38 C52:E58 C47:E50 C61:E67 C76:E81 C94:E98 C101:E102 C119:E121 C117:E117 C110:E114 C158:E166 E18 E13:E16 C13:C18 D13:D16 D18">
      <formula1>0</formula1>
    </dataValidation>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allowBlank="1" showInputMessage="1" showErrorMessage="1" errorTitle="Invalid Data Entry" error="Please enter a positive number or press the delete key or enter zero." sqref="C20:E20">
      <formula1>0</formula1>
    </dataValidation>
    <dataValidation type="whole" operator="greaterThanOrEqual" showInputMessage="1" showErrorMessage="1" errorTitle="Invalid Data Entry" error="Please enter a positive number or press the delete key or enter a zero." sqref="C169:E170 C172:E180">
      <formula1>0</formula1>
    </dataValidation>
    <dataValidation operator="greaterThanOrEqual" errorTitle="Invalid Data Entry " error="Please enter a positive number or press the delete key or enter zero." sqref="E17"/>
  </dataValidations>
  <hyperlinks>
    <hyperlink ref="G1" location="Contents!F1" display="Return to Contents page"/>
  </hyperlinks>
  <printOptions horizontalCentered="1"/>
  <pageMargins left="0.25" right="0.25" top="0.19" bottom="0.19" header="0.5" footer="0.5"/>
  <pageSetup scale="93" orientation="portrait" blackAndWhite="1" r:id="rId1"/>
  <headerFooter alignWithMargins="0">
    <oddFooter>&amp;L&amp;D     &amp;T &amp;CCode No. 29&amp;RPage &amp;P</oddFooter>
  </headerFooter>
  <rowBreaks count="3" manualBreakCount="3">
    <brk id="67" max="16383" man="1"/>
    <brk id="123" max="4" man="1"/>
    <brk id="230" max="6553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4" tint="0.39997558519241921"/>
  </sheetPr>
  <dimension ref="A1:Q267"/>
  <sheetViews>
    <sheetView topLeftCell="A232" zoomScaleNormal="100" workbookViewId="0">
      <selection activeCell="E232" sqref="E232"/>
    </sheetView>
  </sheetViews>
  <sheetFormatPr defaultColWidth="10.7109375" defaultRowHeight="12" customHeight="1"/>
  <cols>
    <col min="1" max="1" width="41.5703125" style="1265" customWidth="1"/>
    <col min="2" max="2" width="4.85546875" style="1307" customWidth="1"/>
    <col min="3" max="3" width="16.140625" style="1259" customWidth="1"/>
    <col min="4" max="4" width="16.28515625" style="1259" customWidth="1"/>
    <col min="5" max="5" width="15.5703125" style="1259" customWidth="1"/>
    <col min="6" max="6" width="2.28515625" style="1259" customWidth="1"/>
    <col min="7" max="7" width="21" style="1259" customWidth="1"/>
    <col min="8" max="16384" width="10.7109375" style="1259"/>
  </cols>
  <sheetData>
    <row r="1" spans="1:17" ht="12" customHeight="1">
      <c r="A1" s="1255" t="s">
        <v>987</v>
      </c>
      <c r="B1" s="1256">
        <f>OPEN!$B$4</f>
        <v>270</v>
      </c>
      <c r="C1" s="1257"/>
      <c r="D1" s="1257"/>
      <c r="E1" s="1255" t="s">
        <v>1020</v>
      </c>
      <c r="F1" s="1258"/>
      <c r="G1" s="3013" t="s">
        <v>866</v>
      </c>
    </row>
    <row r="2" spans="1:17" ht="14.1" customHeight="1">
      <c r="A2" s="1257"/>
      <c r="B2" s="1260"/>
      <c r="C2" s="1257"/>
      <c r="D2" s="1257"/>
      <c r="E2" s="1255" t="s">
        <v>1212</v>
      </c>
      <c r="F2" s="1258"/>
    </row>
    <row r="3" spans="1:17" ht="12" customHeight="1">
      <c r="A3" s="1257"/>
      <c r="B3" s="1260"/>
      <c r="C3" s="1257"/>
      <c r="D3" s="1257"/>
      <c r="E3" s="1255" t="str">
        <f>OPEN!N2</f>
        <v>2016-2017</v>
      </c>
      <c r="F3" s="1258"/>
    </row>
    <row r="4" spans="1:17" ht="5.0999999999999996" customHeight="1">
      <c r="A4" s="1257"/>
      <c r="B4" s="1260"/>
      <c r="C4" s="1257"/>
      <c r="D4" s="1257"/>
      <c r="E4" s="1257"/>
      <c r="F4" s="1258"/>
    </row>
    <row r="5" spans="1:17" ht="12" customHeight="1">
      <c r="A5" s="1257"/>
      <c r="B5" s="1260"/>
      <c r="C5" s="1261" t="s">
        <v>1213</v>
      </c>
      <c r="D5" s="1261" t="s">
        <v>1213</v>
      </c>
      <c r="E5" s="1261" t="s">
        <v>1213</v>
      </c>
      <c r="F5" s="1258"/>
    </row>
    <row r="6" spans="1:17" ht="12" customHeight="1">
      <c r="A6" s="1262"/>
      <c r="B6" s="1263" t="s">
        <v>1045</v>
      </c>
      <c r="C6" s="1264" t="str">
        <f>OPEN!N4</f>
        <v>2014-2015</v>
      </c>
      <c r="D6" s="1264" t="str">
        <f>OPEN!O4</f>
        <v>2015-2016</v>
      </c>
      <c r="E6" s="1264" t="str">
        <f>OPEN!P4</f>
        <v>2016-2017</v>
      </c>
      <c r="F6" s="1258"/>
      <c r="K6" s="1265"/>
      <c r="L6" s="1265"/>
      <c r="M6" s="1265"/>
      <c r="N6" s="1265"/>
      <c r="O6" s="1265"/>
      <c r="P6" s="1265"/>
      <c r="Q6" s="1265"/>
    </row>
    <row r="7" spans="1:17" ht="12" customHeight="1">
      <c r="A7" s="1262" t="s">
        <v>685</v>
      </c>
      <c r="B7" s="1266">
        <v>30</v>
      </c>
      <c r="C7" s="1267" t="s">
        <v>1139</v>
      </c>
      <c r="D7" s="1267" t="s">
        <v>1139</v>
      </c>
      <c r="E7" s="1267" t="s">
        <v>1215</v>
      </c>
      <c r="F7" s="1258"/>
      <c r="N7" s="1265"/>
      <c r="O7" s="1268"/>
      <c r="P7" s="1268"/>
      <c r="Q7" s="1268"/>
    </row>
    <row r="8" spans="1:17" ht="12" customHeight="1">
      <c r="A8" s="1257"/>
      <c r="B8" s="1266" t="s">
        <v>1051</v>
      </c>
      <c r="C8" s="1269">
        <v>1</v>
      </c>
      <c r="D8" s="1269">
        <v>2</v>
      </c>
      <c r="E8" s="1269">
        <v>3</v>
      </c>
      <c r="F8" s="1258"/>
      <c r="N8" s="1265"/>
      <c r="O8" s="1268"/>
      <c r="P8" s="1268"/>
      <c r="Q8" s="1268"/>
    </row>
    <row r="9" spans="1:17" ht="12" customHeight="1">
      <c r="A9" s="1270" t="s">
        <v>1402</v>
      </c>
      <c r="B9" s="1271">
        <v>1</v>
      </c>
      <c r="C9" s="2524">
        <v>136137</v>
      </c>
      <c r="D9" s="1273">
        <f>C29</f>
        <v>166419</v>
      </c>
      <c r="E9" s="2526">
        <f>D29</f>
        <v>158277</v>
      </c>
      <c r="F9" s="1258"/>
      <c r="N9" s="1265"/>
      <c r="O9" s="1268"/>
      <c r="P9" s="1268"/>
      <c r="Q9" s="1268"/>
    </row>
    <row r="10" spans="1:17" ht="12" customHeight="1">
      <c r="A10" s="1274" t="s">
        <v>1403</v>
      </c>
      <c r="B10" s="1275">
        <v>3</v>
      </c>
      <c r="C10" s="1304"/>
      <c r="D10" s="1276"/>
      <c r="E10" s="1284"/>
      <c r="F10" s="1258"/>
      <c r="N10" s="1265"/>
      <c r="O10" s="1268"/>
      <c r="P10" s="1268"/>
      <c r="Q10" s="1268"/>
    </row>
    <row r="11" spans="1:17" ht="12" customHeight="1">
      <c r="A11" s="1274" t="s">
        <v>19</v>
      </c>
      <c r="B11" s="1275"/>
      <c r="C11" s="1284"/>
      <c r="D11" s="1278"/>
      <c r="E11" s="1300"/>
      <c r="F11" s="1258"/>
      <c r="N11" s="1265"/>
      <c r="O11" s="1268"/>
      <c r="P11" s="1268"/>
      <c r="Q11" s="1268"/>
    </row>
    <row r="12" spans="1:17" ht="12" customHeight="1">
      <c r="A12" s="1279" t="s">
        <v>20</v>
      </c>
      <c r="B12" s="1280"/>
      <c r="C12" s="1300"/>
      <c r="D12" s="1281"/>
      <c r="E12" s="1300"/>
      <c r="F12" s="1258"/>
      <c r="N12" s="1265"/>
      <c r="O12" s="1268"/>
      <c r="P12" s="1268"/>
      <c r="Q12" s="1268"/>
    </row>
    <row r="13" spans="1:17" ht="12" customHeight="1">
      <c r="A13" s="1279" t="s">
        <v>95</v>
      </c>
      <c r="B13" s="1280">
        <v>5</v>
      </c>
      <c r="C13" s="1303"/>
      <c r="D13" s="4996" t="s">
        <v>51</v>
      </c>
      <c r="E13" s="4229" t="s">
        <v>1431</v>
      </c>
      <c r="F13" s="1258"/>
      <c r="N13" s="1265"/>
      <c r="O13" s="1265"/>
      <c r="P13" s="1265"/>
      <c r="Q13" s="1265"/>
    </row>
    <row r="14" spans="1:17" ht="12" customHeight="1">
      <c r="A14" s="1274" t="s">
        <v>25</v>
      </c>
      <c r="B14" s="1275">
        <v>15</v>
      </c>
      <c r="C14" s="1304">
        <v>5562</v>
      </c>
      <c r="D14" s="1276">
        <v>5406</v>
      </c>
      <c r="E14" s="1304"/>
      <c r="F14" s="1258"/>
      <c r="N14" s="1265"/>
      <c r="O14" s="1283"/>
      <c r="P14" s="1265"/>
      <c r="Q14" s="1265"/>
    </row>
    <row r="15" spans="1:17" ht="12" customHeight="1">
      <c r="A15" s="3817" t="s">
        <v>1263</v>
      </c>
      <c r="B15" s="1275">
        <v>20</v>
      </c>
      <c r="C15" s="1304">
        <v>12041</v>
      </c>
      <c r="D15" s="1276">
        <v>7490</v>
      </c>
      <c r="E15" s="2528"/>
      <c r="F15" s="1258"/>
      <c r="N15" s="1265"/>
      <c r="O15" s="1283"/>
      <c r="P15" s="1265"/>
      <c r="Q15" s="1265"/>
    </row>
    <row r="16" spans="1:17" ht="12" customHeight="1">
      <c r="A16" s="1274" t="s">
        <v>33</v>
      </c>
      <c r="B16" s="1263"/>
      <c r="C16" s="1284"/>
      <c r="D16" s="1278"/>
      <c r="E16" s="1300"/>
      <c r="F16" s="1258"/>
      <c r="N16" s="1265"/>
      <c r="O16" s="1283"/>
      <c r="P16" s="1283"/>
      <c r="Q16" s="1283"/>
    </row>
    <row r="17" spans="1:17" ht="12" customHeight="1">
      <c r="A17" s="1286" t="s">
        <v>686</v>
      </c>
      <c r="B17" s="2529">
        <v>35</v>
      </c>
      <c r="C17" s="1285"/>
      <c r="D17" s="1288"/>
      <c r="E17" s="1285"/>
      <c r="F17" s="1258"/>
      <c r="G17" s="3704"/>
      <c r="N17" s="1265"/>
      <c r="O17" s="1283"/>
      <c r="P17" s="1283"/>
      <c r="Q17" s="1283"/>
    </row>
    <row r="18" spans="1:17" ht="12" customHeight="1">
      <c r="A18" s="1279" t="s">
        <v>46</v>
      </c>
      <c r="B18" s="1280"/>
      <c r="C18" s="1300"/>
      <c r="D18" s="1281"/>
      <c r="E18" s="1300"/>
      <c r="F18" s="1258"/>
      <c r="N18" s="1265"/>
      <c r="O18" s="1283"/>
      <c r="P18" s="1283"/>
      <c r="Q18" s="1283"/>
    </row>
    <row r="19" spans="1:17" ht="12" customHeight="1">
      <c r="A19" s="1286" t="s">
        <v>687</v>
      </c>
      <c r="B19" s="1287">
        <v>45</v>
      </c>
      <c r="C19" s="1285"/>
      <c r="D19" s="1288"/>
      <c r="E19" s="1285"/>
      <c r="F19" s="1258"/>
      <c r="N19" s="1265"/>
      <c r="O19" s="1283"/>
      <c r="P19" s="1283"/>
      <c r="Q19" s="1283"/>
    </row>
    <row r="20" spans="1:17" ht="12" customHeight="1">
      <c r="A20" s="1286" t="s">
        <v>2649</v>
      </c>
      <c r="B20" s="1287">
        <v>55</v>
      </c>
      <c r="C20" s="1285"/>
      <c r="D20" s="1288"/>
      <c r="E20" s="1285"/>
      <c r="F20" s="1258"/>
      <c r="N20" s="1265"/>
      <c r="O20" s="1283"/>
      <c r="P20" s="1283"/>
      <c r="Q20" s="1283"/>
    </row>
    <row r="21" spans="1:17" ht="12" customHeight="1">
      <c r="A21" s="1279" t="s">
        <v>688</v>
      </c>
      <c r="B21" s="1280">
        <v>60</v>
      </c>
      <c r="C21" s="1303"/>
      <c r="D21" s="1282"/>
      <c r="E21" s="1303"/>
      <c r="F21" s="1258"/>
      <c r="N21" s="1265"/>
      <c r="O21" s="1283"/>
      <c r="P21" s="1283"/>
      <c r="Q21" s="1283"/>
    </row>
    <row r="22" spans="1:17" ht="12" customHeight="1">
      <c r="A22" s="1274" t="s">
        <v>689</v>
      </c>
      <c r="B22" s="1275">
        <v>65</v>
      </c>
      <c r="C22" s="1304"/>
      <c r="D22" s="1276"/>
      <c r="E22" s="1304"/>
      <c r="F22" s="1258"/>
    </row>
    <row r="23" spans="1:17" ht="12" customHeight="1">
      <c r="A23" s="1274" t="s">
        <v>48</v>
      </c>
      <c r="B23" s="1275"/>
      <c r="C23" s="1284"/>
      <c r="D23" s="1278"/>
      <c r="E23" s="1284"/>
      <c r="F23" s="1258"/>
    </row>
    <row r="24" spans="1:17" ht="12" customHeight="1">
      <c r="A24" s="1279" t="s">
        <v>49</v>
      </c>
      <c r="B24" s="1280">
        <v>75</v>
      </c>
      <c r="C24" s="2525">
        <f>'C06'!$C$348</f>
        <v>425767</v>
      </c>
      <c r="D24" s="1289">
        <f>'C06'!$D$348</f>
        <v>569218</v>
      </c>
      <c r="E24" s="2525">
        <f>'C06'!$E$348</f>
        <v>522152</v>
      </c>
      <c r="F24" s="1258"/>
    </row>
    <row r="25" spans="1:17" ht="12" customHeight="1">
      <c r="A25" s="1274" t="s">
        <v>368</v>
      </c>
      <c r="B25" s="1275">
        <v>80</v>
      </c>
      <c r="C25" s="2526">
        <f>'C08'!$C$317</f>
        <v>205000</v>
      </c>
      <c r="D25" s="1290">
        <f>'C08'!$D$317</f>
        <v>50000</v>
      </c>
      <c r="E25" s="2526">
        <f>'C08'!$E$317</f>
        <v>120000</v>
      </c>
      <c r="F25" s="1258"/>
    </row>
    <row r="26" spans="1:17" ht="12" customHeight="1">
      <c r="A26" s="1274" t="s">
        <v>50</v>
      </c>
      <c r="B26" s="1275">
        <v>85</v>
      </c>
      <c r="C26" s="2527">
        <f>'C053'!$C$271</f>
        <v>0</v>
      </c>
      <c r="D26" s="1290">
        <f>'C053'!$D$271</f>
        <v>0</v>
      </c>
      <c r="E26" s="1277" t="s">
        <v>1189</v>
      </c>
      <c r="F26" s="1258"/>
      <c r="G26" s="4142" t="s">
        <v>1891</v>
      </c>
    </row>
    <row r="27" spans="1:17" ht="12" customHeight="1">
      <c r="A27" s="1291" t="s">
        <v>52</v>
      </c>
      <c r="B27" s="1292">
        <v>170</v>
      </c>
      <c r="C27" s="2525">
        <f>SUM(C9:C26)</f>
        <v>784507</v>
      </c>
      <c r="D27" s="1290">
        <f>SUM(D9:D26)</f>
        <v>798533</v>
      </c>
      <c r="E27" s="2528">
        <f>SUM(E9:E26)</f>
        <v>800429</v>
      </c>
      <c r="F27" s="1258"/>
      <c r="G27" s="4148">
        <f>'F118'!$G$60</f>
        <v>522152</v>
      </c>
    </row>
    <row r="28" spans="1:17" ht="12" customHeight="1">
      <c r="A28" s="1293" t="s">
        <v>53</v>
      </c>
      <c r="B28" s="1294">
        <v>175</v>
      </c>
      <c r="C28" s="2528">
        <f>C262</f>
        <v>618088</v>
      </c>
      <c r="D28" s="1290">
        <f>D262</f>
        <v>640256</v>
      </c>
      <c r="E28" s="2528">
        <f>IF(E262&lt;=E27,E262,"ERROR")</f>
        <v>728437</v>
      </c>
      <c r="F28" s="1258"/>
      <c r="G28" s="3104" t="str">
        <f>IF(E28="ERROR","Expenditures must be less than or equal to the Resources Available","")</f>
        <v/>
      </c>
    </row>
    <row r="29" spans="1:17" ht="12" customHeight="1">
      <c r="A29" s="1296" t="s">
        <v>690</v>
      </c>
      <c r="B29" s="1297">
        <v>190</v>
      </c>
      <c r="C29" s="2526">
        <f>SUM(C27-C28)</f>
        <v>166419</v>
      </c>
      <c r="D29" s="1273">
        <f>SUM(D27-D28)</f>
        <v>158277</v>
      </c>
      <c r="E29" s="2620">
        <f>IF(ISERROR(E27-E28),"NEGATIVE",E27-E28)</f>
        <v>71992</v>
      </c>
      <c r="F29" s="1258"/>
      <c r="G29" s="3588"/>
      <c r="H29" s="1295"/>
    </row>
    <row r="30" spans="1:17" ht="13.5" customHeight="1">
      <c r="A30" s="1257" t="s">
        <v>2648</v>
      </c>
      <c r="B30" s="1261"/>
      <c r="C30" s="1257"/>
      <c r="D30" s="1257"/>
      <c r="E30" s="1257"/>
      <c r="F30" s="1258"/>
      <c r="G30" s="1295"/>
      <c r="H30" s="1295"/>
    </row>
    <row r="31" spans="1:17" ht="12" customHeight="1">
      <c r="A31" s="1298"/>
      <c r="B31" s="1298"/>
      <c r="C31" s="1298"/>
      <c r="D31" s="1298"/>
      <c r="E31" s="1298"/>
      <c r="F31" s="1299"/>
    </row>
    <row r="32" spans="1:17" ht="7.5" customHeight="1">
      <c r="A32" s="1257"/>
      <c r="B32" s="1261"/>
      <c r="C32" s="1257"/>
      <c r="D32" s="1257"/>
      <c r="E32" s="1255"/>
      <c r="F32" s="1299"/>
    </row>
    <row r="33" spans="1:6" ht="7.5" customHeight="1">
      <c r="A33" s="1257"/>
      <c r="B33" s="1261"/>
      <c r="C33" s="1257"/>
      <c r="D33" s="1257"/>
      <c r="E33" s="1255"/>
      <c r="F33" s="1258"/>
    </row>
    <row r="34" spans="1:6" ht="6.75" customHeight="1">
      <c r="A34" s="1257"/>
      <c r="B34" s="1261"/>
      <c r="C34" s="1257"/>
      <c r="D34" s="1257"/>
      <c r="E34" s="1255"/>
      <c r="F34" s="1258"/>
    </row>
    <row r="35" spans="1:6" ht="12" customHeight="1">
      <c r="A35" s="1257"/>
      <c r="B35" s="1261"/>
      <c r="C35" s="1257"/>
      <c r="D35" s="1257"/>
      <c r="E35" s="1257"/>
      <c r="F35" s="1258"/>
    </row>
    <row r="36" spans="1:6" ht="12" customHeight="1">
      <c r="A36" s="1257"/>
      <c r="B36" s="1260"/>
      <c r="C36" s="1261" t="s">
        <v>1213</v>
      </c>
      <c r="D36" s="1261" t="s">
        <v>1213</v>
      </c>
      <c r="E36" s="1261" t="s">
        <v>1213</v>
      </c>
      <c r="F36" s="1258"/>
    </row>
    <row r="37" spans="1:6" ht="12" customHeight="1">
      <c r="A37" s="1262" t="s">
        <v>685</v>
      </c>
      <c r="B37" s="1263" t="s">
        <v>1045</v>
      </c>
      <c r="C37" s="1264" t="str">
        <f>C6</f>
        <v>2014-2015</v>
      </c>
      <c r="D37" s="1264" t="str">
        <f>D6</f>
        <v>2015-2016</v>
      </c>
      <c r="E37" s="1264" t="str">
        <f>E6</f>
        <v>2016-2017</v>
      </c>
      <c r="F37" s="1258"/>
    </row>
    <row r="38" spans="1:6" ht="12" customHeight="1">
      <c r="A38" s="1262" t="s">
        <v>81</v>
      </c>
      <c r="B38" s="1266">
        <v>30</v>
      </c>
      <c r="C38" s="1267" t="s">
        <v>1139</v>
      </c>
      <c r="D38" s="1267" t="s">
        <v>1139</v>
      </c>
      <c r="E38" s="1267" t="s">
        <v>1215</v>
      </c>
      <c r="F38" s="1258"/>
    </row>
    <row r="39" spans="1:6" ht="12" customHeight="1">
      <c r="A39" s="1257"/>
      <c r="B39" s="1266" t="s">
        <v>1051</v>
      </c>
      <c r="C39" s="1269">
        <v>1</v>
      </c>
      <c r="D39" s="1269">
        <v>2</v>
      </c>
      <c r="E39" s="1269">
        <v>3</v>
      </c>
      <c r="F39" s="1258"/>
    </row>
    <row r="40" spans="1:6" ht="12" customHeight="1">
      <c r="A40" s="1274" t="s">
        <v>82</v>
      </c>
      <c r="B40" s="1275"/>
      <c r="C40" s="1284"/>
      <c r="D40" s="1278"/>
      <c r="E40" s="1284"/>
      <c r="F40" s="1258"/>
    </row>
    <row r="41" spans="1:6" ht="12" customHeight="1">
      <c r="A41" s="1279" t="s">
        <v>1309</v>
      </c>
      <c r="B41" s="1280"/>
      <c r="C41" s="1300"/>
      <c r="D41" s="1281"/>
      <c r="E41" s="1300"/>
      <c r="F41" s="1258"/>
    </row>
    <row r="42" spans="1:6" ht="12" customHeight="1">
      <c r="A42" s="1301" t="s">
        <v>1347</v>
      </c>
      <c r="B42" s="1302">
        <v>210</v>
      </c>
      <c r="C42" s="1303">
        <v>4603</v>
      </c>
      <c r="D42" s="1282">
        <v>1998</v>
      </c>
      <c r="E42" s="1303">
        <v>3000</v>
      </c>
      <c r="F42" s="1258"/>
    </row>
    <row r="43" spans="1:6" ht="12" customHeight="1">
      <c r="A43" s="1293" t="s">
        <v>1270</v>
      </c>
      <c r="B43" s="1294">
        <v>215</v>
      </c>
      <c r="C43" s="1304">
        <v>6086</v>
      </c>
      <c r="D43" s="1276">
        <v>5006</v>
      </c>
      <c r="E43" s="1304">
        <v>50</v>
      </c>
      <c r="F43" s="1258"/>
    </row>
    <row r="44" spans="1:6" ht="12" customHeight="1">
      <c r="A44" s="1293" t="s">
        <v>1310</v>
      </c>
      <c r="B44" s="1294"/>
      <c r="C44" s="1284"/>
      <c r="D44" s="1278"/>
      <c r="E44" s="1284"/>
      <c r="F44" s="1258"/>
    </row>
    <row r="45" spans="1:6" ht="12" customHeight="1">
      <c r="A45" s="1301" t="s">
        <v>1311</v>
      </c>
      <c r="B45" s="1302">
        <v>220</v>
      </c>
      <c r="C45" s="1303"/>
      <c r="D45" s="1282"/>
      <c r="E45" s="1303"/>
      <c r="F45" s="1258"/>
    </row>
    <row r="46" spans="1:6" ht="12" customHeight="1">
      <c r="A46" s="1293" t="s">
        <v>1314</v>
      </c>
      <c r="B46" s="1294">
        <v>225</v>
      </c>
      <c r="C46" s="1304">
        <v>782</v>
      </c>
      <c r="D46" s="1276">
        <v>524</v>
      </c>
      <c r="E46" s="1304">
        <v>550</v>
      </c>
      <c r="F46" s="1258"/>
    </row>
    <row r="47" spans="1:6" ht="12" customHeight="1">
      <c r="A47" s="1293" t="s">
        <v>1315</v>
      </c>
      <c r="B47" s="1294">
        <v>230</v>
      </c>
      <c r="C47" s="1304">
        <v>52</v>
      </c>
      <c r="D47" s="1276">
        <v>22</v>
      </c>
      <c r="E47" s="1304">
        <v>60</v>
      </c>
      <c r="F47" s="1258"/>
    </row>
    <row r="48" spans="1:6" ht="12" customHeight="1">
      <c r="A48" s="1296" t="s">
        <v>911</v>
      </c>
      <c r="B48" s="2862">
        <v>235</v>
      </c>
      <c r="C48" s="2524">
        <v>372</v>
      </c>
      <c r="D48" s="2524">
        <v>186</v>
      </c>
      <c r="E48" s="2524">
        <v>350</v>
      </c>
      <c r="F48" s="1258"/>
    </row>
    <row r="49" spans="1:7" ht="12" customHeight="1">
      <c r="A49" s="2985" t="s">
        <v>711</v>
      </c>
      <c r="B49" s="2986">
        <v>237</v>
      </c>
      <c r="C49" s="1303"/>
      <c r="D49" s="1282"/>
      <c r="E49" s="1303"/>
      <c r="F49" s="1258"/>
    </row>
    <row r="50" spans="1:7" ht="12" customHeight="1">
      <c r="A50" s="1293" t="s">
        <v>1327</v>
      </c>
      <c r="B50" s="1294"/>
      <c r="C50" s="1284"/>
      <c r="D50" s="1278"/>
      <c r="E50" s="1284"/>
      <c r="F50" s="1258"/>
    </row>
    <row r="51" spans="1:7" ht="12" customHeight="1">
      <c r="A51" s="1301" t="s">
        <v>83</v>
      </c>
      <c r="B51" s="1302"/>
      <c r="C51" s="1300"/>
      <c r="D51" s="1281"/>
      <c r="E51" s="1300"/>
      <c r="F51" s="1258"/>
    </row>
    <row r="52" spans="1:7" ht="12" customHeight="1">
      <c r="A52" s="1301" t="s">
        <v>99</v>
      </c>
      <c r="B52" s="1302">
        <v>240</v>
      </c>
      <c r="C52" s="1303"/>
      <c r="D52" s="1282"/>
      <c r="E52" s="1303"/>
      <c r="F52" s="1258"/>
    </row>
    <row r="53" spans="1:7" ht="12" customHeight="1">
      <c r="A53" s="1293" t="s">
        <v>306</v>
      </c>
      <c r="B53" s="1294">
        <v>245</v>
      </c>
      <c r="C53" s="1304"/>
      <c r="D53" s="1276"/>
      <c r="E53" s="1304"/>
      <c r="F53" s="1258"/>
    </row>
    <row r="54" spans="1:7" ht="12" customHeight="1">
      <c r="A54" s="1293" t="s">
        <v>691</v>
      </c>
      <c r="B54" s="1294"/>
      <c r="C54" s="1284"/>
      <c r="D54" s="1278"/>
      <c r="E54" s="1284"/>
      <c r="F54" s="1258"/>
    </row>
    <row r="55" spans="1:7" ht="12" customHeight="1">
      <c r="A55" s="3045" t="s">
        <v>1893</v>
      </c>
      <c r="B55" s="3046">
        <v>250</v>
      </c>
      <c r="C55" s="1285">
        <v>181459</v>
      </c>
      <c r="D55" s="1288">
        <v>260379</v>
      </c>
      <c r="E55" s="1285">
        <v>196427</v>
      </c>
      <c r="F55" s="1258"/>
      <c r="G55" s="3545" t="s">
        <v>576</v>
      </c>
    </row>
    <row r="56" spans="1:7" ht="12" customHeight="1">
      <c r="A56" s="1301" t="s">
        <v>1274</v>
      </c>
      <c r="B56" s="1302"/>
      <c r="C56" s="2525"/>
      <c r="D56" s="1289"/>
      <c r="E56" s="2525"/>
      <c r="F56" s="1258"/>
    </row>
    <row r="57" spans="1:7" ht="12" customHeight="1">
      <c r="A57" s="1301" t="s">
        <v>1275</v>
      </c>
      <c r="B57" s="1302">
        <v>251</v>
      </c>
      <c r="C57" s="1303">
        <v>423968</v>
      </c>
      <c r="D57" s="1282">
        <v>370475</v>
      </c>
      <c r="E57" s="1303">
        <v>525000</v>
      </c>
      <c r="F57" s="1258"/>
    </row>
    <row r="58" spans="1:7" ht="12" customHeight="1">
      <c r="A58" s="1293" t="s">
        <v>1336</v>
      </c>
      <c r="B58" s="1294">
        <v>255</v>
      </c>
      <c r="C58" s="1304"/>
      <c r="D58" s="1276"/>
      <c r="E58" s="1304"/>
      <c r="F58" s="1258"/>
    </row>
    <row r="59" spans="1:7" ht="12" customHeight="1">
      <c r="A59" s="1293" t="s">
        <v>1337</v>
      </c>
      <c r="B59" s="1294"/>
      <c r="C59" s="1284"/>
      <c r="D59" s="1278"/>
      <c r="E59" s="1284"/>
      <c r="F59" s="1258"/>
    </row>
    <row r="60" spans="1:7" ht="12" customHeight="1">
      <c r="A60" s="1301" t="s">
        <v>84</v>
      </c>
      <c r="B60" s="1302">
        <v>260</v>
      </c>
      <c r="C60" s="1303">
        <v>323</v>
      </c>
      <c r="D60" s="1282">
        <v>1456</v>
      </c>
      <c r="E60" s="1303">
        <v>1000</v>
      </c>
      <c r="F60" s="1258"/>
    </row>
    <row r="61" spans="1:7" ht="12" customHeight="1">
      <c r="A61" s="1293" t="s">
        <v>87</v>
      </c>
      <c r="B61" s="1294">
        <v>265</v>
      </c>
      <c r="C61" s="1304"/>
      <c r="D61" s="1276"/>
      <c r="E61" s="1304"/>
      <c r="F61" s="1258"/>
    </row>
    <row r="62" spans="1:7" ht="12" customHeight="1">
      <c r="A62" s="2987" t="s">
        <v>1256</v>
      </c>
      <c r="B62" s="2988">
        <v>267</v>
      </c>
      <c r="C62" s="1304">
        <v>134</v>
      </c>
      <c r="D62" s="1276">
        <v>186</v>
      </c>
      <c r="E62" s="1304">
        <v>1000</v>
      </c>
      <c r="F62" s="1258"/>
    </row>
    <row r="63" spans="1:7" ht="12" customHeight="1">
      <c r="A63" s="1293" t="s">
        <v>1344</v>
      </c>
      <c r="B63" s="1294">
        <v>270</v>
      </c>
      <c r="C63" s="1304"/>
      <c r="D63" s="1276"/>
      <c r="E63" s="1304"/>
      <c r="F63" s="1258"/>
    </row>
    <row r="64" spans="1:7" ht="12" customHeight="1">
      <c r="A64" s="1293" t="s">
        <v>1345</v>
      </c>
      <c r="B64" s="1294">
        <v>275</v>
      </c>
      <c r="C64" s="1304"/>
      <c r="D64" s="1276">
        <v>24</v>
      </c>
      <c r="E64" s="1304">
        <v>1000</v>
      </c>
      <c r="F64" s="1258"/>
    </row>
    <row r="65" spans="1:6" ht="12" customHeight="1">
      <c r="A65" s="1296" t="s">
        <v>1346</v>
      </c>
      <c r="B65" s="1297">
        <v>280</v>
      </c>
      <c r="C65" s="2524"/>
      <c r="D65" s="1272"/>
      <c r="E65" s="2524"/>
      <c r="F65" s="1258"/>
    </row>
    <row r="66" spans="1:6" ht="12" customHeight="1">
      <c r="A66" s="1255" t="s">
        <v>1019</v>
      </c>
      <c r="B66" s="1256">
        <f>B1</f>
        <v>270</v>
      </c>
      <c r="C66" s="1257"/>
      <c r="D66" s="1257"/>
      <c r="E66" s="1255" t="s">
        <v>1020</v>
      </c>
      <c r="F66" s="1258"/>
    </row>
    <row r="67" spans="1:6" ht="12" customHeight="1">
      <c r="A67" s="1257"/>
      <c r="B67" s="1261"/>
      <c r="C67" s="1257"/>
      <c r="D67" s="1257"/>
      <c r="E67" s="1255" t="s">
        <v>1212</v>
      </c>
      <c r="F67" s="1258"/>
    </row>
    <row r="68" spans="1:6" ht="12" customHeight="1">
      <c r="A68" s="1257"/>
      <c r="B68" s="1261"/>
      <c r="C68" s="1257"/>
      <c r="D68" s="1257"/>
      <c r="E68" s="1255" t="str">
        <f>E3</f>
        <v>2016-2017</v>
      </c>
      <c r="F68" s="1258"/>
    </row>
    <row r="69" spans="1:6" ht="12" customHeight="1">
      <c r="A69" s="1257"/>
      <c r="B69" s="1261"/>
      <c r="C69" s="1257"/>
      <c r="D69" s="1257"/>
      <c r="E69" s="1257"/>
      <c r="F69" s="1258"/>
    </row>
    <row r="70" spans="1:6" ht="12" customHeight="1">
      <c r="A70" s="1257"/>
      <c r="B70" s="1260"/>
      <c r="C70" s="1261" t="s">
        <v>1213</v>
      </c>
      <c r="D70" s="1261" t="s">
        <v>1213</v>
      </c>
      <c r="E70" s="1261" t="s">
        <v>1213</v>
      </c>
      <c r="F70" s="1258"/>
    </row>
    <row r="71" spans="1:6" ht="12" customHeight="1">
      <c r="A71" s="1262" t="s">
        <v>685</v>
      </c>
      <c r="B71" s="1263" t="s">
        <v>1045</v>
      </c>
      <c r="C71" s="1264" t="str">
        <f>C6</f>
        <v>2014-2015</v>
      </c>
      <c r="D71" s="1264" t="str">
        <f>D6</f>
        <v>2015-2016</v>
      </c>
      <c r="E71" s="1264" t="str">
        <f>E6</f>
        <v>2016-2017</v>
      </c>
      <c r="F71" s="1258"/>
    </row>
    <row r="72" spans="1:6" ht="12" customHeight="1">
      <c r="A72" s="1262" t="s">
        <v>81</v>
      </c>
      <c r="B72" s="1266">
        <v>30</v>
      </c>
      <c r="C72" s="1267" t="s">
        <v>1139</v>
      </c>
      <c r="D72" s="1267" t="s">
        <v>1139</v>
      </c>
      <c r="E72" s="1267" t="s">
        <v>1215</v>
      </c>
      <c r="F72" s="1258"/>
    </row>
    <row r="73" spans="1:6" ht="12" customHeight="1">
      <c r="A73" s="1257"/>
      <c r="B73" s="1266" t="s">
        <v>1051</v>
      </c>
      <c r="C73" s="1269">
        <v>1</v>
      </c>
      <c r="D73" s="1269">
        <v>2</v>
      </c>
      <c r="E73" s="1269">
        <v>3</v>
      </c>
      <c r="F73" s="1258"/>
    </row>
    <row r="74" spans="1:6" ht="12" customHeight="1">
      <c r="A74" s="1293" t="s">
        <v>88</v>
      </c>
      <c r="B74" s="1294"/>
      <c r="C74" s="1284"/>
      <c r="D74" s="1278"/>
      <c r="E74" s="1284"/>
      <c r="F74" s="1258"/>
    </row>
    <row r="75" spans="1:6" ht="12" customHeight="1">
      <c r="A75" s="1301" t="s">
        <v>89</v>
      </c>
      <c r="B75" s="1302"/>
      <c r="C75" s="1300"/>
      <c r="D75" s="1281"/>
      <c r="E75" s="1300"/>
      <c r="F75" s="1258"/>
    </row>
    <row r="76" spans="1:6" ht="12" customHeight="1">
      <c r="A76" s="1301" t="s">
        <v>1309</v>
      </c>
      <c r="B76" s="1302"/>
      <c r="C76" s="1300"/>
      <c r="D76" s="1281"/>
      <c r="E76" s="1300"/>
      <c r="F76" s="1258"/>
    </row>
    <row r="77" spans="1:6" ht="12" customHeight="1">
      <c r="A77" s="1301" t="s">
        <v>1347</v>
      </c>
      <c r="B77" s="1302">
        <v>285</v>
      </c>
      <c r="C77" s="1303"/>
      <c r="D77" s="1282"/>
      <c r="E77" s="1303"/>
      <c r="F77" s="1258"/>
    </row>
    <row r="78" spans="1:6" ht="12" customHeight="1">
      <c r="A78" s="1293" t="s">
        <v>1270</v>
      </c>
      <c r="B78" s="1294">
        <v>290</v>
      </c>
      <c r="C78" s="1304"/>
      <c r="D78" s="1276"/>
      <c r="E78" s="1304"/>
      <c r="F78" s="1258"/>
    </row>
    <row r="79" spans="1:6" ht="12" customHeight="1">
      <c r="A79" s="1293" t="s">
        <v>1310</v>
      </c>
      <c r="B79" s="1294"/>
      <c r="C79" s="1284"/>
      <c r="D79" s="1278"/>
      <c r="E79" s="1284"/>
      <c r="F79" s="1258"/>
    </row>
    <row r="80" spans="1:6" ht="12" customHeight="1">
      <c r="A80" s="1301" t="s">
        <v>1311</v>
      </c>
      <c r="B80" s="1302">
        <v>295</v>
      </c>
      <c r="C80" s="1303"/>
      <c r="D80" s="1282"/>
      <c r="E80" s="1303"/>
      <c r="F80" s="1258"/>
    </row>
    <row r="81" spans="1:6" ht="12" customHeight="1">
      <c r="A81" s="1293" t="s">
        <v>1314</v>
      </c>
      <c r="B81" s="1294">
        <v>300</v>
      </c>
      <c r="C81" s="1304"/>
      <c r="D81" s="1276"/>
      <c r="E81" s="1304"/>
      <c r="F81" s="1258"/>
    </row>
    <row r="82" spans="1:6" ht="12" customHeight="1">
      <c r="A82" s="1293" t="s">
        <v>1315</v>
      </c>
      <c r="B82" s="1294">
        <v>305</v>
      </c>
      <c r="C82" s="1304"/>
      <c r="D82" s="1276"/>
      <c r="E82" s="1304"/>
      <c r="F82" s="1258"/>
    </row>
    <row r="83" spans="1:6" ht="12" customHeight="1">
      <c r="A83" s="1296" t="s">
        <v>911</v>
      </c>
      <c r="B83" s="2862">
        <v>310</v>
      </c>
      <c r="C83" s="2524"/>
      <c r="D83" s="2524"/>
      <c r="E83" s="2524"/>
      <c r="F83" s="1258"/>
    </row>
    <row r="84" spans="1:6" ht="12" customHeight="1">
      <c r="A84" s="2985" t="s">
        <v>711</v>
      </c>
      <c r="B84" s="2986">
        <v>313</v>
      </c>
      <c r="C84" s="1303"/>
      <c r="D84" s="1282"/>
      <c r="E84" s="1303"/>
      <c r="F84" s="1258"/>
    </row>
    <row r="85" spans="1:6" ht="12" customHeight="1">
      <c r="A85" s="1293" t="s">
        <v>1327</v>
      </c>
      <c r="B85" s="1294">
        <v>315</v>
      </c>
      <c r="C85" s="1304"/>
      <c r="D85" s="1276"/>
      <c r="E85" s="1304"/>
      <c r="F85" s="1258"/>
    </row>
    <row r="86" spans="1:6" ht="12" customHeight="1">
      <c r="A86" s="1293" t="s">
        <v>1337</v>
      </c>
      <c r="B86" s="1294">
        <v>320</v>
      </c>
      <c r="C86" s="1304"/>
      <c r="D86" s="1276"/>
      <c r="E86" s="1304"/>
      <c r="F86" s="1258"/>
    </row>
    <row r="87" spans="1:6" ht="12" customHeight="1">
      <c r="A87" s="1293" t="s">
        <v>1345</v>
      </c>
      <c r="B87" s="1294">
        <v>325</v>
      </c>
      <c r="C87" s="1304"/>
      <c r="D87" s="1276"/>
      <c r="E87" s="1304"/>
      <c r="F87" s="1258"/>
    </row>
    <row r="88" spans="1:6" ht="12" customHeight="1">
      <c r="A88" s="1293" t="s">
        <v>1346</v>
      </c>
      <c r="B88" s="1294">
        <v>330</v>
      </c>
      <c r="C88" s="1304"/>
      <c r="D88" s="1276"/>
      <c r="E88" s="1304"/>
      <c r="F88" s="1258"/>
    </row>
    <row r="89" spans="1:6" ht="12" customHeight="1">
      <c r="A89" s="1293" t="s">
        <v>307</v>
      </c>
      <c r="B89" s="1294"/>
      <c r="C89" s="1284"/>
      <c r="D89" s="1278"/>
      <c r="E89" s="1284"/>
      <c r="F89" s="1258"/>
    </row>
    <row r="90" spans="1:6" ht="12" customHeight="1">
      <c r="A90" s="1301" t="s">
        <v>1309</v>
      </c>
      <c r="B90" s="1302"/>
      <c r="C90" s="1300"/>
      <c r="D90" s="1281"/>
      <c r="E90" s="1300"/>
      <c r="F90" s="1258"/>
    </row>
    <row r="91" spans="1:6" ht="12" customHeight="1">
      <c r="A91" s="1301" t="s">
        <v>1347</v>
      </c>
      <c r="B91" s="1302">
        <v>335</v>
      </c>
      <c r="C91" s="1303"/>
      <c r="D91" s="1282"/>
      <c r="E91" s="1303"/>
      <c r="F91" s="1258"/>
    </row>
    <row r="92" spans="1:6" ht="12" customHeight="1">
      <c r="A92" s="1293" t="s">
        <v>1270</v>
      </c>
      <c r="B92" s="1294">
        <v>340</v>
      </c>
      <c r="C92" s="1304"/>
      <c r="D92" s="1276"/>
      <c r="E92" s="1304"/>
      <c r="F92" s="1258"/>
    </row>
    <row r="93" spans="1:6" ht="12" customHeight="1">
      <c r="A93" s="1293" t="s">
        <v>1310</v>
      </c>
      <c r="B93" s="1294"/>
      <c r="C93" s="1284"/>
      <c r="D93" s="1278"/>
      <c r="E93" s="1284"/>
      <c r="F93" s="1258"/>
    </row>
    <row r="94" spans="1:6" ht="12" customHeight="1">
      <c r="A94" s="1301" t="s">
        <v>1311</v>
      </c>
      <c r="B94" s="1302">
        <v>345</v>
      </c>
      <c r="C94" s="1303"/>
      <c r="D94" s="1282"/>
      <c r="E94" s="1303"/>
      <c r="F94" s="1258"/>
    </row>
    <row r="95" spans="1:6" ht="12" customHeight="1">
      <c r="A95" s="1293" t="s">
        <v>1314</v>
      </c>
      <c r="B95" s="1294">
        <v>350</v>
      </c>
      <c r="C95" s="1304"/>
      <c r="D95" s="1276"/>
      <c r="E95" s="1304"/>
      <c r="F95" s="1258"/>
    </row>
    <row r="96" spans="1:6" ht="12" customHeight="1">
      <c r="A96" s="1296" t="s">
        <v>1315</v>
      </c>
      <c r="B96" s="1297">
        <v>355</v>
      </c>
      <c r="C96" s="2524"/>
      <c r="D96" s="1272"/>
      <c r="E96" s="2524"/>
      <c r="F96" s="1258"/>
    </row>
    <row r="97" spans="1:6" ht="12" customHeight="1">
      <c r="A97" s="1301" t="s">
        <v>911</v>
      </c>
      <c r="B97" s="1302">
        <v>360</v>
      </c>
      <c r="C97" s="1303"/>
      <c r="D97" s="1282"/>
      <c r="E97" s="1303"/>
      <c r="F97" s="1258"/>
    </row>
    <row r="98" spans="1:6" ht="12" customHeight="1">
      <c r="A98" s="2989" t="s">
        <v>711</v>
      </c>
      <c r="B98" s="2990">
        <v>363</v>
      </c>
      <c r="C98" s="2524"/>
      <c r="D98" s="2524"/>
      <c r="E98" s="2524"/>
      <c r="F98" s="1258"/>
    </row>
    <row r="99" spans="1:6" ht="12" customHeight="1">
      <c r="A99" s="1296" t="s">
        <v>1327</v>
      </c>
      <c r="B99" s="1297">
        <v>365</v>
      </c>
      <c r="C99" s="2524"/>
      <c r="D99" s="1272"/>
      <c r="E99" s="2524"/>
      <c r="F99" s="1258"/>
    </row>
    <row r="100" spans="1:6" ht="12" customHeight="1">
      <c r="A100" s="1274" t="s">
        <v>1288</v>
      </c>
      <c r="B100" s="1275"/>
      <c r="C100" s="1284"/>
      <c r="D100" s="1278"/>
      <c r="E100" s="1284"/>
      <c r="F100" s="1258"/>
    </row>
    <row r="101" spans="1:6" ht="12" customHeight="1">
      <c r="A101" s="1279" t="s">
        <v>692</v>
      </c>
      <c r="B101" s="1280">
        <v>370</v>
      </c>
      <c r="C101" s="1303"/>
      <c r="D101" s="1282"/>
      <c r="E101" s="1303"/>
      <c r="F101" s="1258"/>
    </row>
    <row r="102" spans="1:6" ht="12" customHeight="1">
      <c r="A102" s="1270" t="s">
        <v>798</v>
      </c>
      <c r="B102" s="1271">
        <v>375</v>
      </c>
      <c r="C102" s="2524"/>
      <c r="D102" s="1272"/>
      <c r="E102" s="2524"/>
      <c r="F102" s="1258"/>
    </row>
    <row r="103" spans="1:6" ht="12" customHeight="1">
      <c r="A103" s="1286" t="s">
        <v>1291</v>
      </c>
      <c r="B103" s="1287">
        <v>380</v>
      </c>
      <c r="C103" s="1285"/>
      <c r="D103" s="1288"/>
      <c r="E103" s="1285"/>
      <c r="F103" s="1258"/>
    </row>
    <row r="104" spans="1:6" ht="12" customHeight="1">
      <c r="A104" s="1274" t="s">
        <v>1292</v>
      </c>
      <c r="B104" s="1275">
        <v>385</v>
      </c>
      <c r="C104" s="1304"/>
      <c r="D104" s="1276"/>
      <c r="E104" s="1304"/>
      <c r="F104" s="1258"/>
    </row>
    <row r="105" spans="1:6" ht="12" customHeight="1">
      <c r="A105" s="1274" t="s">
        <v>1293</v>
      </c>
      <c r="B105" s="1275">
        <v>390</v>
      </c>
      <c r="C105" s="1304"/>
      <c r="D105" s="1276"/>
      <c r="E105" s="1304"/>
      <c r="F105" s="1258"/>
    </row>
    <row r="106" spans="1:6" ht="12" customHeight="1">
      <c r="A106" s="1274" t="s">
        <v>1302</v>
      </c>
      <c r="B106" s="1275"/>
      <c r="C106" s="1284"/>
      <c r="D106" s="1278"/>
      <c r="E106" s="1284"/>
      <c r="F106" s="1258"/>
    </row>
    <row r="107" spans="1:6" ht="12" customHeight="1">
      <c r="A107" s="1279" t="s">
        <v>693</v>
      </c>
      <c r="B107" s="1280"/>
      <c r="C107" s="1300"/>
      <c r="D107" s="1281"/>
      <c r="E107" s="1300"/>
      <c r="F107" s="1258"/>
    </row>
    <row r="108" spans="1:6" ht="12" customHeight="1">
      <c r="A108" s="1279" t="s">
        <v>1268</v>
      </c>
      <c r="B108" s="1280"/>
      <c r="C108" s="1300"/>
      <c r="D108" s="1281"/>
      <c r="E108" s="1300"/>
      <c r="F108" s="1258"/>
    </row>
    <row r="109" spans="1:6" ht="12" customHeight="1">
      <c r="A109" s="1286" t="s">
        <v>1269</v>
      </c>
      <c r="B109" s="1287">
        <v>395</v>
      </c>
      <c r="C109" s="1285"/>
      <c r="D109" s="1288"/>
      <c r="E109" s="1285"/>
      <c r="F109" s="1258"/>
    </row>
    <row r="110" spans="1:6" ht="12" customHeight="1">
      <c r="A110" s="1279" t="s">
        <v>672</v>
      </c>
      <c r="B110" s="1280">
        <v>400</v>
      </c>
      <c r="C110" s="1303"/>
      <c r="D110" s="1282"/>
      <c r="E110" s="1303"/>
      <c r="F110" s="1258"/>
    </row>
    <row r="111" spans="1:6" ht="12" customHeight="1">
      <c r="A111" s="1274" t="s">
        <v>1271</v>
      </c>
      <c r="B111" s="1275"/>
      <c r="C111" s="1284"/>
      <c r="D111" s="1278"/>
      <c r="E111" s="1284"/>
      <c r="F111" s="1258"/>
    </row>
    <row r="112" spans="1:6" ht="12" customHeight="1">
      <c r="A112" s="1279" t="s">
        <v>1272</v>
      </c>
      <c r="B112" s="1280">
        <v>405</v>
      </c>
      <c r="C112" s="1303"/>
      <c r="D112" s="1282"/>
      <c r="E112" s="1303"/>
      <c r="F112" s="1258"/>
    </row>
    <row r="113" spans="1:6" ht="12" customHeight="1">
      <c r="A113" s="1274" t="s">
        <v>1273</v>
      </c>
      <c r="B113" s="1275">
        <v>410</v>
      </c>
      <c r="C113" s="1304"/>
      <c r="D113" s="1276"/>
      <c r="E113" s="1304"/>
      <c r="F113" s="1258"/>
    </row>
    <row r="114" spans="1:6" ht="12" customHeight="1">
      <c r="A114" s="1270" t="s">
        <v>1276</v>
      </c>
      <c r="B114" s="1271">
        <v>415</v>
      </c>
      <c r="C114" s="2524"/>
      <c r="D114" s="1272"/>
      <c r="E114" s="2524"/>
      <c r="F114" s="1258"/>
    </row>
    <row r="115" spans="1:6" ht="12" customHeight="1">
      <c r="A115" s="1279" t="s">
        <v>673</v>
      </c>
      <c r="B115" s="1280">
        <v>420</v>
      </c>
      <c r="C115" s="1303"/>
      <c r="D115" s="1282"/>
      <c r="E115" s="1303"/>
      <c r="F115" s="1258"/>
    </row>
    <row r="116" spans="1:6" ht="12" customHeight="1">
      <c r="A116" s="1305" t="s">
        <v>1303</v>
      </c>
      <c r="B116" s="1306">
        <v>425</v>
      </c>
      <c r="C116" s="2524"/>
      <c r="D116" s="1272"/>
      <c r="E116" s="2524"/>
      <c r="F116" s="1258"/>
    </row>
    <row r="117" spans="1:6" ht="12" customHeight="1">
      <c r="A117" s="1279" t="s">
        <v>1282</v>
      </c>
      <c r="B117" s="1280">
        <v>430</v>
      </c>
      <c r="C117" s="1303"/>
      <c r="D117" s="1282"/>
      <c r="E117" s="1303"/>
      <c r="F117" s="1258"/>
    </row>
    <row r="118" spans="1:6" ht="12" customHeight="1">
      <c r="A118" s="1274" t="s">
        <v>1288</v>
      </c>
      <c r="B118" s="1275">
        <v>435</v>
      </c>
      <c r="C118" s="1304"/>
      <c r="D118" s="1276"/>
      <c r="E118" s="1304"/>
      <c r="F118" s="1258"/>
    </row>
    <row r="119" spans="1:6" ht="12" customHeight="1">
      <c r="A119" s="1274" t="s">
        <v>1292</v>
      </c>
      <c r="B119" s="1275">
        <v>440</v>
      </c>
      <c r="C119" s="1304"/>
      <c r="D119" s="1276"/>
      <c r="E119" s="1304"/>
      <c r="F119" s="1258"/>
    </row>
    <row r="120" spans="1:6" ht="12" customHeight="1">
      <c r="A120" s="1274" t="s">
        <v>1293</v>
      </c>
      <c r="B120" s="1275">
        <v>445</v>
      </c>
      <c r="C120" s="1304"/>
      <c r="D120" s="1276"/>
      <c r="E120" s="1304"/>
      <c r="F120" s="1258"/>
    </row>
    <row r="121" spans="1:6" ht="12" customHeight="1">
      <c r="A121" s="1274" t="s">
        <v>1307</v>
      </c>
      <c r="B121" s="1275"/>
      <c r="C121" s="1284"/>
      <c r="D121" s="1278"/>
      <c r="E121" s="1284"/>
      <c r="F121" s="1258"/>
    </row>
    <row r="122" spans="1:6" ht="12" customHeight="1">
      <c r="A122" s="1279" t="s">
        <v>1268</v>
      </c>
      <c r="B122" s="1280"/>
      <c r="C122" s="1300"/>
      <c r="D122" s="1281"/>
      <c r="E122" s="1300"/>
      <c r="F122" s="1258"/>
    </row>
    <row r="123" spans="1:6" ht="12" customHeight="1">
      <c r="A123" s="1279" t="s">
        <v>1269</v>
      </c>
      <c r="B123" s="1280">
        <v>450</v>
      </c>
      <c r="C123" s="1303"/>
      <c r="D123" s="1282"/>
      <c r="E123" s="1303"/>
      <c r="F123" s="1258"/>
    </row>
    <row r="124" spans="1:6" ht="12" customHeight="1">
      <c r="A124" s="1270" t="s">
        <v>674</v>
      </c>
      <c r="B124" s="1271">
        <v>455</v>
      </c>
      <c r="C124" s="2524"/>
      <c r="D124" s="1272"/>
      <c r="E124" s="2524"/>
      <c r="F124" s="1258"/>
    </row>
    <row r="125" spans="1:6" ht="12" customHeight="1">
      <c r="A125" s="1274" t="s">
        <v>1271</v>
      </c>
      <c r="B125" s="1275"/>
      <c r="C125" s="1284"/>
      <c r="D125" s="1278"/>
      <c r="E125" s="1284"/>
      <c r="F125" s="1258"/>
    </row>
    <row r="126" spans="1:6" ht="12" customHeight="1">
      <c r="A126" s="1279" t="s">
        <v>1272</v>
      </c>
      <c r="B126" s="1280">
        <v>460</v>
      </c>
      <c r="C126" s="1303"/>
      <c r="D126" s="1282"/>
      <c r="E126" s="1303"/>
      <c r="F126" s="1258"/>
    </row>
    <row r="127" spans="1:6" ht="12" customHeight="1">
      <c r="A127" s="1274" t="s">
        <v>1273</v>
      </c>
      <c r="B127" s="1275">
        <v>465</v>
      </c>
      <c r="C127" s="1304"/>
      <c r="D127" s="1276"/>
      <c r="E127" s="1304"/>
      <c r="F127" s="1258"/>
    </row>
    <row r="128" spans="1:6" ht="12" customHeight="1">
      <c r="A128" s="1270" t="s">
        <v>1276</v>
      </c>
      <c r="B128" s="1275">
        <v>470</v>
      </c>
      <c r="C128" s="1304"/>
      <c r="D128" s="1276"/>
      <c r="E128" s="1304"/>
      <c r="F128" s="1258"/>
    </row>
    <row r="129" spans="1:6" ht="12" customHeight="1">
      <c r="A129" s="1279" t="s">
        <v>673</v>
      </c>
      <c r="B129" s="1275">
        <v>475</v>
      </c>
      <c r="C129" s="1304"/>
      <c r="D129" s="1276"/>
      <c r="E129" s="1304"/>
      <c r="F129" s="1258"/>
    </row>
    <row r="130" spans="1:6" ht="12" customHeight="1">
      <c r="A130" s="1270" t="s">
        <v>1282</v>
      </c>
      <c r="B130" s="1271">
        <v>480</v>
      </c>
      <c r="C130" s="2524"/>
      <c r="D130" s="1272"/>
      <c r="E130" s="2524"/>
      <c r="F130" s="1258"/>
    </row>
    <row r="131" spans="1:6" ht="12" customHeight="1">
      <c r="A131" s="1255" t="s">
        <v>1019</v>
      </c>
      <c r="B131" s="1256">
        <f>B1</f>
        <v>270</v>
      </c>
      <c r="C131" s="1257"/>
      <c r="D131" s="1257"/>
      <c r="E131" s="1255" t="s">
        <v>1020</v>
      </c>
      <c r="F131" s="1258"/>
    </row>
    <row r="132" spans="1:6" ht="12" customHeight="1">
      <c r="A132" s="1257"/>
      <c r="B132" s="1261"/>
      <c r="C132" s="1257"/>
      <c r="D132" s="1257"/>
      <c r="E132" s="1255" t="s">
        <v>1212</v>
      </c>
      <c r="F132" s="1258"/>
    </row>
    <row r="133" spans="1:6" ht="12" customHeight="1">
      <c r="A133" s="1257"/>
      <c r="B133" s="1261"/>
      <c r="C133" s="1257"/>
      <c r="D133" s="1257"/>
      <c r="E133" s="1255" t="str">
        <f>E3</f>
        <v>2016-2017</v>
      </c>
      <c r="F133" s="1258"/>
    </row>
    <row r="134" spans="1:6" ht="12" customHeight="1">
      <c r="A134" s="1257"/>
      <c r="B134" s="1261"/>
      <c r="C134" s="1257"/>
      <c r="D134" s="1257"/>
      <c r="E134" s="1257"/>
      <c r="F134" s="1258"/>
    </row>
    <row r="135" spans="1:6" ht="12" customHeight="1">
      <c r="A135" s="1257"/>
      <c r="B135" s="1260"/>
      <c r="C135" s="1261" t="s">
        <v>1213</v>
      </c>
      <c r="D135" s="1261" t="s">
        <v>1213</v>
      </c>
      <c r="E135" s="1261" t="s">
        <v>1213</v>
      </c>
      <c r="F135" s="1258"/>
    </row>
    <row r="136" spans="1:6" ht="12" customHeight="1">
      <c r="A136" s="1262" t="s">
        <v>685</v>
      </c>
      <c r="B136" s="1263" t="s">
        <v>1045</v>
      </c>
      <c r="C136" s="1264" t="str">
        <f>C6</f>
        <v>2014-2015</v>
      </c>
      <c r="D136" s="1264" t="str">
        <f>D6</f>
        <v>2015-2016</v>
      </c>
      <c r="E136" s="1264" t="str">
        <f>E6</f>
        <v>2016-2017</v>
      </c>
      <c r="F136" s="1258"/>
    </row>
    <row r="137" spans="1:6" ht="12" customHeight="1">
      <c r="A137" s="1262" t="s">
        <v>81</v>
      </c>
      <c r="B137" s="1266">
        <v>30</v>
      </c>
      <c r="C137" s="1267" t="s">
        <v>1139</v>
      </c>
      <c r="D137" s="1267" t="s">
        <v>1139</v>
      </c>
      <c r="E137" s="1267" t="s">
        <v>1215</v>
      </c>
      <c r="F137" s="1258"/>
    </row>
    <row r="138" spans="1:6" ht="12" customHeight="1">
      <c r="A138" s="1257"/>
      <c r="B138" s="1266" t="s">
        <v>1051</v>
      </c>
      <c r="C138" s="1269">
        <v>1</v>
      </c>
      <c r="D138" s="1269">
        <v>2</v>
      </c>
      <c r="E138" s="1269">
        <v>3</v>
      </c>
      <c r="F138" s="1258"/>
    </row>
    <row r="139" spans="1:6" ht="12" customHeight="1">
      <c r="A139" s="1274" t="s">
        <v>1288</v>
      </c>
      <c r="B139" s="1275">
        <v>485</v>
      </c>
      <c r="C139" s="1304"/>
      <c r="D139" s="1276"/>
      <c r="E139" s="1304"/>
      <c r="F139" s="1299"/>
    </row>
    <row r="140" spans="1:6" ht="12" customHeight="1">
      <c r="A140" s="1274" t="s">
        <v>1292</v>
      </c>
      <c r="B140" s="1275">
        <v>490</v>
      </c>
      <c r="C140" s="1304"/>
      <c r="D140" s="1276"/>
      <c r="E140" s="1304"/>
      <c r="F140" s="1258"/>
    </row>
    <row r="141" spans="1:6" ht="12" customHeight="1">
      <c r="A141" s="1274" t="s">
        <v>1293</v>
      </c>
      <c r="B141" s="1275">
        <v>495</v>
      </c>
      <c r="C141" s="1304"/>
      <c r="D141" s="1276"/>
      <c r="E141" s="1304"/>
      <c r="F141" s="1258"/>
    </row>
    <row r="142" spans="1:6" ht="12" customHeight="1">
      <c r="A142" s="1151" t="s">
        <v>1745</v>
      </c>
      <c r="B142" s="1152"/>
      <c r="C142" s="1142"/>
      <c r="D142" s="1153"/>
      <c r="E142" s="1142"/>
      <c r="F142" s="1258"/>
    </row>
    <row r="143" spans="1:6" ht="12" customHeight="1">
      <c r="A143" s="1146" t="s">
        <v>1268</v>
      </c>
      <c r="B143" s="1147"/>
      <c r="C143" s="1145"/>
      <c r="D143" s="1163"/>
      <c r="E143" s="1145"/>
      <c r="F143" s="1258"/>
    </row>
    <row r="144" spans="1:6" ht="12" customHeight="1">
      <c r="A144" s="1148" t="s">
        <v>1269</v>
      </c>
      <c r="B144" s="3994">
        <v>800</v>
      </c>
      <c r="C144" s="1150"/>
      <c r="D144" s="1154"/>
      <c r="E144" s="1150"/>
      <c r="F144" s="1258"/>
    </row>
    <row r="145" spans="1:6" ht="12" customHeight="1">
      <c r="A145" s="1148" t="s">
        <v>375</v>
      </c>
      <c r="B145" s="3994">
        <v>805</v>
      </c>
      <c r="C145" s="1150"/>
      <c r="D145" s="1154"/>
      <c r="E145" s="1150"/>
      <c r="F145" s="1258"/>
    </row>
    <row r="146" spans="1:6" ht="12" customHeight="1">
      <c r="A146" s="1151" t="s">
        <v>1271</v>
      </c>
      <c r="B146" s="2994"/>
      <c r="C146" s="1142"/>
      <c r="D146" s="1153"/>
      <c r="E146" s="1142"/>
      <c r="F146" s="1258"/>
    </row>
    <row r="147" spans="1:6" ht="12" customHeight="1">
      <c r="A147" s="1148" t="s">
        <v>353</v>
      </c>
      <c r="B147" s="3994">
        <v>810</v>
      </c>
      <c r="C147" s="1150"/>
      <c r="D147" s="1154"/>
      <c r="E147" s="1150"/>
      <c r="F147" s="1258"/>
    </row>
    <row r="148" spans="1:6" ht="12" customHeight="1">
      <c r="A148" s="1155" t="s">
        <v>1273</v>
      </c>
      <c r="B148" s="3995">
        <v>815</v>
      </c>
      <c r="C148" s="1162"/>
      <c r="D148" s="1157"/>
      <c r="E148" s="1162"/>
      <c r="F148" s="1258"/>
    </row>
    <row r="149" spans="1:6" ht="12" customHeight="1">
      <c r="A149" s="1155" t="s">
        <v>1276</v>
      </c>
      <c r="B149" s="3995">
        <v>820</v>
      </c>
      <c r="C149" s="1162"/>
      <c r="D149" s="1157"/>
      <c r="E149" s="1162"/>
      <c r="F149" s="1258"/>
    </row>
    <row r="150" spans="1:6" ht="12" customHeight="1">
      <c r="A150" s="1151" t="s">
        <v>1753</v>
      </c>
      <c r="B150" s="2994">
        <v>825</v>
      </c>
      <c r="C150" s="2512"/>
      <c r="D150" s="1158"/>
      <c r="E150" s="2512"/>
      <c r="F150" s="1258"/>
    </row>
    <row r="151" spans="1:6" ht="12" customHeight="1">
      <c r="A151" s="1155" t="s">
        <v>1303</v>
      </c>
      <c r="B151" s="3995">
        <v>830</v>
      </c>
      <c r="C151" s="1162"/>
      <c r="D151" s="1157"/>
      <c r="E151" s="1162"/>
      <c r="F151" s="1258"/>
    </row>
    <row r="152" spans="1:6" ht="12" customHeight="1">
      <c r="A152" s="1155" t="s">
        <v>1282</v>
      </c>
      <c r="B152" s="3995">
        <v>835</v>
      </c>
      <c r="C152" s="1162"/>
      <c r="D152" s="1157"/>
      <c r="E152" s="1162"/>
      <c r="F152" s="1258"/>
    </row>
    <row r="153" spans="1:6" ht="12" customHeight="1">
      <c r="A153" s="1155" t="s">
        <v>1288</v>
      </c>
      <c r="B153" s="3995">
        <v>840</v>
      </c>
      <c r="C153" s="1162"/>
      <c r="D153" s="1157"/>
      <c r="E153" s="1162"/>
      <c r="F153" s="1258"/>
    </row>
    <row r="154" spans="1:6" ht="12" customHeight="1">
      <c r="A154" s="1155" t="s">
        <v>1292</v>
      </c>
      <c r="B154" s="3995">
        <v>845</v>
      </c>
      <c r="C154" s="1162"/>
      <c r="D154" s="1157"/>
      <c r="E154" s="1162"/>
      <c r="F154" s="1258"/>
    </row>
    <row r="155" spans="1:6" ht="12" customHeight="1">
      <c r="A155" s="1151" t="s">
        <v>1293</v>
      </c>
      <c r="B155" s="3995">
        <v>850</v>
      </c>
      <c r="C155" s="2512"/>
      <c r="D155" s="1157"/>
      <c r="E155" s="1162"/>
      <c r="F155" s="1258"/>
    </row>
    <row r="156" spans="1:6" ht="12" customHeight="1">
      <c r="A156" s="1274" t="s">
        <v>342</v>
      </c>
      <c r="B156" s="1275"/>
      <c r="C156" s="1284"/>
      <c r="D156" s="1278"/>
      <c r="E156" s="1284"/>
      <c r="F156" s="1258"/>
    </row>
    <row r="157" spans="1:6" ht="12" customHeight="1">
      <c r="A157" s="1279" t="s">
        <v>1268</v>
      </c>
      <c r="B157" s="1280"/>
      <c r="C157" s="1300"/>
      <c r="D157" s="1281"/>
      <c r="E157" s="1300"/>
      <c r="F157" s="1258"/>
    </row>
    <row r="158" spans="1:6" ht="12" customHeight="1">
      <c r="A158" s="1279" t="s">
        <v>677</v>
      </c>
      <c r="B158" s="1280">
        <v>500</v>
      </c>
      <c r="C158" s="1303"/>
      <c r="D158" s="1282"/>
      <c r="E158" s="1303"/>
      <c r="F158" s="1258"/>
    </row>
    <row r="159" spans="1:6" ht="12" customHeight="1">
      <c r="A159" s="1274" t="s">
        <v>1271</v>
      </c>
      <c r="B159" s="1275"/>
      <c r="C159" s="1284"/>
      <c r="D159" s="1278"/>
      <c r="E159" s="1284"/>
      <c r="F159" s="1258"/>
    </row>
    <row r="160" spans="1:6" ht="12" customHeight="1">
      <c r="A160" s="1279" t="s">
        <v>1272</v>
      </c>
      <c r="B160" s="1280">
        <v>505</v>
      </c>
      <c r="C160" s="1303"/>
      <c r="D160" s="1282"/>
      <c r="E160" s="1303"/>
      <c r="F160" s="1258"/>
    </row>
    <row r="161" spans="1:6" ht="12" customHeight="1">
      <c r="A161" s="1274" t="s">
        <v>1273</v>
      </c>
      <c r="B161" s="1275">
        <v>510</v>
      </c>
      <c r="C161" s="1304"/>
      <c r="D161" s="1276"/>
      <c r="E161" s="1304"/>
      <c r="F161" s="1258"/>
    </row>
    <row r="162" spans="1:6" ht="12" customHeight="1">
      <c r="A162" s="1270" t="s">
        <v>1276</v>
      </c>
      <c r="B162" s="1275">
        <v>515</v>
      </c>
      <c r="C162" s="1304"/>
      <c r="D162" s="1276"/>
      <c r="E162" s="1304"/>
      <c r="F162" s="1258"/>
    </row>
    <row r="163" spans="1:6" ht="12" customHeight="1">
      <c r="A163" s="1286" t="s">
        <v>673</v>
      </c>
      <c r="B163" s="1271">
        <v>520</v>
      </c>
      <c r="C163" s="2524"/>
      <c r="D163" s="1272"/>
      <c r="E163" s="2524"/>
      <c r="F163" s="1258"/>
    </row>
    <row r="164" spans="1:6" s="1265" customFormat="1" ht="12" customHeight="1">
      <c r="A164" s="1293" t="s">
        <v>1303</v>
      </c>
      <c r="B164" s="1294"/>
      <c r="C164" s="1284"/>
      <c r="D164" s="1278"/>
      <c r="E164" s="1284"/>
      <c r="F164" s="1257"/>
    </row>
    <row r="165" spans="1:6" ht="12" customHeight="1">
      <c r="A165" s="1301" t="s">
        <v>344</v>
      </c>
      <c r="B165" s="1302">
        <v>525</v>
      </c>
      <c r="C165" s="1303"/>
      <c r="D165" s="1282"/>
      <c r="E165" s="1303"/>
      <c r="F165" s="1258"/>
    </row>
    <row r="166" spans="1:6" ht="12" customHeight="1">
      <c r="A166" s="1293" t="s">
        <v>678</v>
      </c>
      <c r="B166" s="1294">
        <v>530</v>
      </c>
      <c r="C166" s="1304"/>
      <c r="D166" s="1276"/>
      <c r="E166" s="1304"/>
      <c r="F166" s="1258"/>
    </row>
    <row r="167" spans="1:6" ht="12" customHeight="1">
      <c r="A167" s="1293" t="s">
        <v>679</v>
      </c>
      <c r="B167" s="1294">
        <v>535</v>
      </c>
      <c r="C167" s="1304"/>
      <c r="D167" s="1276"/>
      <c r="E167" s="1304"/>
      <c r="F167" s="1258"/>
    </row>
    <row r="168" spans="1:6" ht="12" customHeight="1">
      <c r="A168" s="1293" t="s">
        <v>680</v>
      </c>
      <c r="B168" s="1294">
        <v>540</v>
      </c>
      <c r="C168" s="1304"/>
      <c r="D168" s="1276"/>
      <c r="E168" s="1304"/>
      <c r="F168" s="1258"/>
    </row>
    <row r="169" spans="1:6" ht="12" customHeight="1">
      <c r="A169" s="1296" t="s">
        <v>345</v>
      </c>
      <c r="B169" s="1297">
        <v>545</v>
      </c>
      <c r="C169" s="1304"/>
      <c r="D169" s="1276"/>
      <c r="E169" s="1304"/>
      <c r="F169" s="1258"/>
    </row>
    <row r="170" spans="1:6" ht="12" customHeight="1">
      <c r="A170" s="1293" t="s">
        <v>1282</v>
      </c>
      <c r="B170" s="1294">
        <v>550</v>
      </c>
      <c r="C170" s="1304"/>
      <c r="D170" s="1276"/>
      <c r="E170" s="1304"/>
      <c r="F170" s="1258"/>
    </row>
    <row r="171" spans="1:6" ht="12" customHeight="1">
      <c r="A171" s="1293" t="s">
        <v>1288</v>
      </c>
      <c r="B171" s="1294"/>
      <c r="C171" s="1284"/>
      <c r="D171" s="1278"/>
      <c r="E171" s="1284"/>
      <c r="F171" s="1258"/>
    </row>
    <row r="172" spans="1:6" ht="12" customHeight="1">
      <c r="A172" s="1301" t="s">
        <v>346</v>
      </c>
      <c r="B172" s="1302">
        <v>555</v>
      </c>
      <c r="C172" s="1303"/>
      <c r="D172" s="1282"/>
      <c r="E172" s="1303"/>
      <c r="F172" s="1258"/>
    </row>
    <row r="173" spans="1:6" ht="12" customHeight="1">
      <c r="A173" s="1293" t="s">
        <v>347</v>
      </c>
      <c r="B173" s="1294"/>
      <c r="C173" s="1284"/>
      <c r="D173" s="1278"/>
      <c r="E173" s="1284"/>
      <c r="F173" s="1258"/>
    </row>
    <row r="174" spans="1:6" ht="12" customHeight="1">
      <c r="A174" s="1301" t="s">
        <v>348</v>
      </c>
      <c r="B174" s="1302">
        <v>560</v>
      </c>
      <c r="C174" s="1303"/>
      <c r="D174" s="1282"/>
      <c r="E174" s="1303"/>
      <c r="F174" s="1258"/>
    </row>
    <row r="175" spans="1:6" ht="12" customHeight="1">
      <c r="A175" s="1293" t="s">
        <v>349</v>
      </c>
      <c r="B175" s="1294">
        <v>565</v>
      </c>
      <c r="C175" s="1304"/>
      <c r="D175" s="1276"/>
      <c r="E175" s="1304"/>
      <c r="F175" s="1258"/>
    </row>
    <row r="176" spans="1:6" ht="12" customHeight="1">
      <c r="A176" s="1293" t="s">
        <v>1342</v>
      </c>
      <c r="B176" s="1294">
        <v>570</v>
      </c>
      <c r="C176" s="1304"/>
      <c r="D176" s="1276"/>
      <c r="E176" s="1304"/>
      <c r="F176" s="1258"/>
    </row>
    <row r="177" spans="1:6" ht="12" customHeight="1">
      <c r="A177" s="1293" t="s">
        <v>350</v>
      </c>
      <c r="B177" s="1294">
        <v>575</v>
      </c>
      <c r="C177" s="1304"/>
      <c r="D177" s="1276"/>
      <c r="E177" s="1304"/>
      <c r="F177" s="1258"/>
    </row>
    <row r="178" spans="1:6" ht="12" customHeight="1">
      <c r="A178" s="1293" t="s">
        <v>1291</v>
      </c>
      <c r="B178" s="1294">
        <v>580</v>
      </c>
      <c r="C178" s="1304"/>
      <c r="D178" s="1276"/>
      <c r="E178" s="1304"/>
      <c r="F178" s="1258"/>
    </row>
    <row r="179" spans="1:6" ht="12" customHeight="1">
      <c r="A179" s="1293" t="s">
        <v>1292</v>
      </c>
      <c r="B179" s="1294">
        <v>585</v>
      </c>
      <c r="C179" s="1304"/>
      <c r="D179" s="1276"/>
      <c r="E179" s="1304"/>
      <c r="F179" s="1258"/>
    </row>
    <row r="180" spans="1:6" ht="12" customHeight="1">
      <c r="A180" s="1293" t="s">
        <v>1293</v>
      </c>
      <c r="B180" s="1294">
        <v>590</v>
      </c>
      <c r="C180" s="1304"/>
      <c r="D180" s="1276"/>
      <c r="E180" s="1304"/>
      <c r="F180" s="1258"/>
    </row>
    <row r="181" spans="1:6" ht="12" customHeight="1">
      <c r="A181" s="1293" t="s">
        <v>694</v>
      </c>
      <c r="B181" s="1294"/>
      <c r="C181" s="1284"/>
      <c r="D181" s="1278"/>
      <c r="E181" s="1284"/>
      <c r="F181" s="1258"/>
    </row>
    <row r="182" spans="1:6" ht="12" customHeight="1">
      <c r="A182" s="1301" t="s">
        <v>791</v>
      </c>
      <c r="B182" s="1302"/>
      <c r="C182" s="1300"/>
      <c r="D182" s="1281"/>
      <c r="E182" s="1300"/>
      <c r="F182" s="1258"/>
    </row>
    <row r="183" spans="1:6" ht="12" customHeight="1">
      <c r="A183" s="1301" t="s">
        <v>1268</v>
      </c>
      <c r="B183" s="1302"/>
      <c r="C183" s="1300"/>
      <c r="D183" s="1281"/>
      <c r="E183" s="1300"/>
      <c r="F183" s="1258"/>
    </row>
    <row r="184" spans="1:6" ht="12" customHeight="1">
      <c r="A184" s="1301" t="s">
        <v>374</v>
      </c>
      <c r="B184" s="1302">
        <v>595</v>
      </c>
      <c r="C184" s="1303"/>
      <c r="D184" s="1282"/>
      <c r="E184" s="1303"/>
      <c r="F184" s="1258"/>
    </row>
    <row r="185" spans="1:6" ht="12" customHeight="1">
      <c r="A185" s="1293" t="s">
        <v>1271</v>
      </c>
      <c r="B185" s="1294"/>
      <c r="C185" s="1284"/>
      <c r="D185" s="1278"/>
      <c r="E185" s="1284"/>
      <c r="F185" s="1258"/>
    </row>
    <row r="186" spans="1:6" ht="12" customHeight="1">
      <c r="A186" s="1301" t="s">
        <v>353</v>
      </c>
      <c r="B186" s="1302">
        <v>600</v>
      </c>
      <c r="C186" s="1303"/>
      <c r="D186" s="1282"/>
      <c r="E186" s="1303"/>
      <c r="F186" s="1258"/>
    </row>
    <row r="187" spans="1:6" ht="12" customHeight="1">
      <c r="A187" s="1293" t="s">
        <v>1273</v>
      </c>
      <c r="B187" s="1294">
        <v>605</v>
      </c>
      <c r="C187" s="1304"/>
      <c r="D187" s="1276"/>
      <c r="E187" s="1304"/>
      <c r="F187" s="1258"/>
    </row>
    <row r="188" spans="1:6" ht="12" customHeight="1">
      <c r="A188" s="1293" t="s">
        <v>1276</v>
      </c>
      <c r="B188" s="1294">
        <v>610</v>
      </c>
      <c r="C188" s="1304"/>
      <c r="D188" s="1276"/>
      <c r="E188" s="1304"/>
      <c r="F188" s="1258"/>
    </row>
    <row r="189" spans="1:6" ht="12" customHeight="1">
      <c r="A189" s="1293" t="s">
        <v>1303</v>
      </c>
      <c r="B189" s="1294">
        <v>615</v>
      </c>
      <c r="C189" s="1304"/>
      <c r="D189" s="1276"/>
      <c r="E189" s="1304"/>
      <c r="F189" s="1258"/>
    </row>
    <row r="190" spans="1:6" ht="12" customHeight="1">
      <c r="A190" s="1293" t="s">
        <v>1288</v>
      </c>
      <c r="B190" s="1294">
        <v>620</v>
      </c>
      <c r="C190" s="1304"/>
      <c r="D190" s="1276"/>
      <c r="E190" s="1304"/>
      <c r="F190" s="1258"/>
    </row>
    <row r="191" spans="1:6" ht="12" customHeight="1">
      <c r="A191" s="1293" t="s">
        <v>1292</v>
      </c>
      <c r="B191" s="1294">
        <v>625</v>
      </c>
      <c r="C191" s="1304"/>
      <c r="D191" s="1276"/>
      <c r="E191" s="1304"/>
      <c r="F191" s="1258"/>
    </row>
    <row r="192" spans="1:6" ht="12" customHeight="1">
      <c r="A192" s="1293" t="s">
        <v>1293</v>
      </c>
      <c r="B192" s="1294">
        <v>630</v>
      </c>
      <c r="C192" s="1304"/>
      <c r="D192" s="1276"/>
      <c r="E192" s="1304"/>
      <c r="F192" s="1258"/>
    </row>
    <row r="193" spans="1:6" ht="12" customHeight="1">
      <c r="A193" s="1293" t="s">
        <v>792</v>
      </c>
      <c r="B193" s="1294"/>
      <c r="C193" s="1284"/>
      <c r="D193" s="1278"/>
      <c r="E193" s="1284"/>
      <c r="F193" s="1258"/>
    </row>
    <row r="194" spans="1:6" ht="12" customHeight="1">
      <c r="A194" s="1301" t="s">
        <v>1268</v>
      </c>
      <c r="B194" s="1302"/>
      <c r="C194" s="1300"/>
      <c r="D194" s="1281"/>
      <c r="E194" s="1300"/>
      <c r="F194" s="1258"/>
    </row>
    <row r="195" spans="1:6" ht="12" customHeight="1">
      <c r="A195" s="3045" t="s">
        <v>374</v>
      </c>
      <c r="B195" s="3046">
        <v>635</v>
      </c>
      <c r="C195" s="1285">
        <v>0</v>
      </c>
      <c r="D195" s="1288"/>
      <c r="E195" s="1285"/>
      <c r="F195" s="1258"/>
    </row>
    <row r="196" spans="1:6" ht="12" customHeight="1">
      <c r="A196" s="1255" t="s">
        <v>1019</v>
      </c>
      <c r="B196" s="1256">
        <f>B1</f>
        <v>270</v>
      </c>
      <c r="C196" s="1257"/>
      <c r="D196" s="1257"/>
      <c r="E196" s="1255" t="s">
        <v>1020</v>
      </c>
      <c r="F196" s="1258"/>
    </row>
    <row r="197" spans="1:6" ht="12" customHeight="1">
      <c r="A197" s="1257"/>
      <c r="B197" s="1261"/>
      <c r="C197" s="1257"/>
      <c r="D197" s="1257"/>
      <c r="E197" s="1255" t="s">
        <v>1212</v>
      </c>
      <c r="F197" s="1258"/>
    </row>
    <row r="198" spans="1:6" ht="12" customHeight="1">
      <c r="A198" s="1257"/>
      <c r="B198" s="1261"/>
      <c r="C198" s="1257"/>
      <c r="D198" s="1257"/>
      <c r="E198" s="1255" t="str">
        <f>E3</f>
        <v>2016-2017</v>
      </c>
      <c r="F198" s="1258"/>
    </row>
    <row r="199" spans="1:6" ht="12" customHeight="1">
      <c r="A199" s="1257"/>
      <c r="B199" s="1261"/>
      <c r="C199" s="1257"/>
      <c r="D199" s="1257"/>
      <c r="E199" s="1257"/>
      <c r="F199" s="1258"/>
    </row>
    <row r="200" spans="1:6" ht="12" customHeight="1">
      <c r="A200" s="1257"/>
      <c r="B200" s="1260"/>
      <c r="C200" s="1261" t="s">
        <v>1213</v>
      </c>
      <c r="D200" s="1261" t="s">
        <v>1213</v>
      </c>
      <c r="E200" s="1261" t="s">
        <v>1213</v>
      </c>
      <c r="F200" s="1258"/>
    </row>
    <row r="201" spans="1:6" ht="12" customHeight="1">
      <c r="A201" s="1262" t="s">
        <v>685</v>
      </c>
      <c r="B201" s="1263" t="s">
        <v>1045</v>
      </c>
      <c r="C201" s="1264" t="str">
        <f>C6</f>
        <v>2014-2015</v>
      </c>
      <c r="D201" s="1264" t="str">
        <f>D6</f>
        <v>2015-2016</v>
      </c>
      <c r="E201" s="1264" t="str">
        <f>E6</f>
        <v>2016-2017</v>
      </c>
      <c r="F201" s="1258"/>
    </row>
    <row r="202" spans="1:6" ht="12" customHeight="1">
      <c r="A202" s="1262" t="s">
        <v>81</v>
      </c>
      <c r="B202" s="1266">
        <v>30</v>
      </c>
      <c r="C202" s="1267" t="s">
        <v>1139</v>
      </c>
      <c r="D202" s="1267" t="s">
        <v>1139</v>
      </c>
      <c r="E202" s="1267" t="s">
        <v>1215</v>
      </c>
      <c r="F202" s="1258"/>
    </row>
    <row r="203" spans="1:6" ht="12" customHeight="1">
      <c r="A203" s="1257"/>
      <c r="B203" s="1266" t="s">
        <v>1051</v>
      </c>
      <c r="C203" s="1269">
        <v>1</v>
      </c>
      <c r="D203" s="1269">
        <v>2</v>
      </c>
      <c r="E203" s="1269">
        <v>3</v>
      </c>
      <c r="F203" s="1258"/>
    </row>
    <row r="204" spans="1:6" ht="12" customHeight="1">
      <c r="A204" s="1293" t="s">
        <v>1271</v>
      </c>
      <c r="B204" s="1294"/>
      <c r="C204" s="1284"/>
      <c r="D204" s="1278"/>
      <c r="E204" s="1284"/>
      <c r="F204" s="1258"/>
    </row>
    <row r="205" spans="1:6" ht="12" customHeight="1">
      <c r="A205" s="1301" t="s">
        <v>353</v>
      </c>
      <c r="B205" s="1302">
        <v>640</v>
      </c>
      <c r="C205" s="1303"/>
      <c r="D205" s="1282"/>
      <c r="E205" s="1303"/>
      <c r="F205" s="1258"/>
    </row>
    <row r="206" spans="1:6" ht="12" customHeight="1">
      <c r="A206" s="1293" t="s">
        <v>1273</v>
      </c>
      <c r="B206" s="1294">
        <v>645</v>
      </c>
      <c r="C206" s="1304"/>
      <c r="D206" s="1276"/>
      <c r="E206" s="1304"/>
      <c r="F206" s="1258"/>
    </row>
    <row r="207" spans="1:6" ht="12" customHeight="1">
      <c r="A207" s="1293" t="s">
        <v>1276</v>
      </c>
      <c r="B207" s="1294">
        <v>650</v>
      </c>
      <c r="C207" s="1304">
        <v>46</v>
      </c>
      <c r="D207" s="1276"/>
      <c r="E207" s="1304"/>
      <c r="F207" s="1299"/>
    </row>
    <row r="208" spans="1:6" ht="12" customHeight="1">
      <c r="A208" s="1293" t="s">
        <v>1303</v>
      </c>
      <c r="B208" s="1294"/>
      <c r="C208" s="1284"/>
      <c r="D208" s="1278"/>
      <c r="E208" s="1284"/>
      <c r="F208" s="1258"/>
    </row>
    <row r="209" spans="1:6" ht="12" customHeight="1">
      <c r="A209" s="1301" t="s">
        <v>695</v>
      </c>
      <c r="B209" s="1302">
        <v>655</v>
      </c>
      <c r="C209" s="1303"/>
      <c r="D209" s="1282"/>
      <c r="E209" s="1303"/>
      <c r="F209" s="1258"/>
    </row>
    <row r="210" spans="1:6" ht="12" customHeight="1">
      <c r="A210" s="1296" t="s">
        <v>345</v>
      </c>
      <c r="B210" s="1297">
        <v>660</v>
      </c>
      <c r="C210" s="2524"/>
      <c r="D210" s="1272"/>
      <c r="E210" s="2524"/>
      <c r="F210" s="1258"/>
    </row>
    <row r="211" spans="1:6" ht="12" customHeight="1">
      <c r="A211" s="1293" t="s">
        <v>1282</v>
      </c>
      <c r="B211" s="1294"/>
      <c r="C211" s="1284"/>
      <c r="D211" s="1278"/>
      <c r="E211" s="1284"/>
      <c r="F211" s="1258"/>
    </row>
    <row r="212" spans="1:6" ht="12" customHeight="1">
      <c r="A212" s="1301" t="s">
        <v>1389</v>
      </c>
      <c r="B212" s="1302">
        <v>665</v>
      </c>
      <c r="C212" s="1303"/>
      <c r="D212" s="1282"/>
      <c r="E212" s="1303"/>
      <c r="F212" s="1258"/>
    </row>
    <row r="213" spans="1:6" ht="12" customHeight="1">
      <c r="A213" s="1293" t="s">
        <v>1390</v>
      </c>
      <c r="B213" s="1294">
        <v>670</v>
      </c>
      <c r="C213" s="1304"/>
      <c r="D213" s="1276"/>
      <c r="E213" s="1304"/>
      <c r="F213" s="1258"/>
    </row>
    <row r="214" spans="1:6" ht="12" customHeight="1">
      <c r="A214" s="1293" t="s">
        <v>1304</v>
      </c>
      <c r="B214" s="1294">
        <v>675</v>
      </c>
      <c r="C214" s="1304">
        <v>50</v>
      </c>
      <c r="D214" s="1276"/>
      <c r="E214" s="1304"/>
      <c r="F214" s="1258"/>
    </row>
    <row r="215" spans="1:6" ht="12" customHeight="1">
      <c r="A215" s="1293" t="s">
        <v>1397</v>
      </c>
      <c r="B215" s="1294">
        <v>680</v>
      </c>
      <c r="C215" s="1304"/>
      <c r="D215" s="1276"/>
      <c r="E215" s="1304"/>
      <c r="F215" s="1258"/>
    </row>
    <row r="216" spans="1:6" ht="12" customHeight="1">
      <c r="A216" s="1293" t="s">
        <v>1288</v>
      </c>
      <c r="B216" s="1294"/>
      <c r="C216" s="1284"/>
      <c r="D216" s="1278"/>
      <c r="E216" s="1284"/>
      <c r="F216" s="1258"/>
    </row>
    <row r="217" spans="1:6" ht="12" customHeight="1">
      <c r="A217" s="1301" t="s">
        <v>696</v>
      </c>
      <c r="B217" s="1302">
        <v>685</v>
      </c>
      <c r="C217" s="1303"/>
      <c r="D217" s="1282"/>
      <c r="E217" s="1303"/>
      <c r="F217" s="1258"/>
    </row>
    <row r="218" spans="1:6" ht="12" customHeight="1">
      <c r="A218" s="1293" t="s">
        <v>1291</v>
      </c>
      <c r="B218" s="1294">
        <v>690</v>
      </c>
      <c r="C218" s="1304"/>
      <c r="D218" s="1276"/>
      <c r="E218" s="1304"/>
      <c r="F218" s="1258"/>
    </row>
    <row r="219" spans="1:6" ht="12" customHeight="1">
      <c r="A219" s="1293" t="s">
        <v>697</v>
      </c>
      <c r="B219" s="1294">
        <v>695</v>
      </c>
      <c r="C219" s="1304"/>
      <c r="D219" s="1276"/>
      <c r="E219" s="1304"/>
      <c r="F219" s="1258"/>
    </row>
    <row r="220" spans="1:6" ht="12" customHeight="1">
      <c r="A220" s="1296" t="s">
        <v>1293</v>
      </c>
      <c r="B220" s="1297">
        <v>700</v>
      </c>
      <c r="C220" s="2524"/>
      <c r="D220" s="1272"/>
      <c r="E220" s="2524"/>
      <c r="F220" s="1258"/>
    </row>
    <row r="221" spans="1:6" ht="12" customHeight="1">
      <c r="A221" s="1293" t="s">
        <v>793</v>
      </c>
      <c r="B221" s="1294"/>
      <c r="C221" s="1284"/>
      <c r="D221" s="1278"/>
      <c r="E221" s="1284"/>
      <c r="F221" s="1258"/>
    </row>
    <row r="222" spans="1:6" ht="12" customHeight="1">
      <c r="A222" s="1301" t="s">
        <v>1268</v>
      </c>
      <c r="B222" s="1302"/>
      <c r="C222" s="1300"/>
      <c r="D222" s="1281"/>
      <c r="E222" s="1300"/>
      <c r="F222" s="1258"/>
    </row>
    <row r="223" spans="1:6" ht="12" customHeight="1">
      <c r="A223" s="1301" t="s">
        <v>677</v>
      </c>
      <c r="B223" s="1302">
        <v>705</v>
      </c>
      <c r="C223" s="1303"/>
      <c r="D223" s="1282"/>
      <c r="E223" s="1303"/>
      <c r="F223" s="1258"/>
    </row>
    <row r="224" spans="1:6" ht="12" customHeight="1">
      <c r="A224" s="1293" t="s">
        <v>1271</v>
      </c>
      <c r="B224" s="1294"/>
      <c r="C224" s="1284"/>
      <c r="D224" s="1278"/>
      <c r="E224" s="1284"/>
      <c r="F224" s="1258"/>
    </row>
    <row r="225" spans="1:6" ht="12" customHeight="1">
      <c r="A225" s="1301" t="s">
        <v>353</v>
      </c>
      <c r="B225" s="1302">
        <v>710</v>
      </c>
      <c r="C225" s="1303"/>
      <c r="D225" s="1282"/>
      <c r="E225" s="1303"/>
      <c r="F225" s="1258"/>
    </row>
    <row r="226" spans="1:6" ht="12" customHeight="1">
      <c r="A226" s="1293" t="s">
        <v>1273</v>
      </c>
      <c r="B226" s="1294">
        <v>715</v>
      </c>
      <c r="C226" s="1304"/>
      <c r="D226" s="1276"/>
      <c r="E226" s="1304"/>
      <c r="F226" s="1258"/>
    </row>
    <row r="227" spans="1:6" ht="12" customHeight="1">
      <c r="A227" s="1296" t="s">
        <v>1276</v>
      </c>
      <c r="B227" s="1297">
        <v>720</v>
      </c>
      <c r="C227" s="2524"/>
      <c r="D227" s="1272"/>
      <c r="E227" s="2524"/>
      <c r="F227" s="1258"/>
    </row>
    <row r="228" spans="1:6" ht="12" customHeight="1">
      <c r="A228" s="1301" t="s">
        <v>279</v>
      </c>
      <c r="B228" s="1302">
        <v>725</v>
      </c>
      <c r="C228" s="1303"/>
      <c r="D228" s="1282"/>
      <c r="E228" s="1303"/>
      <c r="F228" s="1258"/>
    </row>
    <row r="229" spans="1:6" ht="12" customHeight="1">
      <c r="A229" s="1293" t="s">
        <v>1303</v>
      </c>
      <c r="B229" s="1294">
        <v>730</v>
      </c>
      <c r="C229" s="1304"/>
      <c r="D229" s="1276"/>
      <c r="E229" s="1304"/>
      <c r="F229" s="1258"/>
    </row>
    <row r="230" spans="1:6" ht="12" customHeight="1">
      <c r="A230" s="1293" t="s">
        <v>1282</v>
      </c>
      <c r="B230" s="1294">
        <v>735</v>
      </c>
      <c r="C230" s="1304"/>
      <c r="D230" s="1276"/>
      <c r="E230" s="1304"/>
      <c r="F230" s="1258"/>
    </row>
    <row r="231" spans="1:6" ht="12" customHeight="1">
      <c r="A231" s="1293" t="s">
        <v>1292</v>
      </c>
      <c r="B231" s="1294">
        <v>740</v>
      </c>
      <c r="C231" s="1304"/>
      <c r="D231" s="1276"/>
      <c r="E231" s="1304"/>
      <c r="F231" s="1258"/>
    </row>
    <row r="232" spans="1:6" ht="12" customHeight="1">
      <c r="A232" s="1274" t="s">
        <v>1293</v>
      </c>
      <c r="B232" s="1275">
        <v>745</v>
      </c>
      <c r="C232" s="1304">
        <v>213</v>
      </c>
      <c r="D232" s="1276"/>
      <c r="E232" s="1304"/>
      <c r="F232" s="1258"/>
    </row>
    <row r="233" spans="1:6" ht="12" customHeight="1">
      <c r="A233" s="1274" t="s">
        <v>698</v>
      </c>
      <c r="B233" s="1275"/>
      <c r="C233" s="1284"/>
      <c r="D233" s="1278"/>
      <c r="E233" s="1284"/>
      <c r="F233" s="1258"/>
    </row>
    <row r="234" spans="1:6" ht="12" customHeight="1">
      <c r="A234" s="1279" t="s">
        <v>1268</v>
      </c>
      <c r="B234" s="1280"/>
      <c r="C234" s="1300"/>
      <c r="D234" s="1281"/>
      <c r="E234" s="1300"/>
      <c r="F234" s="1258"/>
    </row>
    <row r="235" spans="1:6" ht="12" customHeight="1">
      <c r="A235" s="1279" t="s">
        <v>58</v>
      </c>
      <c r="B235" s="1280">
        <v>750</v>
      </c>
      <c r="C235" s="1303"/>
      <c r="D235" s="1282"/>
      <c r="E235" s="1303"/>
      <c r="F235" s="1258"/>
    </row>
    <row r="236" spans="1:6" ht="12" customHeight="1">
      <c r="A236" s="1274" t="s">
        <v>1271</v>
      </c>
      <c r="B236" s="1275"/>
      <c r="C236" s="1284"/>
      <c r="D236" s="1278"/>
      <c r="E236" s="1284"/>
      <c r="F236" s="1258"/>
    </row>
    <row r="237" spans="1:6" ht="12" customHeight="1">
      <c r="A237" s="1279" t="s">
        <v>353</v>
      </c>
      <c r="B237" s="1280">
        <v>755</v>
      </c>
      <c r="C237" s="1303"/>
      <c r="D237" s="1282"/>
      <c r="E237" s="1303"/>
      <c r="F237" s="1258"/>
    </row>
    <row r="238" spans="1:6" ht="12" customHeight="1">
      <c r="A238" s="1274" t="s">
        <v>1273</v>
      </c>
      <c r="B238" s="1275">
        <v>760</v>
      </c>
      <c r="C238" s="1304"/>
      <c r="D238" s="1276"/>
      <c r="E238" s="1304"/>
      <c r="F238" s="1258"/>
    </row>
    <row r="239" spans="1:6" ht="12" customHeight="1">
      <c r="A239" s="1270" t="s">
        <v>1276</v>
      </c>
      <c r="B239" s="1271">
        <v>765</v>
      </c>
      <c r="C239" s="2524"/>
      <c r="D239" s="1272"/>
      <c r="E239" s="2524"/>
      <c r="F239" s="1258"/>
    </row>
    <row r="240" spans="1:6" ht="12" customHeight="1">
      <c r="A240" s="1279" t="s">
        <v>279</v>
      </c>
      <c r="B240" s="1280">
        <v>770</v>
      </c>
      <c r="C240" s="1303"/>
      <c r="D240" s="1282"/>
      <c r="E240" s="1303"/>
      <c r="F240" s="1258"/>
    </row>
    <row r="241" spans="1:6" ht="12" customHeight="1">
      <c r="A241" s="1274" t="s">
        <v>1303</v>
      </c>
      <c r="B241" s="1275">
        <v>775</v>
      </c>
      <c r="C241" s="1304"/>
      <c r="D241" s="1276"/>
      <c r="E241" s="1304"/>
      <c r="F241" s="1258"/>
    </row>
    <row r="242" spans="1:6" ht="12" customHeight="1">
      <c r="A242" s="1274" t="s">
        <v>1282</v>
      </c>
      <c r="B242" s="1275">
        <v>780</v>
      </c>
      <c r="C242" s="1304"/>
      <c r="D242" s="1276"/>
      <c r="E242" s="1304"/>
      <c r="F242" s="1258"/>
    </row>
    <row r="243" spans="1:6" ht="12" customHeight="1">
      <c r="A243" s="1274" t="s">
        <v>1288</v>
      </c>
      <c r="B243" s="1275">
        <v>785</v>
      </c>
      <c r="C243" s="1304"/>
      <c r="D243" s="1276"/>
      <c r="E243" s="1304"/>
      <c r="F243" s="1258"/>
    </row>
    <row r="244" spans="1:6" ht="12" customHeight="1">
      <c r="A244" s="1274" t="s">
        <v>1292</v>
      </c>
      <c r="B244" s="1275">
        <v>790</v>
      </c>
      <c r="C244" s="1304"/>
      <c r="D244" s="1276"/>
      <c r="E244" s="1304"/>
      <c r="F244" s="1258"/>
    </row>
    <row r="245" spans="1:6" ht="12" customHeight="1">
      <c r="A245" s="1274" t="s">
        <v>1293</v>
      </c>
      <c r="B245" s="1275">
        <v>795</v>
      </c>
      <c r="C245" s="1304"/>
      <c r="D245" s="1276"/>
      <c r="E245" s="1304"/>
      <c r="F245" s="1258"/>
    </row>
    <row r="246" spans="1:6" ht="12" customHeight="1">
      <c r="A246" s="1274" t="s">
        <v>1752</v>
      </c>
      <c r="B246" s="1275"/>
      <c r="C246" s="1284"/>
      <c r="D246" s="1278"/>
      <c r="E246" s="1284"/>
      <c r="F246" s="1258"/>
    </row>
    <row r="247" spans="1:6" ht="12" customHeight="1">
      <c r="A247" s="1279" t="s">
        <v>1268</v>
      </c>
      <c r="B247" s="1280"/>
      <c r="C247" s="1300"/>
      <c r="D247" s="1281"/>
      <c r="E247" s="1300"/>
      <c r="F247" s="1258"/>
    </row>
    <row r="248" spans="1:6" ht="12" customHeight="1">
      <c r="A248" s="1279" t="s">
        <v>1269</v>
      </c>
      <c r="B248" s="3996">
        <v>860</v>
      </c>
      <c r="C248" s="3878"/>
      <c r="D248" s="1282"/>
      <c r="E248" s="1303"/>
      <c r="F248" s="1258"/>
    </row>
    <row r="249" spans="1:6" ht="12" customHeight="1">
      <c r="A249" s="1274" t="s">
        <v>674</v>
      </c>
      <c r="B249" s="3997">
        <v>865</v>
      </c>
      <c r="C249" s="3878"/>
      <c r="D249" s="1276"/>
      <c r="E249" s="1304"/>
      <c r="F249" s="1258"/>
    </row>
    <row r="250" spans="1:6" ht="12" customHeight="1">
      <c r="A250" s="1274" t="s">
        <v>1271</v>
      </c>
      <c r="B250" s="3997"/>
      <c r="C250" s="2525"/>
      <c r="D250" s="1278"/>
      <c r="E250" s="1284"/>
      <c r="F250" s="1258"/>
    </row>
    <row r="251" spans="1:6" ht="12" customHeight="1">
      <c r="A251" s="1279" t="s">
        <v>353</v>
      </c>
      <c r="B251" s="3996">
        <v>870</v>
      </c>
      <c r="C251" s="3878"/>
      <c r="D251" s="1282"/>
      <c r="E251" s="1303"/>
      <c r="F251" s="1258"/>
    </row>
    <row r="252" spans="1:6" ht="12" customHeight="1">
      <c r="A252" s="1274" t="s">
        <v>1273</v>
      </c>
      <c r="B252" s="3997">
        <v>873</v>
      </c>
      <c r="C252" s="3878"/>
      <c r="D252" s="1276"/>
      <c r="E252" s="1304"/>
      <c r="F252" s="1258"/>
    </row>
    <row r="253" spans="1:6" ht="12" customHeight="1">
      <c r="A253" s="1270" t="s">
        <v>1276</v>
      </c>
      <c r="B253" s="3998">
        <v>880</v>
      </c>
      <c r="C253" s="3878"/>
      <c r="D253" s="1272"/>
      <c r="E253" s="2524"/>
      <c r="F253" s="1258"/>
    </row>
    <row r="254" spans="1:6" ht="12" customHeight="1">
      <c r="A254" s="1279" t="s">
        <v>279</v>
      </c>
      <c r="B254" s="3996">
        <v>885</v>
      </c>
      <c r="C254" s="3878"/>
      <c r="D254" s="1282"/>
      <c r="E254" s="1303"/>
      <c r="F254" s="1258"/>
    </row>
    <row r="255" spans="1:6" ht="12" customHeight="1">
      <c r="A255" s="1274" t="s">
        <v>1303</v>
      </c>
      <c r="B255" s="3997">
        <v>890</v>
      </c>
      <c r="C255" s="3878"/>
      <c r="D255" s="1276"/>
      <c r="E255" s="1304"/>
      <c r="F255" s="1258"/>
    </row>
    <row r="256" spans="1:6" ht="12" customHeight="1">
      <c r="A256" s="1274" t="s">
        <v>1282</v>
      </c>
      <c r="B256" s="3997">
        <v>895</v>
      </c>
      <c r="C256" s="3878"/>
      <c r="D256" s="1276"/>
      <c r="E256" s="1304"/>
      <c r="F256" s="1258"/>
    </row>
    <row r="257" spans="1:7" ht="12" customHeight="1">
      <c r="A257" s="1274" t="s">
        <v>1288</v>
      </c>
      <c r="B257" s="3997">
        <v>900</v>
      </c>
      <c r="C257" s="3878"/>
      <c r="D257" s="1276"/>
      <c r="E257" s="1304"/>
      <c r="F257" s="1258"/>
    </row>
    <row r="258" spans="1:7" ht="12" customHeight="1">
      <c r="A258" s="1274" t="s">
        <v>1292</v>
      </c>
      <c r="B258" s="3997">
        <v>905</v>
      </c>
      <c r="C258" s="3878"/>
      <c r="D258" s="1276"/>
      <c r="E258" s="1304"/>
      <c r="F258" s="1258"/>
    </row>
    <row r="259" spans="1:7" ht="12" customHeight="1">
      <c r="A259" s="1274" t="s">
        <v>1293</v>
      </c>
      <c r="B259" s="3997">
        <v>910</v>
      </c>
      <c r="C259" s="3878"/>
      <c r="D259" s="1276"/>
      <c r="E259" s="1304"/>
      <c r="F259" s="1258"/>
    </row>
    <row r="260" spans="1:7" ht="12" customHeight="1">
      <c r="A260" s="3528" t="s">
        <v>1501</v>
      </c>
      <c r="B260" s="1275"/>
      <c r="C260" s="2525"/>
      <c r="D260" s="1290"/>
      <c r="E260" s="2528"/>
      <c r="F260" s="1258"/>
    </row>
    <row r="261" spans="1:7" ht="12" customHeight="1">
      <c r="A261" s="3529" t="s">
        <v>1503</v>
      </c>
      <c r="B261" s="3551">
        <v>855</v>
      </c>
      <c r="C261" s="3878"/>
      <c r="D261" s="5002" t="s">
        <v>1874</v>
      </c>
      <c r="E261" s="5002" t="s">
        <v>1874</v>
      </c>
      <c r="F261" s="1258"/>
      <c r="G261" s="3536"/>
    </row>
    <row r="262" spans="1:7" ht="12" customHeight="1">
      <c r="A262" s="1286" t="s">
        <v>1416</v>
      </c>
      <c r="B262" s="2976" t="s">
        <v>92</v>
      </c>
      <c r="C262" s="2527">
        <f>SUM(C204:C261,C139:C195,C77:C130,C40:C65)</f>
        <v>618088</v>
      </c>
      <c r="D262" s="2527">
        <f t="shared" ref="D262" si="0">SUM(D204:D261,D139:D195,D77:D130,D40:D65)</f>
        <v>640256</v>
      </c>
      <c r="E262" s="2527">
        <f>SUM(E204:E260,E139:E195,E77:E130,E40:E65)</f>
        <v>728437</v>
      </c>
      <c r="F262" s="1258"/>
      <c r="G262" s="3536"/>
    </row>
    <row r="263" spans="1:7" ht="12" customHeight="1">
      <c r="A263" s="1257" t="s">
        <v>1892</v>
      </c>
      <c r="B263" s="1260"/>
      <c r="C263" s="1257"/>
      <c r="D263" s="1257"/>
      <c r="E263" s="1257"/>
      <c r="F263" s="1258"/>
    </row>
    <row r="264" spans="1:7" ht="13.5" customHeight="1">
      <c r="A264" s="1257"/>
      <c r="F264" s="1258"/>
    </row>
    <row r="265" spans="1:7" ht="12" customHeight="1">
      <c r="G265" s="4059"/>
    </row>
    <row r="266" spans="1:7" ht="12" customHeight="1">
      <c r="G266" s="4059"/>
    </row>
    <row r="267" spans="1:7" ht="12" customHeight="1">
      <c r="G267" s="4059"/>
    </row>
  </sheetData>
  <sheetProtection algorithmName="SHA-512" hashValue="UDkn9uLD/1UJSKIPrzAbq2e1d4cQ4CoH7/fUY9xTIZnLJG5tNc33o9Fd+eKkU9mLhctX2diMEwXIB9NFqWi7vw==" saltValue="9ScNJRzH7lgz+dDZUzB5yw==" spinCount="100000" sheet="1" objects="1" scenarios="1"/>
  <phoneticPr fontId="10" type="noConversion"/>
  <dataValidations count="2">
    <dataValidation type="whole" operator="greaterThanOrEqual" showInputMessage="1" showErrorMessage="1" errorTitle="Invalid Data Entry" error="Please enter a positive number or press the delete key or enter zero." sqref="C228:E232 C209:E210 C94:E99 C42:E49 C19:E22 C17:E17 C10:D10 C80:E88 C77:E78 C55:E58 C52:E53 C60:E65 C101:E105 C109:E120 C160:E163 C235:E235 C158:E158 C123:E124 C165:E170 C172:E172 C174:E180 C184:E184 C186:E192 C139:E141 C205:E207 C91:E92 C212:E215 C217:E220 C195:E195 C223:E223 C225 D225:E227 C227 C226:D226 C248:E249 C237:E245 C147:E155 C144:E145 C126:E130 D14:E15 C13:C15 C251:C261 D251:E260">
      <formula1>0</formula1>
    </dataValidation>
    <dataValidation type="whole" operator="greaterThanOrEqual" showInputMessage="1" showErrorMessage="1" errorTitle="Invalid beginning cash balance" error="Please enter a number or press the delete key or enter zero." sqref="C9">
      <formula1>-1000000000</formula1>
    </dataValidation>
  </dataValidations>
  <hyperlinks>
    <hyperlink ref="G1" location="Contents!F1" display="Return to Contents page"/>
  </hyperlinks>
  <printOptions horizontalCentered="1"/>
  <pageMargins left="0.25" right="0.25" top="0.25" bottom="0.25" header="0.5" footer="0.5"/>
  <pageSetup scale="90" orientation="portrait" blackAndWhite="1" r:id="rId1"/>
  <headerFooter alignWithMargins="0">
    <oddFooter>&amp;L&amp;D     &amp;T &amp;CCode No. 30&amp;RPage &amp;P</oddFooter>
  </headerFooter>
  <rowBreaks count="4" manualBreakCount="4">
    <brk id="65" max="4" man="1"/>
    <brk id="130" max="4" man="1"/>
    <brk id="195" max="4" man="1"/>
    <brk id="288" max="65535" man="1"/>
  </rowBreak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theme="4" tint="0.39997558519241921"/>
  </sheetPr>
  <dimension ref="A1:O49"/>
  <sheetViews>
    <sheetView topLeftCell="A4" zoomScaleNormal="100" workbookViewId="0">
      <selection activeCell="C9" sqref="C9"/>
    </sheetView>
  </sheetViews>
  <sheetFormatPr defaultRowHeight="12.75"/>
  <cols>
    <col min="1" max="1" width="40.5703125" customWidth="1"/>
    <col min="2" max="2" width="4.85546875" customWidth="1"/>
    <col min="3" max="3" width="17.5703125" customWidth="1"/>
    <col min="4" max="4" width="16.85546875" customWidth="1"/>
    <col min="5" max="5" width="17.5703125" customWidth="1"/>
    <col min="6" max="6" width="1.7109375" customWidth="1"/>
    <col min="7" max="7" width="2.140625" customWidth="1"/>
    <col min="8" max="8" width="21.7109375" customWidth="1"/>
    <col min="9" max="9" width="44.85546875" customWidth="1"/>
    <col min="10" max="10" width="12.28515625" customWidth="1"/>
    <col min="14" max="14" width="9.140625" customWidth="1"/>
  </cols>
  <sheetData>
    <row r="1" spans="1:11">
      <c r="A1" s="1575"/>
      <c r="B1" s="1576"/>
      <c r="C1" s="1577" t="s">
        <v>1019</v>
      </c>
      <c r="D1" s="1578">
        <f>OPEN!B4</f>
        <v>270</v>
      </c>
      <c r="E1" s="1577" t="s">
        <v>1020</v>
      </c>
      <c r="F1" s="1577"/>
      <c r="G1" s="1579"/>
      <c r="H1" s="3013" t="s">
        <v>866</v>
      </c>
    </row>
    <row r="2" spans="1:11">
      <c r="A2" s="1575"/>
      <c r="B2" s="1576"/>
      <c r="C2" s="1575"/>
      <c r="D2" s="1575"/>
      <c r="E2" s="1577" t="s">
        <v>1212</v>
      </c>
      <c r="F2" s="1577"/>
      <c r="G2" s="1579"/>
    </row>
    <row r="3" spans="1:11">
      <c r="A3" s="1575"/>
      <c r="B3" s="1576"/>
      <c r="C3" s="1575"/>
      <c r="D3" s="1575"/>
      <c r="E3" s="1577" t="str">
        <f>OPEN!P4</f>
        <v>2016-2017</v>
      </c>
      <c r="F3" s="1577"/>
      <c r="G3" s="1579"/>
    </row>
    <row r="4" spans="1:11">
      <c r="A4" s="1575"/>
      <c r="B4" s="1576"/>
      <c r="C4" s="1575"/>
      <c r="D4" s="1575"/>
      <c r="E4" s="1575"/>
      <c r="F4" s="1575"/>
      <c r="G4" s="1579"/>
    </row>
    <row r="5" spans="1:11">
      <c r="A5" s="3073"/>
      <c r="B5" s="1576"/>
      <c r="C5" s="1581" t="s">
        <v>1213</v>
      </c>
      <c r="D5" s="1581" t="s">
        <v>1213</v>
      </c>
      <c r="E5" s="1581" t="s">
        <v>1213</v>
      </c>
      <c r="F5" s="3624"/>
      <c r="G5" s="1579"/>
    </row>
    <row r="6" spans="1:11">
      <c r="A6" s="1582"/>
      <c r="B6" s="1583" t="s">
        <v>1045</v>
      </c>
      <c r="C6" s="1584" t="str">
        <f>OPEN!N4</f>
        <v>2014-2015</v>
      </c>
      <c r="D6" s="1584" t="str">
        <f>OPEN!O4</f>
        <v>2015-2016</v>
      </c>
      <c r="E6" s="1584" t="str">
        <f>OPEN!P4</f>
        <v>2016-2017</v>
      </c>
      <c r="F6" s="3624"/>
      <c r="G6" s="1579"/>
    </row>
    <row r="7" spans="1:11">
      <c r="A7" s="1582" t="s">
        <v>7</v>
      </c>
      <c r="B7" s="3074">
        <v>33</v>
      </c>
      <c r="C7" s="1586" t="s">
        <v>1139</v>
      </c>
      <c r="D7" s="1586" t="s">
        <v>1139</v>
      </c>
      <c r="E7" s="1586" t="s">
        <v>1215</v>
      </c>
      <c r="F7" s="3624"/>
      <c r="G7" s="1579"/>
    </row>
    <row r="8" spans="1:11">
      <c r="A8" s="1587"/>
      <c r="B8" s="1588" t="s">
        <v>1051</v>
      </c>
      <c r="C8" s="3033">
        <v>1</v>
      </c>
      <c r="D8" s="1589">
        <v>2</v>
      </c>
      <c r="E8" s="3033">
        <v>3</v>
      </c>
      <c r="F8" s="3625"/>
      <c r="G8" s="1579"/>
    </row>
    <row r="9" spans="1:11">
      <c r="A9" s="1590" t="s">
        <v>1402</v>
      </c>
      <c r="B9" s="3034">
        <v>1</v>
      </c>
      <c r="C9" s="3238"/>
      <c r="D9" s="1593">
        <f>C30</f>
        <v>0</v>
      </c>
      <c r="E9" s="2763">
        <f>D30</f>
        <v>0</v>
      </c>
      <c r="F9" s="3622"/>
      <c r="G9" s="1579"/>
    </row>
    <row r="10" spans="1:11">
      <c r="A10" s="1594" t="s">
        <v>1219</v>
      </c>
      <c r="B10" s="3035">
        <v>3</v>
      </c>
      <c r="C10" s="1602"/>
      <c r="D10" s="1591"/>
      <c r="E10" s="1596"/>
      <c r="F10" s="3622"/>
      <c r="G10" s="1579"/>
    </row>
    <row r="11" spans="1:11">
      <c r="A11" s="1597" t="s">
        <v>19</v>
      </c>
      <c r="B11" s="3036"/>
      <c r="C11" s="1596"/>
      <c r="D11" s="3119"/>
      <c r="E11" s="1596"/>
      <c r="F11" s="3622"/>
      <c r="G11" s="1579"/>
    </row>
    <row r="12" spans="1:11">
      <c r="A12" s="1594" t="s">
        <v>20</v>
      </c>
      <c r="B12" s="3035"/>
      <c r="C12" s="1596"/>
      <c r="D12" s="3119"/>
      <c r="E12" s="1596"/>
      <c r="F12" s="3622"/>
      <c r="G12" s="1579"/>
    </row>
    <row r="13" spans="1:11">
      <c r="A13" s="1594" t="s">
        <v>21</v>
      </c>
      <c r="B13" s="3035"/>
      <c r="C13" s="1596"/>
      <c r="D13" s="3119"/>
      <c r="E13" s="1596"/>
      <c r="F13" s="3622"/>
      <c r="G13" s="1579"/>
    </row>
    <row r="14" spans="1:11">
      <c r="A14" s="1590" t="str">
        <f>OPEN!N8</f>
        <v xml:space="preserve">    2013  $</v>
      </c>
      <c r="B14" s="3034">
        <v>5</v>
      </c>
      <c r="C14" s="1595"/>
      <c r="D14" s="3119"/>
      <c r="E14" s="1596"/>
      <c r="F14" s="3622"/>
      <c r="G14" s="1579"/>
      <c r="K14" s="3164"/>
    </row>
    <row r="15" spans="1:11">
      <c r="A15" s="1600" t="str">
        <f>OPEN!N9</f>
        <v xml:space="preserve">    2014  $</v>
      </c>
      <c r="B15" s="3037">
        <v>10</v>
      </c>
      <c r="C15" s="1602"/>
      <c r="D15" s="1591"/>
      <c r="E15" s="1596"/>
      <c r="F15" s="3622"/>
      <c r="G15" s="1579"/>
    </row>
    <row r="16" spans="1:11">
      <c r="A16" s="1590" t="str">
        <f>OPEN!N10</f>
        <v xml:space="preserve">    2015  $</v>
      </c>
      <c r="B16" s="3034">
        <v>15</v>
      </c>
      <c r="C16" s="1596"/>
      <c r="D16" s="3120">
        <f>'C04'!E29</f>
        <v>0</v>
      </c>
      <c r="E16" s="3635">
        <f>'F110'!$M$172</f>
        <v>0</v>
      </c>
      <c r="F16" s="3622"/>
      <c r="G16" s="1579"/>
      <c r="I16" s="3260" t="s">
        <v>990</v>
      </c>
    </row>
    <row r="17" spans="1:15">
      <c r="A17" s="1600" t="str">
        <f>OPEN!N11</f>
        <v xml:space="preserve">    2016  $</v>
      </c>
      <c r="B17" s="3037">
        <v>20</v>
      </c>
      <c r="C17" s="1596"/>
      <c r="D17" s="2756"/>
      <c r="E17" s="3629">
        <v>0</v>
      </c>
      <c r="F17" s="3622"/>
      <c r="G17" s="1579"/>
      <c r="I17" s="3260" t="s">
        <v>1548</v>
      </c>
    </row>
    <row r="18" spans="1:15">
      <c r="A18" s="1600" t="s">
        <v>1872</v>
      </c>
      <c r="B18" s="3037">
        <v>25</v>
      </c>
      <c r="C18" s="1591"/>
      <c r="D18" s="1591"/>
      <c r="E18" s="3039">
        <f>0.667*'F110'!$M$176</f>
        <v>0</v>
      </c>
      <c r="F18" s="3622"/>
      <c r="G18" s="1579"/>
      <c r="I18" s="3260"/>
    </row>
    <row r="19" spans="1:15">
      <c r="A19" s="1597" t="s">
        <v>28</v>
      </c>
      <c r="B19" s="3036"/>
      <c r="C19" s="1603"/>
      <c r="D19" s="2757"/>
      <c r="E19" s="2757"/>
      <c r="F19" s="3622"/>
      <c r="G19" s="1579"/>
      <c r="I19" s="4258"/>
      <c r="J19" s="2597"/>
      <c r="K19" s="2597"/>
      <c r="L19" s="2597"/>
      <c r="M19" s="2597"/>
      <c r="N19" s="2597"/>
      <c r="O19" s="2597"/>
    </row>
    <row r="20" spans="1:15">
      <c r="A20" s="1590" t="s">
        <v>285</v>
      </c>
      <c r="B20" s="3034">
        <v>45</v>
      </c>
      <c r="C20" s="1591"/>
      <c r="D20" s="1591"/>
      <c r="E20" s="3039">
        <f>IF(ISERROR('F194'!$H$35+'F194'!$P$35+'F194'!$H$93+'F194'!$P$93),0,('F194'!$H$35+'F194'!$P$35+'F194'!$H$93+'F194'!$P$93))</f>
        <v>0</v>
      </c>
      <c r="F20" s="3622"/>
      <c r="G20" s="1579"/>
      <c r="I20" s="2597"/>
      <c r="J20" s="2597"/>
      <c r="K20" s="2597"/>
      <c r="L20" s="2597"/>
      <c r="M20" s="2597"/>
      <c r="N20" s="2597"/>
      <c r="O20" s="2597"/>
    </row>
    <row r="21" spans="1:15">
      <c r="A21" s="1590" t="s">
        <v>31</v>
      </c>
      <c r="B21" s="3034">
        <v>55</v>
      </c>
      <c r="C21" s="1595"/>
      <c r="D21" s="1595"/>
      <c r="E21" s="3039">
        <f>IF(ISERROR('F194'!$L$35+'F194'!$L$93),0,('F194'!$L$35+'F194'!$L$93))</f>
        <v>0</v>
      </c>
      <c r="F21" s="3622"/>
      <c r="G21" s="1579"/>
      <c r="I21" s="2597"/>
      <c r="J21" s="4259"/>
      <c r="K21" s="4260"/>
      <c r="L21" s="2597"/>
      <c r="M21" s="2597"/>
      <c r="N21" s="2597"/>
      <c r="O21" s="2597"/>
    </row>
    <row r="22" spans="1:15">
      <c r="A22" s="5056" t="s">
        <v>1870</v>
      </c>
      <c r="B22" s="5057">
        <v>57</v>
      </c>
      <c r="C22" s="4182"/>
      <c r="D22" s="4182"/>
      <c r="E22" s="3039">
        <f>IF(ISERROR('F194'!$R$35+'F194'!$R$93),0,('F194'!$R$35+'F194'!$R$93))</f>
        <v>0</v>
      </c>
      <c r="F22" s="3622"/>
      <c r="G22" s="1579"/>
      <c r="H22" s="3820"/>
      <c r="I22" s="2597"/>
      <c r="J22" s="2597"/>
      <c r="K22" s="2597"/>
      <c r="L22" s="2597"/>
      <c r="M22" s="2597"/>
      <c r="N22" s="2597"/>
      <c r="O22" s="2597"/>
    </row>
    <row r="23" spans="1:15">
      <c r="A23" s="1590" t="s">
        <v>1938</v>
      </c>
      <c r="B23" s="3034">
        <v>60</v>
      </c>
      <c r="C23" s="1591"/>
      <c r="D23" s="1591"/>
      <c r="E23" s="3039">
        <f>IF(ISERROR('F194'!$N$35+'F194'!$N$93),0,('F194'!$N$35+'F194'!$N$93))</f>
        <v>0</v>
      </c>
      <c r="F23" s="3622"/>
      <c r="G23" s="1579"/>
      <c r="I23" s="4261"/>
      <c r="J23" s="4262"/>
      <c r="K23" s="2597"/>
      <c r="L23" s="2597"/>
      <c r="M23" s="2597"/>
      <c r="N23" s="2597"/>
      <c r="O23" s="2597"/>
    </row>
    <row r="24" spans="1:15">
      <c r="A24" s="1606" t="s">
        <v>52</v>
      </c>
      <c r="B24" s="2755">
        <v>70</v>
      </c>
      <c r="C24" s="1592">
        <f>SUM(C9:C23)</f>
        <v>0</v>
      </c>
      <c r="D24" s="3039">
        <f>SUM(D9:D23)</f>
        <v>0</v>
      </c>
      <c r="E24" s="3039">
        <f>SUM(E9:E23)</f>
        <v>0</v>
      </c>
      <c r="F24" s="3622"/>
      <c r="G24" s="1579"/>
      <c r="I24" s="2597"/>
      <c r="J24" s="4263"/>
      <c r="K24" s="2597"/>
      <c r="L24" s="2597"/>
      <c r="M24" s="4264"/>
      <c r="N24" s="2597"/>
      <c r="O24" s="2597"/>
    </row>
    <row r="25" spans="1:15">
      <c r="A25" s="1607" t="s">
        <v>111</v>
      </c>
      <c r="B25" s="2753"/>
      <c r="C25" s="1596"/>
      <c r="D25" s="3119"/>
      <c r="E25" s="1596"/>
      <c r="F25" s="3622"/>
      <c r="G25" s="1579"/>
      <c r="I25" s="2597"/>
      <c r="J25" s="2597"/>
      <c r="K25" s="2597"/>
      <c r="L25" s="2597"/>
      <c r="M25" s="2597"/>
      <c r="N25" s="2597"/>
      <c r="O25" s="2597"/>
    </row>
    <row r="26" spans="1:15">
      <c r="A26" s="1608" t="s">
        <v>940</v>
      </c>
      <c r="B26" s="2754"/>
      <c r="C26" s="1596"/>
      <c r="D26" s="3119"/>
      <c r="E26" s="1596"/>
      <c r="F26" s="3622"/>
      <c r="G26" s="1579"/>
      <c r="H26" s="3843"/>
      <c r="I26" s="2597"/>
      <c r="J26" s="2597"/>
      <c r="K26" s="2597"/>
      <c r="L26" s="2597"/>
      <c r="M26" s="2597"/>
      <c r="N26" s="2597"/>
      <c r="O26" s="2597"/>
    </row>
    <row r="27" spans="1:15">
      <c r="A27" s="1608" t="s">
        <v>309</v>
      </c>
      <c r="B27" s="2754"/>
      <c r="C27" s="1596"/>
      <c r="D27" s="3119"/>
      <c r="E27" s="1596"/>
      <c r="F27" s="3622"/>
      <c r="G27" s="1579"/>
      <c r="H27" s="3843"/>
      <c r="I27" s="4261"/>
      <c r="J27" s="4265"/>
      <c r="K27" s="2597"/>
      <c r="L27" s="2597"/>
      <c r="M27" s="2597"/>
      <c r="N27" s="2597"/>
      <c r="O27" s="2597"/>
    </row>
    <row r="28" spans="1:15">
      <c r="A28" s="1609" t="s">
        <v>776</v>
      </c>
      <c r="B28" s="2764">
        <v>75</v>
      </c>
      <c r="C28" s="1591"/>
      <c r="D28" s="3038"/>
      <c r="E28" s="4228">
        <f>MIN('F151'!$G$18,'F151'!$I$18)</f>
        <v>0</v>
      </c>
      <c r="F28" s="3622"/>
      <c r="G28" s="1579"/>
      <c r="I28" s="3260" t="s">
        <v>1976</v>
      </c>
      <c r="J28" s="2597"/>
      <c r="K28" s="2597"/>
      <c r="L28" s="2597"/>
      <c r="M28" s="2597"/>
      <c r="N28" s="2597"/>
      <c r="O28" s="2597"/>
    </row>
    <row r="29" spans="1:15">
      <c r="A29" s="1604" t="s">
        <v>761</v>
      </c>
      <c r="B29" s="2755">
        <v>175</v>
      </c>
      <c r="C29" s="1593">
        <f>SUM(C25:C28)</f>
        <v>0</v>
      </c>
      <c r="D29" s="2763">
        <f>SUM(D25:D28)</f>
        <v>0</v>
      </c>
      <c r="E29" s="2763">
        <f>SUM(E25:E28)</f>
        <v>0</v>
      </c>
      <c r="F29" s="3622"/>
      <c r="G29" s="1579"/>
      <c r="I29" s="4266"/>
      <c r="J29" s="2597"/>
      <c r="K29" s="2597"/>
      <c r="L29" s="2597"/>
      <c r="M29" s="2597"/>
      <c r="N29" s="2597"/>
      <c r="O29" s="2597"/>
    </row>
    <row r="30" spans="1:15">
      <c r="A30" s="1609" t="s">
        <v>1250</v>
      </c>
      <c r="B30" s="2764">
        <v>190</v>
      </c>
      <c r="C30" s="3319">
        <f>C24-C29</f>
        <v>0</v>
      </c>
      <c r="D30" s="3639">
        <f>D24-D29</f>
        <v>0</v>
      </c>
      <c r="E30" s="4138" t="s">
        <v>54</v>
      </c>
      <c r="F30" s="3622"/>
      <c r="G30" s="1579"/>
    </row>
    <row r="31" spans="1:15">
      <c r="A31" s="1614"/>
      <c r="B31" s="1605">
        <v>195</v>
      </c>
      <c r="C31" t="s">
        <v>1549</v>
      </c>
      <c r="D31" s="3639"/>
      <c r="E31" s="4014">
        <f>E29-E24</f>
        <v>0</v>
      </c>
      <c r="F31" s="3622"/>
      <c r="G31" s="1579"/>
      <c r="H31" s="3162" t="s">
        <v>387</v>
      </c>
      <c r="I31" s="3165">
        <f>IF(ISERROR(E33/OPEN!A14*1000), "Check errors below",E33/OPEN!A14*1000)</f>
        <v>0</v>
      </c>
    </row>
    <row r="32" spans="1:15">
      <c r="A32" s="1575"/>
      <c r="B32" s="1605">
        <v>200</v>
      </c>
      <c r="C32" s="1612" t="s">
        <v>763</v>
      </c>
      <c r="D32" s="1613"/>
      <c r="E32" s="3642">
        <f>E31*'C01'!F119/100</f>
        <v>0</v>
      </c>
      <c r="F32" s="3622"/>
      <c r="G32" s="1579"/>
      <c r="H32" s="3163" t="str">
        <f>OPEN!N40</f>
        <v/>
      </c>
      <c r="I32" s="3164"/>
    </row>
    <row r="33" spans="1:7">
      <c r="A33" s="1575"/>
      <c r="B33" s="1605">
        <v>205</v>
      </c>
      <c r="C33" s="1612" t="str">
        <f>OPEN!N6</f>
        <v>Amount of 2016 Tax to be Levied</v>
      </c>
      <c r="D33" s="1613"/>
      <c r="E33" s="3628">
        <f>E32+E31</f>
        <v>0</v>
      </c>
      <c r="F33" s="3626" t="s">
        <v>364</v>
      </c>
      <c r="G33" s="1579"/>
    </row>
    <row r="34" spans="1:7">
      <c r="A34" s="1614"/>
      <c r="B34" s="2780"/>
      <c r="C34" s="1575"/>
      <c r="D34" s="1575"/>
      <c r="E34" s="1575"/>
      <c r="F34" s="3623"/>
      <c r="G34" s="1579"/>
    </row>
    <row r="35" spans="1:7">
      <c r="A35" s="1614"/>
      <c r="B35" s="1615"/>
      <c r="C35" s="1575"/>
      <c r="D35" s="1575"/>
      <c r="E35" s="1575"/>
      <c r="F35" s="3622"/>
      <c r="G35" s="1579"/>
    </row>
    <row r="36" spans="1:7">
      <c r="A36" s="1575" t="s">
        <v>2590</v>
      </c>
      <c r="B36" s="1581"/>
      <c r="C36" s="1575"/>
      <c r="D36" s="1575"/>
      <c r="E36" s="1575"/>
      <c r="F36" s="3622"/>
      <c r="G36" s="1579"/>
    </row>
    <row r="37" spans="1:7">
      <c r="A37" s="3645"/>
      <c r="F37" s="3622"/>
      <c r="G37" s="1579"/>
    </row>
    <row r="38" spans="1:7">
      <c r="F38" s="3622"/>
      <c r="G38" s="1579"/>
    </row>
    <row r="39" spans="1:7">
      <c r="F39" s="3626"/>
      <c r="G39" s="1579"/>
    </row>
    <row r="40" spans="1:7">
      <c r="F40" s="1575"/>
      <c r="G40" s="1579"/>
    </row>
    <row r="41" spans="1:7">
      <c r="F41" s="1575"/>
      <c r="G41" s="1579"/>
    </row>
    <row r="42" spans="1:7">
      <c r="F42" s="1575"/>
    </row>
    <row r="49" spans="2:2">
      <c r="B49" t="s">
        <v>1364</v>
      </c>
    </row>
  </sheetData>
  <sheetProtection algorithmName="SHA-512" hashValue="VMYqkCGS87ZV/OV2JaxGqiGl+o0UxV951k4DTW+p1HTREnNZtrtATTb96VG9bfOwJ7hBW4s56SWJZOCjnrKysg==" saltValue="CCzzQlRoo+SVYYeQLtP2AQ==" spinCount="100000" sheet="1" objects="1" scenarios="1"/>
  <phoneticPr fontId="9" type="noConversion"/>
  <dataValidations count="3">
    <dataValidation type="whole" operator="greaterThanOrEqual" showInputMessage="1" showErrorMessage="1" errorTitle="Invalid Data Entry" error="Please enter a positive number or press the delete key or enter a zero." sqref="C14 C15:D15 C18:D18 F34 C20:D23">
      <formula1>0</formula1>
    </dataValidation>
    <dataValidation type="whole" showInputMessage="1" showErrorMessage="1" errorTitle="Invalid Data Entry" error="Please enter a whole number or press delete or enter a zero." sqref="C28:D28">
      <formula1>-2000000</formula1>
      <formula2>20000000</formula2>
    </dataValidation>
    <dataValidation type="whole" showInputMessage="1" showErrorMessage="1" errorTitle="Invalid Data Entry" error="Please enter a whole number or press delete or enter a zero." sqref="C9 C10:D10">
      <formula1>-2000000</formula1>
      <formula2>999999999</formula2>
    </dataValidation>
  </dataValidations>
  <hyperlinks>
    <hyperlink ref="H1" location="Contents!F1" display="Return to Contents page"/>
  </hyperlinks>
  <printOptions horizontalCentered="1"/>
  <pageMargins left="0.5" right="0.5" top="1" bottom="1" header="0.5" footer="0.5"/>
  <pageSetup scale="98" orientation="portrait" blackAndWhite="1" r:id="rId1"/>
  <headerFooter alignWithMargins="0">
    <oddFooter>&amp;L&amp;D &amp;T &amp;CCode 33</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6" tint="-0.249977111117893"/>
    <pageSetUpPr fitToPage="1"/>
  </sheetPr>
  <dimension ref="A1:L62"/>
  <sheetViews>
    <sheetView topLeftCell="A31" workbookViewId="0">
      <selection activeCell="G59" sqref="G59"/>
    </sheetView>
  </sheetViews>
  <sheetFormatPr defaultColWidth="10.7109375" defaultRowHeight="15"/>
  <cols>
    <col min="1" max="3" width="10.7109375" style="4401" customWidth="1"/>
    <col min="4" max="4" width="16.7109375" style="4401" customWidth="1"/>
    <col min="5" max="5" width="8.85546875" style="4401" customWidth="1"/>
    <col min="6" max="6" width="18.85546875" style="4401" customWidth="1"/>
    <col min="7" max="7" width="14.140625" style="4401" customWidth="1"/>
    <col min="8" max="8" width="3.5703125" style="4401" customWidth="1"/>
    <col min="9" max="9" width="20.7109375" style="4401" customWidth="1"/>
    <col min="10" max="16384" width="10.7109375" style="4401"/>
  </cols>
  <sheetData>
    <row r="1" spans="1:9">
      <c r="A1" s="4400" t="s">
        <v>2065</v>
      </c>
      <c r="B1" s="4400"/>
      <c r="C1" s="4400"/>
      <c r="D1" s="4400"/>
      <c r="E1" s="4400"/>
      <c r="F1" s="4400"/>
      <c r="G1" s="4400"/>
      <c r="I1" s="4288" t="s">
        <v>866</v>
      </c>
    </row>
    <row r="2" spans="1:9">
      <c r="A2" s="4402">
        <f>OPEN!$N$3</f>
        <v>42522</v>
      </c>
      <c r="B2" s="4400"/>
      <c r="C2" s="4400"/>
      <c r="D2" s="4400"/>
      <c r="E2" s="4400"/>
      <c r="F2" s="4400"/>
      <c r="G2" s="4400"/>
    </row>
    <row r="3" spans="1:9">
      <c r="A3" s="4403" t="s">
        <v>2066</v>
      </c>
      <c r="B3" s="4404"/>
      <c r="C3" s="4404"/>
      <c r="D3" s="4404"/>
      <c r="E3" s="4404"/>
      <c r="F3" s="4404"/>
      <c r="G3" s="4404"/>
    </row>
    <row r="4" spans="1:9">
      <c r="A4" s="4400"/>
      <c r="B4" s="4400"/>
      <c r="C4" s="4400"/>
      <c r="D4" s="4400"/>
      <c r="E4" s="4400"/>
      <c r="F4" s="4405" t="s">
        <v>1019</v>
      </c>
      <c r="G4" s="4406">
        <f>OPEN!B4</f>
        <v>270</v>
      </c>
    </row>
    <row r="5" spans="1:9">
      <c r="A5" s="4403" t="s">
        <v>2067</v>
      </c>
      <c r="B5" s="4404"/>
      <c r="C5" s="4404"/>
      <c r="D5" s="4404"/>
      <c r="E5" s="4404"/>
      <c r="F5" s="4404"/>
      <c r="G5" s="4404"/>
    </row>
    <row r="6" spans="1:9">
      <c r="A6" s="4403" t="str">
        <f>OPEN!$P$4&amp;" ESTIMATED SPECIAL EDUCATION REVENUE"</f>
        <v>2016-2017 ESTIMATED SPECIAL EDUCATION REVENUE</v>
      </c>
      <c r="B6" s="4404"/>
      <c r="C6" s="4404"/>
      <c r="D6" s="4404"/>
      <c r="E6" s="4404"/>
      <c r="F6" s="4404"/>
      <c r="G6" s="4404"/>
    </row>
    <row r="7" spans="1:9">
      <c r="A7" s="4403" t="s">
        <v>2068</v>
      </c>
      <c r="B7" s="4404"/>
      <c r="C7" s="4404"/>
      <c r="D7" s="4404"/>
      <c r="E7" s="4404"/>
      <c r="F7" s="4404"/>
      <c r="G7" s="4404"/>
    </row>
    <row r="8" spans="1:9" ht="5.0999999999999996" customHeight="1">
      <c r="A8" s="4400"/>
      <c r="B8" s="4400"/>
      <c r="C8" s="4400"/>
      <c r="D8" s="4400"/>
      <c r="E8" s="4400"/>
      <c r="F8" s="4400"/>
      <c r="G8" s="4400"/>
    </row>
    <row r="9" spans="1:9">
      <c r="A9" s="4400" t="s">
        <v>2069</v>
      </c>
      <c r="B9" s="4400"/>
      <c r="C9" s="4400"/>
      <c r="D9" s="4400"/>
      <c r="E9" s="4400"/>
      <c r="F9" s="4400"/>
      <c r="G9" s="4400"/>
    </row>
    <row r="10" spans="1:9">
      <c r="A10" s="4400"/>
      <c r="B10" s="4400"/>
      <c r="C10" s="4400"/>
      <c r="D10" s="4400"/>
      <c r="E10" s="4400"/>
      <c r="F10" s="4400"/>
      <c r="G10" s="4400"/>
    </row>
    <row r="11" spans="1:9">
      <c r="A11" s="4400" t="s">
        <v>2070</v>
      </c>
      <c r="B11" s="4400"/>
      <c r="C11" s="4400"/>
      <c r="D11" s="4400"/>
      <c r="E11" s="4400"/>
      <c r="F11" s="4400"/>
      <c r="G11" s="4407">
        <v>0</v>
      </c>
    </row>
    <row r="12" spans="1:9" ht="8.1" customHeight="1">
      <c r="A12" s="4400"/>
      <c r="B12" s="4400"/>
      <c r="C12" s="4400"/>
      <c r="D12" s="4400"/>
      <c r="E12" s="4400"/>
      <c r="F12" s="4400"/>
      <c r="G12" s="4400"/>
    </row>
    <row r="13" spans="1:9">
      <c r="A13" s="4400" t="s">
        <v>2071</v>
      </c>
      <c r="B13" s="4400"/>
      <c r="C13" s="4400"/>
      <c r="D13" s="4400"/>
      <c r="E13" s="4407"/>
      <c r="F13" s="4408" t="s">
        <v>2072</v>
      </c>
      <c r="G13" s="4409">
        <f>SUM(E13*0.4)</f>
        <v>0</v>
      </c>
    </row>
    <row r="14" spans="1:9" ht="8.1" customHeight="1">
      <c r="A14" s="4400"/>
      <c r="B14" s="4400"/>
      <c r="C14" s="4400"/>
      <c r="D14" s="4400"/>
      <c r="E14" s="4400"/>
      <c r="F14" s="4400"/>
      <c r="G14" s="4410"/>
    </row>
    <row r="15" spans="1:9">
      <c r="A15" s="4400" t="s">
        <v>2073</v>
      </c>
      <c r="B15" s="4400"/>
      <c r="C15" s="4400"/>
      <c r="D15" s="4400"/>
      <c r="E15" s="4400"/>
      <c r="F15" s="4400"/>
      <c r="G15" s="4409">
        <f>SUM(G11:G13)</f>
        <v>0</v>
      </c>
    </row>
    <row r="16" spans="1:9" ht="8.1" customHeight="1">
      <c r="A16" s="4400"/>
      <c r="B16" s="4400"/>
      <c r="C16" s="4400"/>
      <c r="D16" s="4400"/>
      <c r="E16" s="4400"/>
      <c r="F16" s="4400"/>
      <c r="G16" s="4400"/>
    </row>
    <row r="17" spans="1:12">
      <c r="A17" s="4400" t="str">
        <f>"4.  Estimated State Aid due from 7-1-"&amp;OPEN!$Q$5&amp;" to 6-30-"&amp;OPEN!$S$5&amp;" (Line 3 x " &amp; OPEN!$P$16  &amp;  ")"</f>
        <v>4.  Estimated State Aid due from 7-1-2016 to 6-30-2017 (Line 3 x $27,500)</v>
      </c>
      <c r="B17" s="4400"/>
      <c r="C17" s="4400"/>
      <c r="D17" s="4400"/>
      <c r="E17" s="4400"/>
      <c r="F17" s="4400"/>
      <c r="G17" s="4411">
        <f>SUM(G15*OPEN!$N$16)</f>
        <v>0</v>
      </c>
      <c r="L17" s="4412"/>
    </row>
    <row r="18" spans="1:12" ht="5.0999999999999996" customHeight="1">
      <c r="A18" s="4400"/>
      <c r="B18" s="4400"/>
      <c r="C18" s="4400"/>
      <c r="D18" s="4400"/>
      <c r="E18" s="4400"/>
      <c r="F18" s="4400"/>
      <c r="G18" s="4413"/>
    </row>
    <row r="19" spans="1:12">
      <c r="A19" s="4414" t="s">
        <v>2074</v>
      </c>
      <c r="B19" s="4414"/>
      <c r="C19" s="4414"/>
      <c r="D19" s="4414"/>
      <c r="E19" s="4414"/>
      <c r="F19" s="4414"/>
      <c r="G19" s="4414"/>
    </row>
    <row r="20" spans="1:12" ht="15" customHeight="1">
      <c r="A20" s="4408"/>
      <c r="B20" s="4408"/>
      <c r="C20" s="4408"/>
      <c r="D20" s="4408"/>
      <c r="E20" s="4408"/>
      <c r="F20" s="4408"/>
      <c r="G20" s="4408"/>
    </row>
    <row r="21" spans="1:12" ht="20.100000000000001" customHeight="1">
      <c r="A21" s="4403" t="s">
        <v>2075</v>
      </c>
      <c r="B21" s="4403"/>
      <c r="C21" s="4403"/>
      <c r="D21" s="4403"/>
      <c r="E21" s="4403"/>
      <c r="F21" s="4403"/>
      <c r="G21" s="4403"/>
    </row>
    <row r="22" spans="1:12" ht="6.75" customHeight="1">
      <c r="A22" s="4400"/>
      <c r="B22" s="4400"/>
      <c r="C22" s="4400"/>
      <c r="D22" s="4400"/>
      <c r="E22" s="4400"/>
      <c r="F22" s="4400"/>
      <c r="G22" s="4415"/>
    </row>
    <row r="23" spans="1:12">
      <c r="A23" s="4414"/>
      <c r="B23" s="4414"/>
      <c r="C23" s="4414"/>
      <c r="D23" s="4414"/>
      <c r="E23" s="4414"/>
      <c r="F23" s="4414"/>
      <c r="G23" s="4414"/>
    </row>
    <row r="24" spans="1:12" s="4416" customFormat="1">
      <c r="A24" s="4408" t="s">
        <v>2076</v>
      </c>
      <c r="B24" s="4408"/>
      <c r="C24" s="4408"/>
      <c r="D24" s="4408"/>
      <c r="E24" s="4408"/>
      <c r="F24" s="4408"/>
      <c r="G24" s="4408"/>
    </row>
    <row r="25" spans="1:12" ht="6" customHeight="1">
      <c r="A25" s="4400"/>
      <c r="B25" s="4400"/>
      <c r="C25" s="4400"/>
      <c r="D25" s="4400"/>
      <c r="E25" s="4400"/>
      <c r="F25" s="4400"/>
      <c r="G25" s="4400"/>
    </row>
    <row r="26" spans="1:12">
      <c r="A26" s="4400" t="s">
        <v>2077</v>
      </c>
      <c r="B26" s="4400"/>
      <c r="C26" s="4400"/>
      <c r="D26" s="4400"/>
      <c r="E26" s="4400"/>
      <c r="F26" s="4400"/>
      <c r="G26" s="4417"/>
    </row>
    <row r="27" spans="1:12">
      <c r="A27" s="4400" t="s">
        <v>2078</v>
      </c>
      <c r="B27" s="4400"/>
      <c r="C27" s="4400"/>
      <c r="D27" s="4400"/>
      <c r="E27" s="4400"/>
      <c r="F27" s="4400"/>
      <c r="G27" s="4418"/>
    </row>
    <row r="28" spans="1:12" ht="6" customHeight="1">
      <c r="A28" s="4400"/>
      <c r="B28" s="4400"/>
      <c r="C28" s="4400"/>
      <c r="D28" s="4400"/>
      <c r="E28" s="4400"/>
      <c r="F28" s="4400"/>
      <c r="G28" s="4418"/>
    </row>
    <row r="29" spans="1:12">
      <c r="A29" s="4400" t="s">
        <v>2079</v>
      </c>
      <c r="B29" s="4400"/>
      <c r="C29" s="4400"/>
      <c r="D29" s="4400"/>
      <c r="E29" s="4400"/>
      <c r="F29" s="4400"/>
      <c r="G29" s="4417"/>
    </row>
    <row r="30" spans="1:12" ht="6" customHeight="1">
      <c r="A30" s="4400"/>
      <c r="B30" s="4400"/>
      <c r="C30" s="4400"/>
      <c r="D30" s="4400"/>
      <c r="E30" s="4400"/>
      <c r="F30" s="4400"/>
      <c r="G30" s="4418"/>
    </row>
    <row r="31" spans="1:12">
      <c r="A31" s="4400" t="s">
        <v>2080</v>
      </c>
      <c r="B31" s="4400"/>
      <c r="C31" s="4400"/>
      <c r="D31" s="4400"/>
      <c r="E31" s="4400"/>
      <c r="F31" s="4400"/>
      <c r="G31" s="4417"/>
    </row>
    <row r="32" spans="1:12" ht="6" customHeight="1">
      <c r="A32" s="4400"/>
      <c r="B32" s="4400"/>
      <c r="C32" s="4400"/>
      <c r="D32" s="4400"/>
      <c r="E32" s="4400"/>
      <c r="F32" s="4400"/>
      <c r="G32" s="4418"/>
    </row>
    <row r="33" spans="1:7">
      <c r="A33" s="4400" t="s">
        <v>2081</v>
      </c>
      <c r="B33" s="4400"/>
      <c r="C33" s="4400"/>
      <c r="D33" s="4400"/>
      <c r="E33" s="4400"/>
      <c r="F33" s="4400"/>
      <c r="G33" s="4417"/>
    </row>
    <row r="34" spans="1:7" ht="6" customHeight="1">
      <c r="A34" s="4400"/>
      <c r="B34" s="4400"/>
      <c r="C34" s="4400"/>
      <c r="D34" s="4400"/>
      <c r="E34" s="4400"/>
      <c r="F34" s="4400"/>
      <c r="G34" s="4418"/>
    </row>
    <row r="35" spans="1:7">
      <c r="A35" s="4400" t="s">
        <v>2082</v>
      </c>
      <c r="B35" s="4400"/>
      <c r="C35" s="4400"/>
      <c r="D35" s="4400"/>
      <c r="E35" s="4400"/>
      <c r="F35" s="4400"/>
      <c r="G35" s="4417"/>
    </row>
    <row r="36" spans="1:7" ht="6" customHeight="1">
      <c r="A36" s="4400"/>
      <c r="B36" s="4400"/>
      <c r="C36" s="4400"/>
      <c r="D36" s="4400"/>
      <c r="E36" s="4400"/>
      <c r="F36" s="4400"/>
      <c r="G36" s="4418"/>
    </row>
    <row r="37" spans="1:7">
      <c r="A37" s="4400" t="s">
        <v>2083</v>
      </c>
      <c r="B37" s="4400"/>
      <c r="C37" s="4400"/>
      <c r="D37" s="4400"/>
      <c r="E37" s="4400"/>
      <c r="F37" s="4400"/>
      <c r="G37" s="4417"/>
    </row>
    <row r="38" spans="1:7" ht="6" customHeight="1">
      <c r="A38" s="4400"/>
      <c r="B38" s="4400"/>
      <c r="C38" s="4400"/>
      <c r="D38" s="4400"/>
      <c r="E38" s="4400"/>
      <c r="F38" s="4400"/>
      <c r="G38" s="4419"/>
    </row>
    <row r="39" spans="1:7">
      <c r="A39" s="4400" t="s">
        <v>2084</v>
      </c>
      <c r="B39" s="4400"/>
      <c r="C39" s="4400"/>
      <c r="D39" s="4400"/>
      <c r="E39" s="4400"/>
      <c r="F39" s="4400"/>
      <c r="G39" s="4418"/>
    </row>
    <row r="40" spans="1:7" ht="14.1" customHeight="1">
      <c r="A40" s="4400" t="s">
        <v>2085</v>
      </c>
      <c r="B40" s="4400"/>
      <c r="C40" s="4400"/>
      <c r="D40" s="4400"/>
      <c r="E40" s="4400"/>
      <c r="F40" s="4400"/>
      <c r="G40" s="4417"/>
    </row>
    <row r="41" spans="1:7" ht="6" customHeight="1">
      <c r="A41" s="4400"/>
      <c r="B41" s="4400"/>
      <c r="C41" s="4400"/>
      <c r="D41" s="4400"/>
      <c r="E41" s="4400"/>
      <c r="F41" s="4400"/>
      <c r="G41" s="4418"/>
    </row>
    <row r="42" spans="1:7">
      <c r="A42" s="4400" t="s">
        <v>2086</v>
      </c>
      <c r="B42" s="4400"/>
      <c r="C42" s="4400"/>
      <c r="D42" s="4400"/>
      <c r="E42" s="4400"/>
      <c r="F42" s="4400"/>
      <c r="G42" s="4417"/>
    </row>
    <row r="43" spans="1:7" ht="6" customHeight="1">
      <c r="A43" s="4400"/>
      <c r="B43" s="4400"/>
      <c r="C43" s="4400"/>
      <c r="D43" s="4400"/>
      <c r="E43" s="4400"/>
      <c r="F43" s="4400"/>
      <c r="G43" s="4418"/>
    </row>
    <row r="44" spans="1:7">
      <c r="A44" s="4400" t="s">
        <v>2087</v>
      </c>
      <c r="B44" s="4400"/>
      <c r="C44" s="4400"/>
      <c r="D44" s="4400"/>
      <c r="E44" s="4400"/>
      <c r="F44" s="4400"/>
      <c r="G44" s="4420">
        <f>SUM(G26:G42)</f>
        <v>0</v>
      </c>
    </row>
    <row r="45" spans="1:7" ht="6" customHeight="1">
      <c r="A45" s="4400"/>
      <c r="B45" s="4400"/>
      <c r="C45" s="4400"/>
      <c r="D45" s="4400"/>
      <c r="E45" s="4400"/>
      <c r="F45" s="4400"/>
      <c r="G45" s="4418"/>
    </row>
    <row r="46" spans="1:7">
      <c r="A46" s="4400" t="s">
        <v>2088</v>
      </c>
      <c r="B46" s="4400"/>
      <c r="C46" s="4400"/>
      <c r="D46" s="4400"/>
      <c r="E46" s="4400"/>
      <c r="F46" s="4400"/>
      <c r="G46" s="4417"/>
    </row>
    <row r="47" spans="1:7" ht="6" customHeight="1">
      <c r="A47" s="4400"/>
      <c r="B47" s="4400"/>
      <c r="C47" s="4400"/>
      <c r="D47" s="4400"/>
      <c r="E47" s="4400"/>
      <c r="F47" s="4400"/>
      <c r="G47" s="4418"/>
    </row>
    <row r="48" spans="1:7">
      <c r="A48" s="4400" t="s">
        <v>2089</v>
      </c>
      <c r="B48" s="4400"/>
      <c r="C48" s="4400"/>
      <c r="D48" s="4400"/>
      <c r="E48" s="4400"/>
      <c r="F48" s="4400"/>
      <c r="G48" s="4420">
        <f>SUM(G44-G46)</f>
        <v>0</v>
      </c>
    </row>
    <row r="49" spans="1:8" ht="6" customHeight="1">
      <c r="A49" s="4400"/>
      <c r="B49" s="4400"/>
      <c r="C49" s="4400"/>
      <c r="D49" s="4400"/>
      <c r="E49" s="4400"/>
      <c r="F49" s="4400"/>
      <c r="G49" s="4418"/>
    </row>
    <row r="50" spans="1:8">
      <c r="A50" s="4400" t="str">
        <f>"16. Total Estimated Transportation Aid (7-1-"&amp;OPEN!$Q$5&amp;" to 6-30-"&amp;OPEN!$S$5&amp;") (Line 15 x 80%)"</f>
        <v>16. Total Estimated Transportation Aid (7-1-2016 to 6-30-2017) (Line 15 x 80%)</v>
      </c>
      <c r="B50" s="4400"/>
      <c r="C50" s="4400"/>
      <c r="D50" s="4400"/>
      <c r="E50" s="4400"/>
      <c r="F50" s="4400"/>
      <c r="G50" s="4420">
        <f>SUM(G48*0.8)</f>
        <v>0</v>
      </c>
    </row>
    <row r="51" spans="1:8" ht="6" customHeight="1">
      <c r="A51" s="4421"/>
      <c r="B51" s="4421"/>
      <c r="C51" s="4421"/>
      <c r="D51" s="4421"/>
      <c r="E51" s="4421"/>
      <c r="F51" s="4421"/>
      <c r="G51" s="4422"/>
    </row>
    <row r="52" spans="1:8" ht="5.0999999999999996" customHeight="1">
      <c r="A52" s="4400"/>
      <c r="B52" s="4400"/>
      <c r="C52" s="4400"/>
      <c r="D52" s="4400"/>
      <c r="E52" s="4400"/>
      <c r="F52" s="4400"/>
      <c r="G52" s="4400"/>
    </row>
    <row r="53" spans="1:8">
      <c r="A53" s="4423" t="str">
        <f>"17.  Estimated Catastrophic State Aid (7-1-"&amp;OPEN!$Q$5&amp;" to 6-30-"&amp;OPEN!$S$5&amp;")"</f>
        <v>17.  Estimated Catastrophic State Aid (7-1-2016 to 6-30-2017)</v>
      </c>
      <c r="B53" s="4400"/>
      <c r="C53" s="4400"/>
      <c r="D53" s="4400"/>
      <c r="E53" s="4400"/>
      <c r="F53" s="4400"/>
      <c r="G53" s="4417"/>
      <c r="H53" s="4424"/>
    </row>
    <row r="54" spans="1:8" ht="5.25" customHeight="1">
      <c r="A54" s="4400"/>
      <c r="B54" s="4423"/>
      <c r="C54" s="4400"/>
      <c r="D54" s="4400"/>
      <c r="E54" s="4400"/>
      <c r="F54" s="4400"/>
      <c r="G54" s="4400"/>
    </row>
    <row r="55" spans="1:8" ht="15.75" customHeight="1">
      <c r="A55" s="4400" t="s">
        <v>2090</v>
      </c>
      <c r="B55" s="4423"/>
      <c r="C55" s="4400"/>
      <c r="D55" s="4400"/>
      <c r="E55" s="4400"/>
      <c r="F55" s="4400"/>
      <c r="G55" s="4417"/>
    </row>
    <row r="56" spans="1:8" ht="5.25" customHeight="1">
      <c r="A56" s="4400"/>
      <c r="B56" s="4423"/>
      <c r="C56" s="4400"/>
      <c r="D56" s="4400"/>
      <c r="E56" s="4400"/>
      <c r="F56" s="4400"/>
      <c r="G56" s="4400"/>
    </row>
    <row r="57" spans="1:8">
      <c r="A57" s="4400" t="s">
        <v>2091</v>
      </c>
      <c r="B57" s="4400"/>
      <c r="C57" s="4400"/>
      <c r="D57" s="4400"/>
      <c r="E57" s="4400"/>
      <c r="F57" s="4400"/>
      <c r="G57" s="4400"/>
    </row>
    <row r="58" spans="1:8">
      <c r="A58" s="4401" t="s">
        <v>2092</v>
      </c>
      <c r="B58" s="4400" t="str">
        <f>"(7-1-"&amp;OPEN!$Q$5&amp;" to 6-30-"&amp;OPEN!$S$5&amp;") "</f>
        <v xml:space="preserve">(7-1-2016 to 6-30-2017) </v>
      </c>
      <c r="G58" s="4425">
        <v>522152</v>
      </c>
    </row>
    <row r="59" spans="1:8" ht="6.75" customHeight="1"/>
    <row r="60" spans="1:8">
      <c r="A60" s="4400" t="str">
        <f>"20.  Total Estimated Special Education Aid (7-1-"&amp;OPEN!$Q$5&amp;" to 6-30-"&amp;OPEN!$S$5&amp;") (Line 4+16+17+18+19)"</f>
        <v>20.  Total Estimated Special Education Aid (7-1-2016 to 6-30-2017) (Line 4+16+17+18+19)</v>
      </c>
      <c r="G60" s="4420">
        <f>G17+G50+G53+G55+G58</f>
        <v>522152</v>
      </c>
      <c r="H60" s="4426"/>
    </row>
    <row r="62" spans="1:8">
      <c r="A62" s="4400"/>
    </row>
  </sheetData>
  <sheetProtection algorithmName="SHA-512" hashValue="jAOtKR4RkqZ0w7BajJcCWq/gL9hRE00GCjdqDZUR8UHlj/3fD/mGtFnHfFmHBh19KE4n+7eBAr738SkySLPxjg==" saltValue="LFF8m/NCbLIOsCRkBqyiTg==" spinCount="100000" sheet="1" objects="1" scenarios="1"/>
  <dataValidations count="2">
    <dataValidation type="whole" operator="greaterThanOrEqual" showInputMessage="1" showErrorMessage="1" errorTitle="Invalid Data Entry" error="Please enter a positive whole dollar amount or press the delete key or enter zero." sqref="G55 G53 G58 G26 G29 G31 G33 G35 G37 G40 G42 G46">
      <formula1>0</formula1>
    </dataValidation>
    <dataValidation type="decimal" operator="greaterThanOrEqual" showInputMessage="1" showErrorMessage="1" errorTitle="Invalid Data Entry" error="Please report FTE to nearest tenth (Ex: 2.5) or press the delete key or enter zero." sqref="G11 E13">
      <formula1>0</formula1>
    </dataValidation>
  </dataValidations>
  <hyperlinks>
    <hyperlink ref="I1" location="Contents!A1" display="Return to Contents page"/>
  </hyperlinks>
  <printOptions horizontalCentered="1" verticalCentered="1"/>
  <pageMargins left="0.5" right="0.5" top="0.5" bottom="0.5" header="0.5" footer="0.5"/>
  <pageSetup orientation="portrait" blackAndWhite="1" r:id="rId1"/>
  <headerFooter alignWithMargins="0">
    <oddFooter>&amp;L&amp;D  &amp;T &amp;CForm 118</oddFooter>
  </headerFooter>
  <rowBreaks count="1" manualBreakCount="1">
    <brk id="59" max="65535"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4" tint="0.39997558519241921"/>
  </sheetPr>
  <dimension ref="A1:Q324"/>
  <sheetViews>
    <sheetView zoomScaleNormal="100" workbookViewId="0">
      <selection activeCell="E64" sqref="E64"/>
    </sheetView>
  </sheetViews>
  <sheetFormatPr defaultColWidth="10.7109375" defaultRowHeight="12" customHeight="1"/>
  <cols>
    <col min="1" max="1" width="44.5703125" style="1332" customWidth="1"/>
    <col min="2" max="2" width="4.85546875" style="1423" customWidth="1"/>
    <col min="3" max="4" width="14.140625" style="1324" customWidth="1"/>
    <col min="5" max="5" width="13.85546875" style="1324" customWidth="1"/>
    <col min="6" max="6" width="2.28515625" style="1324" customWidth="1"/>
    <col min="7" max="7" width="21" style="1324" customWidth="1"/>
    <col min="8" max="8" width="10.7109375" style="1324"/>
    <col min="9" max="9" width="11.85546875" style="1324" bestFit="1" customWidth="1"/>
    <col min="10" max="16384" width="10.7109375" style="1324"/>
  </cols>
  <sheetData>
    <row r="1" spans="1:17" ht="12" customHeight="1">
      <c r="A1" s="1320"/>
      <c r="B1" s="1321"/>
      <c r="C1" s="1320"/>
      <c r="D1" s="1320"/>
      <c r="E1" s="1322" t="s">
        <v>1020</v>
      </c>
      <c r="F1" s="1320"/>
      <c r="G1" s="3013" t="s">
        <v>866</v>
      </c>
    </row>
    <row r="2" spans="1:17" ht="12" customHeight="1">
      <c r="A2" s="1322" t="s">
        <v>1019</v>
      </c>
      <c r="B2" s="1325">
        <f>OPEN!$B$4</f>
        <v>270</v>
      </c>
      <c r="C2" s="1320"/>
      <c r="D2" s="1320"/>
      <c r="E2" s="1322" t="s">
        <v>1212</v>
      </c>
      <c r="F2" s="1320"/>
      <c r="G2" s="1323"/>
    </row>
    <row r="3" spans="1:17" ht="12" customHeight="1">
      <c r="A3" s="1320"/>
      <c r="B3" s="1321"/>
      <c r="C3" s="1320"/>
      <c r="D3" s="1320"/>
      <c r="E3" s="1322" t="str">
        <f>OPEN!N2</f>
        <v>2016-2017</v>
      </c>
      <c r="F3" s="1320"/>
      <c r="G3" s="1323"/>
    </row>
    <row r="4" spans="1:17" ht="5.0999999999999996" customHeight="1">
      <c r="A4" s="1320"/>
      <c r="B4" s="1321"/>
      <c r="C4" s="1320"/>
      <c r="D4" s="1320"/>
      <c r="E4" s="1320"/>
      <c r="F4" s="1320"/>
      <c r="G4" s="1323"/>
    </row>
    <row r="5" spans="1:17" ht="11.85" customHeight="1">
      <c r="A5" s="1326"/>
      <c r="B5" s="1327"/>
      <c r="C5" s="1328" t="s">
        <v>1213</v>
      </c>
      <c r="D5" s="1328" t="s">
        <v>1213</v>
      </c>
      <c r="E5" s="1328" t="s">
        <v>1213</v>
      </c>
      <c r="F5" s="1320"/>
      <c r="G5" s="1323"/>
    </row>
    <row r="6" spans="1:17" ht="11.85" customHeight="1">
      <c r="A6" s="1329"/>
      <c r="B6" s="1330" t="s">
        <v>1045</v>
      </c>
      <c r="C6" s="1331" t="str">
        <f>OPEN!N4</f>
        <v>2014-2015</v>
      </c>
      <c r="D6" s="1331" t="str">
        <f>OPEN!O4</f>
        <v>2015-2016</v>
      </c>
      <c r="E6" s="1331" t="str">
        <f>OPEN!P4</f>
        <v>2016-2017</v>
      </c>
      <c r="F6" s="1320"/>
      <c r="G6" s="1323"/>
      <c r="K6" s="1332"/>
      <c r="L6" s="1332"/>
      <c r="M6" s="1332"/>
      <c r="N6" s="1333"/>
      <c r="O6" s="1332"/>
      <c r="P6" s="1332"/>
      <c r="Q6" s="1332"/>
    </row>
    <row r="7" spans="1:17" ht="14.25" customHeight="1">
      <c r="A7" s="1329" t="s">
        <v>733</v>
      </c>
      <c r="B7" s="1334">
        <v>34</v>
      </c>
      <c r="C7" s="1335" t="s">
        <v>1139</v>
      </c>
      <c r="D7" s="1335" t="s">
        <v>1139</v>
      </c>
      <c r="E7" s="1335" t="s">
        <v>1215</v>
      </c>
      <c r="F7" s="1320"/>
      <c r="G7" s="1323"/>
      <c r="N7" s="1332"/>
      <c r="O7" s="1336"/>
      <c r="P7" s="1336"/>
      <c r="Q7" s="1336"/>
    </row>
    <row r="8" spans="1:17" ht="11.85" customHeight="1">
      <c r="A8" s="1337"/>
      <c r="B8" s="1338" t="s">
        <v>1051</v>
      </c>
      <c r="C8" s="1339">
        <v>1</v>
      </c>
      <c r="D8" s="1339">
        <v>2</v>
      </c>
      <c r="E8" s="1339">
        <v>3</v>
      </c>
      <c r="F8" s="1320"/>
      <c r="G8" s="1323"/>
      <c r="N8" s="1332"/>
      <c r="O8" s="1336"/>
      <c r="P8" s="1336"/>
      <c r="Q8" s="1336"/>
    </row>
    <row r="9" spans="1:17" ht="12" customHeight="1">
      <c r="A9" s="2947" t="s">
        <v>1402</v>
      </c>
      <c r="B9" s="2948">
        <v>1</v>
      </c>
      <c r="C9" s="2532">
        <v>84844</v>
      </c>
      <c r="D9" s="3113">
        <f>C36</f>
        <v>114569</v>
      </c>
      <c r="E9" s="3047">
        <f>D36</f>
        <v>105814</v>
      </c>
      <c r="F9" s="1320"/>
      <c r="G9" s="1323"/>
      <c r="N9" s="1332"/>
      <c r="O9" s="1336"/>
      <c r="P9" s="1336"/>
      <c r="Q9" s="1336"/>
    </row>
    <row r="10" spans="1:17" s="1345" customFormat="1" ht="12" customHeight="1">
      <c r="A10" s="1340" t="s">
        <v>73</v>
      </c>
      <c r="B10" s="1341">
        <v>3</v>
      </c>
      <c r="C10" s="1380"/>
      <c r="D10" s="1343"/>
      <c r="E10" s="2536"/>
      <c r="F10" s="1344"/>
      <c r="G10" s="1344"/>
      <c r="N10" s="1346"/>
      <c r="O10" s="1347"/>
      <c r="P10" s="1347"/>
      <c r="Q10" s="1347"/>
    </row>
    <row r="11" spans="1:17" s="1345" customFormat="1" ht="12" customHeight="1">
      <c r="A11" s="1348" t="s">
        <v>19</v>
      </c>
      <c r="B11" s="1349"/>
      <c r="C11" s="2531"/>
      <c r="D11" s="1350"/>
      <c r="E11" s="2531"/>
      <c r="F11" s="1344"/>
      <c r="G11" s="1344"/>
      <c r="N11" s="1346"/>
      <c r="O11" s="1347"/>
      <c r="P11" s="1347"/>
      <c r="Q11" s="1347"/>
    </row>
    <row r="12" spans="1:17" s="1345" customFormat="1" ht="12" customHeight="1">
      <c r="A12" s="1351" t="s">
        <v>20</v>
      </c>
      <c r="B12" s="1349"/>
      <c r="C12" s="2531"/>
      <c r="D12" s="1350"/>
      <c r="E12" s="2531"/>
      <c r="F12" s="1344"/>
      <c r="G12" s="1344"/>
      <c r="N12" s="1346"/>
      <c r="O12" s="1347"/>
      <c r="P12" s="1347"/>
      <c r="Q12" s="1347"/>
    </row>
    <row r="13" spans="1:17" s="1345" customFormat="1" ht="12" customHeight="1">
      <c r="A13" s="1351" t="s">
        <v>735</v>
      </c>
      <c r="B13" s="1349"/>
      <c r="C13" s="2531"/>
      <c r="D13" s="1350"/>
      <c r="E13" s="2531"/>
      <c r="F13" s="1344"/>
      <c r="G13" s="1344"/>
      <c r="N13" s="1346"/>
      <c r="O13" s="1347"/>
      <c r="P13" s="1347"/>
      <c r="Q13" s="1347"/>
    </row>
    <row r="14" spans="1:17" s="1345" customFormat="1" ht="12" customHeight="1">
      <c r="A14" s="1352" t="s">
        <v>736</v>
      </c>
      <c r="B14" s="1353">
        <v>5</v>
      </c>
      <c r="C14" s="2532"/>
      <c r="D14" s="1354"/>
      <c r="E14" s="2532"/>
      <c r="F14" s="1344"/>
      <c r="G14" s="1344"/>
      <c r="N14" s="1346"/>
      <c r="O14" s="1346"/>
      <c r="P14" s="1346"/>
      <c r="Q14" s="1346"/>
    </row>
    <row r="15" spans="1:17" s="1345" customFormat="1" ht="12" customHeight="1">
      <c r="A15" s="1340" t="s">
        <v>737</v>
      </c>
      <c r="B15" s="1341">
        <v>15</v>
      </c>
      <c r="C15" s="2533"/>
      <c r="D15" s="1355"/>
      <c r="E15" s="2533"/>
      <c r="F15" s="1344"/>
      <c r="G15" s="1344"/>
      <c r="N15" s="1356"/>
      <c r="O15" s="1346"/>
      <c r="P15" s="1346"/>
      <c r="Q15" s="1346"/>
    </row>
    <row r="16" spans="1:17" s="1345" customFormat="1" ht="12" customHeight="1">
      <c r="A16" s="1340" t="s">
        <v>1099</v>
      </c>
      <c r="B16" s="1341">
        <v>25</v>
      </c>
      <c r="C16" s="2533">
        <v>60</v>
      </c>
      <c r="D16" s="1355">
        <v>150</v>
      </c>
      <c r="E16" s="2533"/>
      <c r="F16" s="1344"/>
      <c r="G16" s="1344"/>
      <c r="N16" s="1346"/>
      <c r="O16" s="1357"/>
      <c r="P16" s="1357"/>
      <c r="Q16" s="1357"/>
    </row>
    <row r="17" spans="1:17" s="1345" customFormat="1" ht="12" customHeight="1">
      <c r="A17" s="1340" t="s">
        <v>95</v>
      </c>
      <c r="B17" s="1341">
        <v>35</v>
      </c>
      <c r="C17" s="2533"/>
      <c r="D17" s="4997" t="s">
        <v>1431</v>
      </c>
      <c r="E17" s="4169" t="s">
        <v>1431</v>
      </c>
      <c r="F17" s="1344"/>
      <c r="G17" s="1344"/>
      <c r="N17" s="1346"/>
      <c r="O17" s="1357"/>
      <c r="P17" s="1357"/>
      <c r="Q17" s="1357"/>
    </row>
    <row r="18" spans="1:17" s="1345" customFormat="1" ht="12" customHeight="1">
      <c r="A18" s="1340" t="s">
        <v>738</v>
      </c>
      <c r="B18" s="1341">
        <v>45</v>
      </c>
      <c r="C18" s="2533"/>
      <c r="D18" s="1355"/>
      <c r="E18" s="2534"/>
      <c r="F18" s="1344"/>
      <c r="G18" s="1344"/>
      <c r="N18" s="1346"/>
      <c r="O18" s="1357"/>
      <c r="P18" s="1357"/>
      <c r="Q18" s="1357"/>
    </row>
    <row r="19" spans="1:17" s="1345" customFormat="1" ht="12" customHeight="1">
      <c r="A19" s="1348" t="s">
        <v>25</v>
      </c>
      <c r="B19" s="1358"/>
      <c r="C19" s="2534"/>
      <c r="D19" s="1359"/>
      <c r="E19" s="2535"/>
      <c r="F19" s="1344"/>
      <c r="G19" s="1344"/>
      <c r="N19" s="1346"/>
      <c r="O19" s="1357"/>
      <c r="P19" s="1357"/>
      <c r="Q19" s="1357"/>
    </row>
    <row r="20" spans="1:17" s="1345" customFormat="1" ht="12" customHeight="1">
      <c r="A20" s="1352" t="s">
        <v>739</v>
      </c>
      <c r="B20" s="1353">
        <v>55</v>
      </c>
      <c r="C20" s="2532"/>
      <c r="D20" s="1354"/>
      <c r="E20" s="2539"/>
      <c r="F20" s="1344"/>
      <c r="G20" s="1344"/>
      <c r="N20" s="1346"/>
      <c r="O20" s="1346"/>
      <c r="P20" s="1346"/>
      <c r="Q20" s="1346"/>
    </row>
    <row r="21" spans="1:17" s="1345" customFormat="1" ht="12" customHeight="1">
      <c r="A21" s="1340" t="s">
        <v>26</v>
      </c>
      <c r="B21" s="1341">
        <v>65</v>
      </c>
      <c r="C21" s="2533"/>
      <c r="D21" s="1355"/>
      <c r="E21" s="2533"/>
      <c r="F21" s="1344"/>
      <c r="G21" s="1344"/>
      <c r="N21" s="1346"/>
      <c r="O21" s="1357"/>
      <c r="P21" s="1357"/>
      <c r="Q21" s="1357"/>
    </row>
    <row r="22" spans="1:17" s="1345" customFormat="1" ht="12" customHeight="1">
      <c r="A22" s="1348" t="s">
        <v>27</v>
      </c>
      <c r="B22" s="1358">
        <v>75</v>
      </c>
      <c r="C22" s="2533">
        <v>6319</v>
      </c>
      <c r="D22" s="1355">
        <v>9500</v>
      </c>
      <c r="E22" s="2533"/>
      <c r="F22" s="1344"/>
      <c r="G22" s="1344"/>
    </row>
    <row r="23" spans="1:17" s="1345" customFormat="1" ht="12" customHeight="1">
      <c r="A23" s="1348" t="s">
        <v>324</v>
      </c>
      <c r="B23" s="1358"/>
      <c r="C23" s="3752"/>
      <c r="D23" s="3752"/>
      <c r="E23" s="3778"/>
      <c r="F23" s="1344"/>
      <c r="G23" s="1344"/>
    </row>
    <row r="24" spans="1:17" s="1345" customFormat="1" ht="12" customHeight="1">
      <c r="A24" s="1352" t="s">
        <v>1702</v>
      </c>
      <c r="B24" s="1353">
        <v>80</v>
      </c>
      <c r="C24" s="3950">
        <f>VLOOKUP(B2,DATA!A3:AT288,20,FALSE)</f>
        <v>0</v>
      </c>
      <c r="D24" s="3950">
        <f>VLOOKUP(B2,DATA!A3:AT288,21,FALSE)</f>
        <v>0</v>
      </c>
      <c r="E24" s="3764">
        <f>'F196'!$F$29</f>
        <v>0</v>
      </c>
      <c r="F24" s="1344"/>
      <c r="G24" s="3803"/>
    </row>
    <row r="25" spans="1:17" s="1345" customFormat="1" ht="12" customHeight="1">
      <c r="A25" s="1363" t="s">
        <v>46</v>
      </c>
      <c r="B25" s="1364"/>
      <c r="C25" s="2535"/>
      <c r="D25" s="2535"/>
      <c r="E25" s="2801"/>
      <c r="F25" s="1344"/>
      <c r="G25" s="1344"/>
    </row>
    <row r="26" spans="1:17" s="1345" customFormat="1" ht="12" customHeight="1">
      <c r="A26" s="1363" t="s">
        <v>740</v>
      </c>
      <c r="B26" s="1364"/>
      <c r="C26" s="2535"/>
      <c r="D26" s="2535"/>
      <c r="E26" s="2801"/>
      <c r="F26" s="1344"/>
      <c r="G26" s="1344"/>
    </row>
    <row r="27" spans="1:17" s="1345" customFormat="1" ht="12" customHeight="1">
      <c r="A27" s="1365" t="s">
        <v>741</v>
      </c>
      <c r="B27" s="1366">
        <v>115</v>
      </c>
      <c r="C27" s="2532"/>
      <c r="D27" s="2532"/>
      <c r="E27" s="2806"/>
      <c r="F27" s="1344"/>
      <c r="G27" s="1344"/>
    </row>
    <row r="28" spans="1:17" s="1345" customFormat="1" ht="12" customHeight="1">
      <c r="A28" s="1367" t="s">
        <v>742</v>
      </c>
      <c r="B28" s="1368">
        <v>125</v>
      </c>
      <c r="C28" s="2533"/>
      <c r="D28" s="1355"/>
      <c r="E28" s="2533"/>
      <c r="F28" s="1344"/>
      <c r="G28" s="1344"/>
    </row>
    <row r="29" spans="1:17" s="1345" customFormat="1" ht="12" customHeight="1">
      <c r="A29" s="3532" t="s">
        <v>1537</v>
      </c>
      <c r="B29" s="3593">
        <v>130</v>
      </c>
      <c r="C29" s="3530">
        <v>5376</v>
      </c>
      <c r="D29" s="3531">
        <v>2736</v>
      </c>
      <c r="E29" s="3530"/>
      <c r="F29" s="1344"/>
      <c r="G29" s="1344"/>
    </row>
    <row r="30" spans="1:17" s="1345" customFormat="1" ht="12" customHeight="1">
      <c r="A30" s="1360" t="s">
        <v>48</v>
      </c>
      <c r="B30" s="1361"/>
      <c r="C30" s="2536"/>
      <c r="D30" s="1369"/>
      <c r="E30" s="2536"/>
      <c r="F30" s="1344"/>
      <c r="G30" s="1344"/>
    </row>
    <row r="31" spans="1:17" s="1345" customFormat="1" ht="12" customHeight="1">
      <c r="A31" s="1365" t="s">
        <v>49</v>
      </c>
      <c r="B31" s="1366">
        <v>135</v>
      </c>
      <c r="C31" s="2537">
        <f>'C06'!$C$349</f>
        <v>6057</v>
      </c>
      <c r="D31" s="1370">
        <f>'C06'!$D$349</f>
        <v>125000</v>
      </c>
      <c r="E31" s="2537">
        <f>'C06'!$E$349</f>
        <v>50000</v>
      </c>
      <c r="F31" s="1344"/>
      <c r="G31" s="1344"/>
    </row>
    <row r="32" spans="1:17" s="1345" customFormat="1" ht="12" customHeight="1">
      <c r="A32" s="1367" t="s">
        <v>368</v>
      </c>
      <c r="B32" s="1368">
        <v>140</v>
      </c>
      <c r="C32" s="2538">
        <f>'C08'!$C$318</f>
        <v>290000</v>
      </c>
      <c r="D32" s="1372">
        <f>'C08'!$D$318</f>
        <v>155000</v>
      </c>
      <c r="E32" s="2538">
        <f>'C08'!$E$318</f>
        <v>200000</v>
      </c>
      <c r="F32" s="1344"/>
      <c r="G32" s="1344"/>
    </row>
    <row r="33" spans="1:12" s="1345" customFormat="1" ht="14.25" customHeight="1">
      <c r="A33" s="1367" t="s">
        <v>50</v>
      </c>
      <c r="B33" s="1368">
        <v>145</v>
      </c>
      <c r="C33" s="2537">
        <f>'C053'!$C$272</f>
        <v>0</v>
      </c>
      <c r="D33" s="1371">
        <f>'C053'!$D$272</f>
        <v>0</v>
      </c>
      <c r="E33" s="1375" t="s">
        <v>1189</v>
      </c>
      <c r="F33" s="1344"/>
      <c r="G33" s="4143"/>
    </row>
    <row r="34" spans="1:12" s="1345" customFormat="1" ht="12" customHeight="1">
      <c r="A34" s="1373" t="s">
        <v>743</v>
      </c>
      <c r="B34" s="1374">
        <v>170</v>
      </c>
      <c r="C34" s="2537">
        <f>SUM(C9:C33)</f>
        <v>392656</v>
      </c>
      <c r="D34" s="1370">
        <f>SUM(D9:D33)</f>
        <v>406955</v>
      </c>
      <c r="E34" s="2537">
        <f>SUM(E9:E33)</f>
        <v>355814</v>
      </c>
      <c r="F34" s="1344"/>
      <c r="G34" s="4147"/>
      <c r="I34" s="4145"/>
      <c r="J34" s="4146"/>
      <c r="L34" s="4146"/>
    </row>
    <row r="35" spans="1:12" s="1345" customFormat="1" ht="12" customHeight="1">
      <c r="A35" s="1367" t="s">
        <v>53</v>
      </c>
      <c r="B35" s="1368">
        <v>175</v>
      </c>
      <c r="C35" s="2538">
        <f>C187</f>
        <v>278087</v>
      </c>
      <c r="D35" s="1371">
        <f>D187</f>
        <v>301141</v>
      </c>
      <c r="E35" s="2538">
        <f>IF(E187&lt;=E34,E187,"ERROR")</f>
        <v>316500</v>
      </c>
      <c r="F35" s="1344"/>
      <c r="G35" s="2800" t="str">
        <f>IF(E35="ERROR","Expenditures must be less than or equal to Resources Available","")</f>
        <v/>
      </c>
      <c r="I35" s="4146"/>
      <c r="J35" s="4146"/>
    </row>
    <row r="36" spans="1:12" s="1345" customFormat="1" ht="14.25" customHeight="1">
      <c r="A36" s="2920" t="s">
        <v>1250</v>
      </c>
      <c r="B36" s="2946">
        <v>190</v>
      </c>
      <c r="C36" s="2538">
        <f>C34-C35</f>
        <v>114569</v>
      </c>
      <c r="D36" s="2538">
        <f>D34-D35</f>
        <v>105814</v>
      </c>
      <c r="E36" s="2839">
        <f>IF(ISERROR(E34-E35),"NEGATIVE",E34-E35)</f>
        <v>39314</v>
      </c>
      <c r="F36" s="1344"/>
      <c r="G36" s="3534"/>
      <c r="I36" s="4146"/>
      <c r="J36" s="4146"/>
    </row>
    <row r="37" spans="1:12" s="1345" customFormat="1" ht="12" customHeight="1">
      <c r="A37" s="1326"/>
      <c r="B37" s="1328"/>
      <c r="C37" s="1376"/>
      <c r="D37" s="1326"/>
      <c r="E37" s="1376"/>
      <c r="F37" s="1344"/>
      <c r="G37" s="1344"/>
      <c r="I37" s="4144"/>
    </row>
    <row r="38" spans="1:12" s="1345" customFormat="1" ht="12" customHeight="1">
      <c r="A38" s="5287"/>
      <c r="B38" s="5287"/>
      <c r="C38" s="5287"/>
      <c r="D38" s="5287"/>
      <c r="E38" s="5287"/>
      <c r="F38" s="1344"/>
      <c r="G38" s="1344"/>
    </row>
    <row r="39" spans="1:12" s="1345" customFormat="1" ht="12" customHeight="1">
      <c r="A39" s="1326"/>
      <c r="B39" s="1327"/>
      <c r="C39" s="1328" t="s">
        <v>1213</v>
      </c>
      <c r="D39" s="1328" t="s">
        <v>1213</v>
      </c>
      <c r="E39" s="1328" t="s">
        <v>1213</v>
      </c>
      <c r="F39" s="1344"/>
      <c r="G39" s="1344"/>
    </row>
    <row r="40" spans="1:12" s="1345" customFormat="1" ht="12" customHeight="1">
      <c r="A40" s="1329" t="s">
        <v>733</v>
      </c>
      <c r="B40" s="1330" t="s">
        <v>1045</v>
      </c>
      <c r="C40" s="1331" t="str">
        <f>C6</f>
        <v>2014-2015</v>
      </c>
      <c r="D40" s="1331" t="str">
        <f>D6</f>
        <v>2015-2016</v>
      </c>
      <c r="E40" s="1331" t="str">
        <f>E6</f>
        <v>2016-2017</v>
      </c>
      <c r="F40" s="1344"/>
      <c r="G40" s="1344"/>
    </row>
    <row r="41" spans="1:12" s="1345" customFormat="1" ht="12" customHeight="1">
      <c r="A41" s="1329" t="s">
        <v>81</v>
      </c>
      <c r="B41" s="1334">
        <v>34</v>
      </c>
      <c r="C41" s="1335" t="s">
        <v>1139</v>
      </c>
      <c r="D41" s="1335" t="s">
        <v>1139</v>
      </c>
      <c r="E41" s="1335" t="s">
        <v>1215</v>
      </c>
      <c r="F41" s="1344"/>
      <c r="G41" s="1344"/>
    </row>
    <row r="42" spans="1:12" s="1345" customFormat="1" ht="12" customHeight="1">
      <c r="A42" s="1337"/>
      <c r="B42" s="1338" t="s">
        <v>1051</v>
      </c>
      <c r="C42" s="1339">
        <v>1</v>
      </c>
      <c r="D42" s="1339">
        <v>2</v>
      </c>
      <c r="E42" s="1339">
        <v>3</v>
      </c>
      <c r="F42" s="1344"/>
      <c r="G42" s="1344"/>
    </row>
    <row r="43" spans="1:12" s="1345" customFormat="1" ht="12" customHeight="1">
      <c r="A43" s="1360" t="s">
        <v>1267</v>
      </c>
      <c r="B43" s="1361"/>
      <c r="C43" s="1377"/>
      <c r="D43" s="1381"/>
      <c r="E43" s="1377"/>
      <c r="F43" s="1344"/>
      <c r="G43" s="1344"/>
    </row>
    <row r="44" spans="1:12" s="1345" customFormat="1" ht="12" customHeight="1">
      <c r="A44" s="1363" t="s">
        <v>1268</v>
      </c>
      <c r="B44" s="1364"/>
      <c r="C44" s="1378"/>
      <c r="D44" s="1382"/>
      <c r="E44" s="1378"/>
      <c r="F44" s="1344"/>
      <c r="G44" s="1344"/>
    </row>
    <row r="45" spans="1:12" s="1345" customFormat="1" ht="12" customHeight="1">
      <c r="A45" s="1365" t="s">
        <v>1269</v>
      </c>
      <c r="B45" s="1366">
        <v>210</v>
      </c>
      <c r="C45" s="1379">
        <v>209271</v>
      </c>
      <c r="D45" s="1343">
        <v>228626</v>
      </c>
      <c r="E45" s="1379">
        <v>230000</v>
      </c>
      <c r="F45" s="1344"/>
      <c r="G45" s="1344"/>
    </row>
    <row r="46" spans="1:12" s="1345" customFormat="1" ht="12" customHeight="1">
      <c r="A46" s="1367" t="s">
        <v>360</v>
      </c>
      <c r="B46" s="1368">
        <v>215</v>
      </c>
      <c r="C46" s="1380"/>
      <c r="D46" s="1342"/>
      <c r="E46" s="1380"/>
      <c r="F46" s="1344"/>
      <c r="G46" s="1344"/>
    </row>
    <row r="47" spans="1:12" s="1345" customFormat="1" ht="12" customHeight="1">
      <c r="A47" s="1360" t="s">
        <v>1271</v>
      </c>
      <c r="B47" s="1361"/>
      <c r="C47" s="1377"/>
      <c r="D47" s="1381"/>
      <c r="E47" s="1377"/>
      <c r="F47" s="1344"/>
      <c r="G47" s="1344"/>
    </row>
    <row r="48" spans="1:12" s="1345" customFormat="1" ht="12" customHeight="1">
      <c r="A48" s="1365" t="s">
        <v>1272</v>
      </c>
      <c r="B48" s="1366">
        <v>220</v>
      </c>
      <c r="C48" s="1379">
        <v>23798</v>
      </c>
      <c r="D48" s="1343">
        <v>20208</v>
      </c>
      <c r="E48" s="1379">
        <v>25000</v>
      </c>
      <c r="F48" s="1344"/>
      <c r="G48" s="1344"/>
    </row>
    <row r="49" spans="1:7" s="1345" customFormat="1" ht="12" customHeight="1">
      <c r="A49" s="1367" t="s">
        <v>1273</v>
      </c>
      <c r="B49" s="1368">
        <v>225</v>
      </c>
      <c r="C49" s="1380">
        <v>14911</v>
      </c>
      <c r="D49" s="1342">
        <v>16352</v>
      </c>
      <c r="E49" s="1380">
        <v>17000</v>
      </c>
      <c r="F49" s="1344"/>
      <c r="G49" s="1344"/>
    </row>
    <row r="50" spans="1:7" s="1345" customFormat="1" ht="12" customHeight="1">
      <c r="A50" s="1367" t="s">
        <v>1276</v>
      </c>
      <c r="B50" s="1368">
        <v>230</v>
      </c>
      <c r="C50" s="1380">
        <v>2347</v>
      </c>
      <c r="D50" s="1342">
        <v>1908</v>
      </c>
      <c r="E50" s="1380">
        <v>2000</v>
      </c>
      <c r="F50" s="1344"/>
      <c r="G50" s="1344"/>
    </row>
    <row r="51" spans="1:7" s="1345" customFormat="1" ht="12" customHeight="1">
      <c r="A51" s="1367" t="s">
        <v>1</v>
      </c>
      <c r="B51" s="1368">
        <v>235</v>
      </c>
      <c r="C51" s="1380"/>
      <c r="D51" s="1342">
        <v>2300</v>
      </c>
      <c r="E51" s="1380">
        <v>2500</v>
      </c>
      <c r="F51" s="1344"/>
      <c r="G51" s="1344"/>
    </row>
    <row r="52" spans="1:7" s="1345" customFormat="1" ht="12" customHeight="1">
      <c r="A52" s="2918" t="s">
        <v>711</v>
      </c>
      <c r="B52" s="2919">
        <v>237</v>
      </c>
      <c r="C52" s="2545"/>
      <c r="D52" s="1419"/>
      <c r="E52" s="2545"/>
      <c r="F52" s="1344"/>
      <c r="G52" s="1344"/>
    </row>
    <row r="53" spans="1:7" s="1345" customFormat="1" ht="12" customHeight="1">
      <c r="A53" s="1360" t="s">
        <v>1282</v>
      </c>
      <c r="B53" s="1361"/>
      <c r="C53" s="1377"/>
      <c r="D53" s="1381"/>
      <c r="E53" s="1377"/>
      <c r="F53" s="1344"/>
      <c r="G53" s="1344"/>
    </row>
    <row r="54" spans="1:7" s="1345" customFormat="1" ht="12" customHeight="1">
      <c r="A54" s="1363" t="s">
        <v>1283</v>
      </c>
      <c r="B54" s="1364"/>
      <c r="C54" s="1378"/>
      <c r="D54" s="1382"/>
      <c r="E54" s="1378"/>
      <c r="F54" s="1344"/>
      <c r="G54" s="1344"/>
    </row>
    <row r="55" spans="1:7" s="1345" customFormat="1" ht="12" customHeight="1">
      <c r="A55" s="1365" t="s">
        <v>1284</v>
      </c>
      <c r="B55" s="1366">
        <v>240</v>
      </c>
      <c r="C55" s="1379"/>
      <c r="D55" s="1343">
        <v>945</v>
      </c>
      <c r="E55" s="1379"/>
      <c r="F55" s="1344"/>
      <c r="G55" s="1344"/>
    </row>
    <row r="56" spans="1:7" s="1345" customFormat="1" ht="12" customHeight="1">
      <c r="A56" s="1367" t="s">
        <v>744</v>
      </c>
      <c r="B56" s="1368">
        <v>245</v>
      </c>
      <c r="C56" s="1380"/>
      <c r="D56" s="1342"/>
      <c r="E56" s="1380"/>
      <c r="F56" s="1344"/>
      <c r="G56" s="1344"/>
    </row>
    <row r="57" spans="1:7" s="1345" customFormat="1" ht="12" customHeight="1">
      <c r="A57" s="1367" t="s">
        <v>1287</v>
      </c>
      <c r="B57" s="1368">
        <v>250</v>
      </c>
      <c r="C57" s="1380">
        <v>4782</v>
      </c>
      <c r="D57" s="1342">
        <v>7082</v>
      </c>
      <c r="E57" s="1380">
        <v>5000</v>
      </c>
      <c r="F57" s="1344"/>
      <c r="G57" s="1344"/>
    </row>
    <row r="58" spans="1:7" s="1345" customFormat="1" ht="12" customHeight="1">
      <c r="A58" s="1360" t="s">
        <v>1288</v>
      </c>
      <c r="B58" s="1361"/>
      <c r="C58" s="1377"/>
      <c r="D58" s="1381"/>
      <c r="E58" s="1377"/>
      <c r="F58" s="1344"/>
      <c r="G58" s="1344"/>
    </row>
    <row r="59" spans="1:7" s="1345" customFormat="1" ht="12" customHeight="1">
      <c r="A59" s="1365" t="s">
        <v>1289</v>
      </c>
      <c r="B59" s="1366">
        <v>255</v>
      </c>
      <c r="C59" s="1379">
        <v>14777</v>
      </c>
      <c r="D59" s="1343">
        <v>19885</v>
      </c>
      <c r="E59" s="1379">
        <v>20000</v>
      </c>
      <c r="F59" s="1344"/>
      <c r="G59" s="1344"/>
    </row>
    <row r="60" spans="1:7" s="1345" customFormat="1" ht="12" customHeight="1">
      <c r="A60" s="1367" t="s">
        <v>1290</v>
      </c>
      <c r="B60" s="1368">
        <v>260</v>
      </c>
      <c r="C60" s="1380">
        <v>1670</v>
      </c>
      <c r="D60" s="1342">
        <v>630</v>
      </c>
      <c r="E60" s="1380">
        <v>5000</v>
      </c>
      <c r="F60" s="1344"/>
      <c r="G60" s="1344"/>
    </row>
    <row r="61" spans="1:7" s="1345" customFormat="1" ht="12" customHeight="1">
      <c r="A61" s="2920" t="s">
        <v>1256</v>
      </c>
      <c r="B61" s="2921">
        <v>263</v>
      </c>
      <c r="C61" s="1380"/>
      <c r="D61" s="1342"/>
      <c r="E61" s="1380"/>
      <c r="F61" s="1344"/>
      <c r="G61" s="1344"/>
    </row>
    <row r="62" spans="1:7" s="1345" customFormat="1" ht="12" customHeight="1">
      <c r="A62" s="1367" t="s">
        <v>1291</v>
      </c>
      <c r="B62" s="1368">
        <v>265</v>
      </c>
      <c r="C62" s="1380">
        <v>5</v>
      </c>
      <c r="D62" s="1342"/>
      <c r="E62" s="1380"/>
      <c r="F62" s="1344"/>
      <c r="G62" s="1344"/>
    </row>
    <row r="63" spans="1:7" s="1345" customFormat="1" ht="12" customHeight="1">
      <c r="A63" s="1367" t="s">
        <v>1292</v>
      </c>
      <c r="B63" s="1368">
        <v>270</v>
      </c>
      <c r="C63" s="1380">
        <v>6462</v>
      </c>
      <c r="D63" s="1342">
        <v>3205</v>
      </c>
      <c r="E63" s="1380">
        <v>10000</v>
      </c>
      <c r="F63" s="1344"/>
      <c r="G63" s="1344"/>
    </row>
    <row r="64" spans="1:7" s="1345" customFormat="1" ht="12" customHeight="1">
      <c r="A64" s="1367" t="s">
        <v>1293</v>
      </c>
      <c r="B64" s="1368">
        <v>275</v>
      </c>
      <c r="C64" s="1380"/>
      <c r="D64" s="1342"/>
      <c r="E64" s="1380"/>
      <c r="F64" s="1344"/>
      <c r="G64" s="1344"/>
    </row>
    <row r="65" spans="1:7" s="1346" customFormat="1" ht="12" customHeight="1">
      <c r="A65" s="3090"/>
      <c r="B65" s="3091"/>
      <c r="C65" s="3065"/>
      <c r="D65" s="3065"/>
      <c r="E65" s="3065"/>
      <c r="F65" s="1326"/>
      <c r="G65" s="1326"/>
    </row>
    <row r="66" spans="1:7" s="1346" customFormat="1" ht="12" customHeight="1">
      <c r="A66" s="3090"/>
      <c r="B66" s="3091"/>
      <c r="C66" s="3065"/>
      <c r="D66" s="3065"/>
      <c r="E66" s="3065"/>
      <c r="F66" s="1326"/>
      <c r="G66" s="1326"/>
    </row>
    <row r="67" spans="1:7" ht="12" customHeight="1">
      <c r="A67" s="1322" t="s">
        <v>1019</v>
      </c>
      <c r="B67" s="1325">
        <f>B2</f>
        <v>270</v>
      </c>
      <c r="C67" s="1320"/>
      <c r="D67" s="1320"/>
      <c r="E67" s="1322" t="s">
        <v>1020</v>
      </c>
      <c r="F67" s="1323"/>
      <c r="G67" s="1385"/>
    </row>
    <row r="68" spans="1:7" ht="12" customHeight="1">
      <c r="A68" s="1320"/>
      <c r="B68" s="1384"/>
      <c r="C68" s="1320"/>
      <c r="D68" s="1320"/>
      <c r="E68" s="1322" t="s">
        <v>1212</v>
      </c>
      <c r="F68" s="1323"/>
      <c r="G68" s="1385"/>
    </row>
    <row r="69" spans="1:7" ht="12" customHeight="1">
      <c r="A69" s="1320"/>
      <c r="B69" s="1384"/>
      <c r="C69" s="1320"/>
      <c r="D69" s="1320"/>
      <c r="E69" s="1322" t="str">
        <f>E3</f>
        <v>2016-2017</v>
      </c>
      <c r="F69" s="1323"/>
      <c r="G69" s="1385"/>
    </row>
    <row r="70" spans="1:7" ht="12" customHeight="1">
      <c r="A70" s="1320"/>
      <c r="B70" s="1384"/>
      <c r="C70" s="1320"/>
      <c r="D70" s="1320"/>
      <c r="E70" s="1320"/>
      <c r="F70" s="1323"/>
      <c r="G70" s="1323"/>
    </row>
    <row r="71" spans="1:7" ht="12" customHeight="1">
      <c r="A71" s="1320"/>
      <c r="B71" s="1321"/>
      <c r="C71" s="1384" t="s">
        <v>1213</v>
      </c>
      <c r="D71" s="1384" t="s">
        <v>1213</v>
      </c>
      <c r="E71" s="1384" t="s">
        <v>1213</v>
      </c>
      <c r="F71" s="1323"/>
      <c r="G71" s="1323"/>
    </row>
    <row r="72" spans="1:7" ht="12" customHeight="1">
      <c r="A72" s="1388" t="s">
        <v>733</v>
      </c>
      <c r="B72" s="1389" t="s">
        <v>1045</v>
      </c>
      <c r="C72" s="1390" t="str">
        <f>C6</f>
        <v>2014-2015</v>
      </c>
      <c r="D72" s="1390" t="str">
        <f>D6</f>
        <v>2015-2016</v>
      </c>
      <c r="E72" s="1390" t="str">
        <f>E6</f>
        <v>2016-2017</v>
      </c>
      <c r="F72" s="1323"/>
      <c r="G72" s="1323"/>
    </row>
    <row r="73" spans="1:7" ht="12" customHeight="1">
      <c r="A73" s="1388" t="s">
        <v>81</v>
      </c>
      <c r="B73" s="1391">
        <v>34</v>
      </c>
      <c r="C73" s="1392" t="s">
        <v>1139</v>
      </c>
      <c r="D73" s="1392" t="s">
        <v>1139</v>
      </c>
      <c r="E73" s="1392" t="s">
        <v>1215</v>
      </c>
      <c r="F73" s="1323"/>
      <c r="G73" s="1323"/>
    </row>
    <row r="74" spans="1:7" ht="12" customHeight="1">
      <c r="A74" s="1393"/>
      <c r="B74" s="1394" t="s">
        <v>1051</v>
      </c>
      <c r="C74" s="1395">
        <v>1</v>
      </c>
      <c r="D74" s="1395">
        <v>2</v>
      </c>
      <c r="E74" s="1395">
        <v>3</v>
      </c>
      <c r="F74" s="1323"/>
      <c r="G74" s="1323"/>
    </row>
    <row r="75" spans="1:7" s="1345" customFormat="1" ht="12" customHeight="1">
      <c r="A75" s="1351" t="s">
        <v>89</v>
      </c>
      <c r="B75" s="1349"/>
      <c r="C75" s="1378"/>
      <c r="D75" s="1382"/>
      <c r="E75" s="1378"/>
      <c r="F75" s="1344"/>
      <c r="G75" s="1383"/>
    </row>
    <row r="76" spans="1:7" s="1345" customFormat="1" ht="12" customHeight="1">
      <c r="A76" s="1363" t="s">
        <v>1309</v>
      </c>
      <c r="B76" s="1364"/>
      <c r="C76" s="1378"/>
      <c r="D76" s="1382"/>
      <c r="E76" s="1378"/>
      <c r="F76" s="1344"/>
      <c r="G76" s="1383"/>
    </row>
    <row r="77" spans="1:7" s="1345" customFormat="1" ht="12" customHeight="1">
      <c r="A77" s="1365" t="s">
        <v>1347</v>
      </c>
      <c r="B77" s="1366">
        <v>280</v>
      </c>
      <c r="C77" s="1379"/>
      <c r="D77" s="1343"/>
      <c r="E77" s="1379"/>
      <c r="F77" s="1344"/>
      <c r="G77" s="1383"/>
    </row>
    <row r="78" spans="1:7" s="1345" customFormat="1" ht="12" customHeight="1">
      <c r="A78" s="1367" t="s">
        <v>1270</v>
      </c>
      <c r="B78" s="1368">
        <v>285</v>
      </c>
      <c r="C78" s="1380"/>
      <c r="D78" s="1342"/>
      <c r="E78" s="1380"/>
      <c r="F78" s="1344"/>
      <c r="G78" s="1383"/>
    </row>
    <row r="79" spans="1:7" ht="12" customHeight="1">
      <c r="A79" s="1396" t="s">
        <v>1310</v>
      </c>
      <c r="B79" s="1397"/>
      <c r="C79" s="2540"/>
      <c r="D79" s="1398"/>
      <c r="E79" s="2540"/>
      <c r="F79" s="1323"/>
      <c r="G79" s="1323"/>
    </row>
    <row r="80" spans="1:7" ht="12" customHeight="1">
      <c r="A80" s="1399" t="s">
        <v>1311</v>
      </c>
      <c r="B80" s="1400">
        <v>290</v>
      </c>
      <c r="C80" s="2541"/>
      <c r="D80" s="1401"/>
      <c r="E80" s="2541"/>
      <c r="F80" s="1323"/>
      <c r="G80" s="1323"/>
    </row>
    <row r="81" spans="1:7" ht="12" customHeight="1">
      <c r="A81" s="1402" t="s">
        <v>1314</v>
      </c>
      <c r="B81" s="1403">
        <v>295</v>
      </c>
      <c r="C81" s="1409"/>
      <c r="D81" s="1404"/>
      <c r="E81" s="1409"/>
      <c r="F81" s="1323"/>
      <c r="G81" s="1323"/>
    </row>
    <row r="82" spans="1:7" ht="12" customHeight="1">
      <c r="A82" s="1402" t="s">
        <v>1315</v>
      </c>
      <c r="B82" s="1403">
        <v>300</v>
      </c>
      <c r="C82" s="1409"/>
      <c r="D82" s="1404"/>
      <c r="E82" s="1409"/>
      <c r="F82" s="1323"/>
      <c r="G82" s="1323"/>
    </row>
    <row r="83" spans="1:7" ht="12" customHeight="1">
      <c r="A83" s="1396" t="s">
        <v>1</v>
      </c>
      <c r="B83" s="1397">
        <v>305</v>
      </c>
      <c r="C83" s="2542"/>
      <c r="D83" s="1405"/>
      <c r="E83" s="2542"/>
      <c r="F83" s="1323"/>
      <c r="G83" s="1323"/>
    </row>
    <row r="84" spans="1:7" ht="12" customHeight="1">
      <c r="A84" s="2922" t="s">
        <v>1318</v>
      </c>
      <c r="B84" s="2923">
        <v>307</v>
      </c>
      <c r="C84" s="2542"/>
      <c r="D84" s="1405"/>
      <c r="E84" s="2542"/>
      <c r="F84" s="1323"/>
      <c r="G84" s="1323"/>
    </row>
    <row r="85" spans="1:7" ht="12" customHeight="1">
      <c r="A85" s="1402" t="s">
        <v>1327</v>
      </c>
      <c r="B85" s="1403">
        <v>310</v>
      </c>
      <c r="C85" s="1409"/>
      <c r="D85" s="1404"/>
      <c r="E85" s="1409"/>
      <c r="F85" s="1323"/>
      <c r="G85" s="1323"/>
    </row>
    <row r="86" spans="1:7" ht="12" customHeight="1">
      <c r="A86" s="1402" t="s">
        <v>1337</v>
      </c>
      <c r="B86" s="1403">
        <v>315</v>
      </c>
      <c r="C86" s="1409">
        <v>64</v>
      </c>
      <c r="D86" s="1404"/>
      <c r="E86" s="1409"/>
      <c r="F86" s="1323"/>
      <c r="G86" s="1323"/>
    </row>
    <row r="87" spans="1:7" ht="12" customHeight="1">
      <c r="A87" s="1402" t="s">
        <v>1345</v>
      </c>
      <c r="B87" s="1403">
        <v>320</v>
      </c>
      <c r="C87" s="1409"/>
      <c r="D87" s="1404"/>
      <c r="E87" s="1409"/>
      <c r="F87" s="1323"/>
      <c r="G87" s="1323"/>
    </row>
    <row r="88" spans="1:7" ht="12" customHeight="1">
      <c r="A88" s="1402" t="s">
        <v>1346</v>
      </c>
      <c r="B88" s="1403">
        <v>325</v>
      </c>
      <c r="C88" s="1409"/>
      <c r="D88" s="1404"/>
      <c r="E88" s="1409"/>
      <c r="F88" s="1323"/>
      <c r="G88" s="1323"/>
    </row>
    <row r="89" spans="1:7" ht="12" customHeight="1">
      <c r="A89" s="1396" t="s">
        <v>307</v>
      </c>
      <c r="B89" s="1397"/>
      <c r="C89" s="2540"/>
      <c r="D89" s="1398"/>
      <c r="E89" s="2540"/>
      <c r="F89" s="1323"/>
      <c r="G89" s="1323"/>
    </row>
    <row r="90" spans="1:7" ht="12" customHeight="1">
      <c r="A90" s="1406" t="s">
        <v>1309</v>
      </c>
      <c r="B90" s="1407"/>
      <c r="C90" s="2543"/>
      <c r="D90" s="1408"/>
      <c r="E90" s="2543"/>
      <c r="F90" s="1323"/>
      <c r="G90" s="1323"/>
    </row>
    <row r="91" spans="1:7" ht="12" customHeight="1">
      <c r="A91" s="1399" t="s">
        <v>1347</v>
      </c>
      <c r="B91" s="1400">
        <v>330</v>
      </c>
      <c r="C91" s="2541"/>
      <c r="D91" s="1401"/>
      <c r="E91" s="2541"/>
      <c r="F91" s="1323"/>
      <c r="G91" s="1323"/>
    </row>
    <row r="92" spans="1:7" ht="12" customHeight="1">
      <c r="A92" s="1402" t="s">
        <v>1270</v>
      </c>
      <c r="B92" s="1403">
        <v>335</v>
      </c>
      <c r="C92" s="1409"/>
      <c r="D92" s="1404"/>
      <c r="E92" s="1409"/>
      <c r="F92" s="1323"/>
      <c r="G92" s="1323"/>
    </row>
    <row r="93" spans="1:7" ht="12" customHeight="1">
      <c r="A93" s="1396" t="s">
        <v>1310</v>
      </c>
      <c r="B93" s="1397"/>
      <c r="C93" s="2540"/>
      <c r="D93" s="1398"/>
      <c r="E93" s="2540"/>
      <c r="F93" s="1323"/>
      <c r="G93" s="1323"/>
    </row>
    <row r="94" spans="1:7" ht="12" customHeight="1">
      <c r="A94" s="1399" t="s">
        <v>1311</v>
      </c>
      <c r="B94" s="1400">
        <v>340</v>
      </c>
      <c r="C94" s="2541"/>
      <c r="D94" s="1401"/>
      <c r="E94" s="2541"/>
      <c r="F94" s="1323"/>
      <c r="G94" s="1323"/>
    </row>
    <row r="95" spans="1:7" ht="12" customHeight="1">
      <c r="A95" s="1402" t="s">
        <v>1314</v>
      </c>
      <c r="B95" s="1403">
        <v>345</v>
      </c>
      <c r="C95" s="1409"/>
      <c r="D95" s="1404"/>
      <c r="E95" s="1409"/>
      <c r="F95" s="1323"/>
      <c r="G95" s="1323"/>
    </row>
    <row r="96" spans="1:7" ht="12" customHeight="1">
      <c r="A96" s="1402" t="s">
        <v>1315</v>
      </c>
      <c r="B96" s="1403">
        <v>350</v>
      </c>
      <c r="C96" s="1409"/>
      <c r="D96" s="1404"/>
      <c r="E96" s="1409"/>
      <c r="F96" s="1323"/>
      <c r="G96" s="1323"/>
    </row>
    <row r="97" spans="1:7" ht="12" customHeight="1">
      <c r="A97" s="1396" t="s">
        <v>1</v>
      </c>
      <c r="B97" s="1397">
        <v>355</v>
      </c>
      <c r="C97" s="2542"/>
      <c r="D97" s="1405"/>
      <c r="E97" s="2542"/>
      <c r="F97" s="1323"/>
      <c r="G97" s="1323"/>
    </row>
    <row r="98" spans="1:7" ht="12" customHeight="1">
      <c r="A98" s="2922" t="s">
        <v>1318</v>
      </c>
      <c r="B98" s="2923">
        <v>357</v>
      </c>
      <c r="C98" s="2542"/>
      <c r="D98" s="1405"/>
      <c r="E98" s="2542"/>
      <c r="F98" s="1323"/>
      <c r="G98" s="1323"/>
    </row>
    <row r="99" spans="1:7" ht="12" customHeight="1">
      <c r="A99" s="1402" t="s">
        <v>1327</v>
      </c>
      <c r="B99" s="1403">
        <v>360</v>
      </c>
      <c r="C99" s="1409"/>
      <c r="D99" s="1404"/>
      <c r="E99" s="1409"/>
      <c r="F99" s="1323"/>
      <c r="G99" s="1323"/>
    </row>
    <row r="100" spans="1:7" ht="12" customHeight="1">
      <c r="A100" s="1396" t="s">
        <v>1337</v>
      </c>
      <c r="B100" s="1397"/>
      <c r="C100" s="2540"/>
      <c r="D100" s="1398"/>
      <c r="E100" s="2540"/>
      <c r="F100" s="1323"/>
      <c r="G100" s="1323"/>
    </row>
    <row r="101" spans="1:7" ht="12" customHeight="1">
      <c r="A101" s="1406" t="s">
        <v>745</v>
      </c>
      <c r="B101" s="1407">
        <v>365</v>
      </c>
      <c r="C101" s="2544"/>
      <c r="D101" s="1410"/>
      <c r="E101" s="2544"/>
      <c r="F101" s="1323"/>
      <c r="G101" s="1323"/>
    </row>
    <row r="102" spans="1:7" ht="12" customHeight="1">
      <c r="A102" s="1396" t="s">
        <v>795</v>
      </c>
      <c r="B102" s="1397">
        <v>370</v>
      </c>
      <c r="C102" s="2542"/>
      <c r="D102" s="1405"/>
      <c r="E102" s="2542"/>
      <c r="F102" s="1323"/>
      <c r="G102" s="1323"/>
    </row>
    <row r="103" spans="1:7" ht="12" customHeight="1">
      <c r="A103" s="1402" t="s">
        <v>1344</v>
      </c>
      <c r="B103" s="1403">
        <v>375</v>
      </c>
      <c r="C103" s="1409"/>
      <c r="D103" s="1404"/>
      <c r="E103" s="1409"/>
      <c r="F103" s="1323"/>
      <c r="G103" s="1323"/>
    </row>
    <row r="104" spans="1:7" ht="12" customHeight="1">
      <c r="A104" s="1402" t="s">
        <v>1345</v>
      </c>
      <c r="B104" s="1403">
        <v>380</v>
      </c>
      <c r="C104" s="1409"/>
      <c r="D104" s="1404"/>
      <c r="E104" s="1409"/>
      <c r="F104" s="1323"/>
      <c r="G104" s="1323"/>
    </row>
    <row r="105" spans="1:7" ht="12" customHeight="1">
      <c r="A105" s="1402" t="s">
        <v>1346</v>
      </c>
      <c r="B105" s="1403">
        <v>385</v>
      </c>
      <c r="C105" s="1409"/>
      <c r="D105" s="3089"/>
      <c r="E105" s="1409"/>
      <c r="F105" s="1323"/>
      <c r="G105" s="1323"/>
    </row>
    <row r="106" spans="1:7" ht="12" customHeight="1">
      <c r="A106" s="1411" t="s">
        <v>102</v>
      </c>
      <c r="B106" s="1412"/>
      <c r="C106" s="2819"/>
      <c r="D106" s="2543"/>
      <c r="E106" s="2824"/>
      <c r="F106" s="1323"/>
      <c r="G106" s="1323"/>
    </row>
    <row r="107" spans="1:7" ht="12" customHeight="1">
      <c r="A107" s="1413" t="s">
        <v>1309</v>
      </c>
      <c r="B107" s="1414"/>
      <c r="C107" s="2819"/>
      <c r="D107" s="2543"/>
      <c r="E107" s="2824"/>
      <c r="F107" s="1323"/>
      <c r="G107" s="1323"/>
    </row>
    <row r="108" spans="1:7" ht="12" customHeight="1">
      <c r="A108" s="1415" t="s">
        <v>1347</v>
      </c>
      <c r="B108" s="1416">
        <v>445</v>
      </c>
      <c r="C108" s="3058"/>
      <c r="D108" s="2541"/>
      <c r="E108" s="2821"/>
      <c r="F108" s="1323"/>
      <c r="G108" s="1323"/>
    </row>
    <row r="109" spans="1:7" ht="12" customHeight="1">
      <c r="A109" s="1417" t="s">
        <v>1270</v>
      </c>
      <c r="B109" s="1418">
        <v>450</v>
      </c>
      <c r="C109" s="1409"/>
      <c r="D109" s="1401"/>
      <c r="E109" s="2541"/>
      <c r="F109" s="1323"/>
      <c r="G109" s="1323"/>
    </row>
    <row r="110" spans="1:7" ht="12" customHeight="1">
      <c r="A110" s="1348" t="s">
        <v>1310</v>
      </c>
      <c r="B110" s="1358"/>
      <c r="C110" s="1377"/>
      <c r="D110" s="1381"/>
      <c r="E110" s="1377"/>
      <c r="F110" s="1387"/>
      <c r="G110" s="1323"/>
    </row>
    <row r="111" spans="1:7" ht="12" customHeight="1">
      <c r="A111" s="1352" t="s">
        <v>1311</v>
      </c>
      <c r="B111" s="1353">
        <v>455</v>
      </c>
      <c r="C111" s="1379"/>
      <c r="D111" s="1343"/>
      <c r="E111" s="1379"/>
      <c r="F111" s="1387"/>
      <c r="G111" s="1323"/>
    </row>
    <row r="112" spans="1:7" ht="12" customHeight="1">
      <c r="A112" s="1352" t="s">
        <v>1314</v>
      </c>
      <c r="B112" s="1353">
        <v>460</v>
      </c>
      <c r="C112" s="1379"/>
      <c r="D112" s="1343"/>
      <c r="E112" s="1379"/>
      <c r="F112" s="1387"/>
      <c r="G112" s="1323"/>
    </row>
    <row r="113" spans="1:7" ht="12" customHeight="1">
      <c r="A113" s="1340" t="s">
        <v>1315</v>
      </c>
      <c r="B113" s="1341">
        <v>465</v>
      </c>
      <c r="C113" s="1380"/>
      <c r="D113" s="1342"/>
      <c r="E113" s="1380"/>
      <c r="F113" s="1387"/>
      <c r="G113" s="1323"/>
    </row>
    <row r="114" spans="1:7" ht="12" customHeight="1">
      <c r="A114" s="1348" t="s">
        <v>1</v>
      </c>
      <c r="B114" s="1358">
        <v>470</v>
      </c>
      <c r="C114" s="2545"/>
      <c r="D114" s="1419"/>
      <c r="E114" s="2545"/>
      <c r="F114" s="1387"/>
      <c r="G114" s="1323"/>
    </row>
    <row r="115" spans="1:7" ht="12.75" customHeight="1">
      <c r="A115" s="1340" t="s">
        <v>1327</v>
      </c>
      <c r="B115" s="1341">
        <v>475</v>
      </c>
      <c r="C115" s="1380"/>
      <c r="D115" s="1342"/>
      <c r="E115" s="1380"/>
      <c r="F115" s="1387"/>
      <c r="G115" s="1323"/>
    </row>
    <row r="116" spans="1:7" ht="12" customHeight="1">
      <c r="A116" s="1340" t="s">
        <v>1337</v>
      </c>
      <c r="B116" s="1341">
        <v>480</v>
      </c>
      <c r="C116" s="1380"/>
      <c r="D116" s="1342"/>
      <c r="E116" s="1380"/>
      <c r="F116" s="1323"/>
      <c r="G116" s="1323"/>
    </row>
    <row r="117" spans="1:7" ht="12" customHeight="1">
      <c r="A117" s="1340" t="s">
        <v>1345</v>
      </c>
      <c r="B117" s="1341">
        <v>485</v>
      </c>
      <c r="C117" s="1380"/>
      <c r="D117" s="1342"/>
      <c r="E117" s="1380"/>
      <c r="F117" s="1323"/>
      <c r="G117" s="1323"/>
    </row>
    <row r="118" spans="1:7" ht="12" customHeight="1">
      <c r="A118" s="1340" t="s">
        <v>1346</v>
      </c>
      <c r="B118" s="1341">
        <v>490</v>
      </c>
      <c r="C118" s="1380"/>
      <c r="D118" s="1342"/>
      <c r="E118" s="1380"/>
      <c r="F118" s="1323"/>
      <c r="G118" s="1323"/>
    </row>
    <row r="119" spans="1:7" ht="12" customHeight="1">
      <c r="A119" s="1151" t="s">
        <v>1745</v>
      </c>
      <c r="B119" s="1152"/>
      <c r="C119" s="1142"/>
      <c r="D119" s="1153"/>
      <c r="E119" s="1142"/>
      <c r="F119" s="1323"/>
      <c r="G119" s="1323"/>
    </row>
    <row r="120" spans="1:7" ht="12" customHeight="1">
      <c r="A120" s="1146" t="s">
        <v>1268</v>
      </c>
      <c r="B120" s="1147"/>
      <c r="C120" s="1145"/>
      <c r="D120" s="1163"/>
      <c r="E120" s="1145"/>
      <c r="F120" s="1323"/>
      <c r="G120" s="1323"/>
    </row>
    <row r="121" spans="1:7" ht="12" customHeight="1">
      <c r="A121" s="1148" t="s">
        <v>1269</v>
      </c>
      <c r="B121" s="3994">
        <v>590</v>
      </c>
      <c r="C121" s="1150"/>
      <c r="D121" s="1154"/>
      <c r="E121" s="1150"/>
      <c r="F121" s="1323"/>
      <c r="G121" s="1323"/>
    </row>
    <row r="122" spans="1:7" ht="12" customHeight="1">
      <c r="A122" s="1148" t="s">
        <v>375</v>
      </c>
      <c r="B122" s="3994">
        <v>595</v>
      </c>
      <c r="C122" s="1150"/>
      <c r="D122" s="1154"/>
      <c r="E122" s="1150"/>
      <c r="F122" s="1323"/>
      <c r="G122" s="1323"/>
    </row>
    <row r="123" spans="1:7" ht="12" customHeight="1">
      <c r="A123" s="1151" t="s">
        <v>1271</v>
      </c>
      <c r="B123" s="2994"/>
      <c r="C123" s="1142"/>
      <c r="D123" s="1153"/>
      <c r="E123" s="1142"/>
      <c r="F123" s="1323"/>
      <c r="G123" s="1323"/>
    </row>
    <row r="124" spans="1:7" ht="12" customHeight="1">
      <c r="A124" s="1148" t="s">
        <v>353</v>
      </c>
      <c r="B124" s="3994">
        <v>600</v>
      </c>
      <c r="C124" s="1150"/>
      <c r="D124" s="1154"/>
      <c r="E124" s="1150"/>
      <c r="F124" s="1323"/>
      <c r="G124" s="1323"/>
    </row>
    <row r="125" spans="1:7" ht="12" customHeight="1">
      <c r="A125" s="1155" t="s">
        <v>1273</v>
      </c>
      <c r="B125" s="3995">
        <v>605</v>
      </c>
      <c r="C125" s="1162"/>
      <c r="D125" s="1157"/>
      <c r="E125" s="1162"/>
      <c r="F125" s="1323"/>
      <c r="G125" s="1323"/>
    </row>
    <row r="126" spans="1:7" ht="12" customHeight="1">
      <c r="A126" s="1155" t="s">
        <v>1276</v>
      </c>
      <c r="B126" s="3995">
        <v>610</v>
      </c>
      <c r="C126" s="1162"/>
      <c r="D126" s="1157"/>
      <c r="E126" s="1162"/>
      <c r="F126" s="1323"/>
      <c r="G126" s="1323"/>
    </row>
    <row r="127" spans="1:7" ht="12" customHeight="1">
      <c r="A127" s="1151" t="s">
        <v>1753</v>
      </c>
      <c r="B127" s="2994">
        <v>615</v>
      </c>
      <c r="C127" s="2512"/>
      <c r="D127" s="1158"/>
      <c r="E127" s="2512"/>
      <c r="F127" s="1323"/>
      <c r="G127" s="1323"/>
    </row>
    <row r="128" spans="1:7" ht="12" customHeight="1">
      <c r="A128" s="1155" t="s">
        <v>1303</v>
      </c>
      <c r="B128" s="3995">
        <v>620</v>
      </c>
      <c r="C128" s="1162"/>
      <c r="D128" s="1157"/>
      <c r="E128" s="1162"/>
      <c r="F128" s="1323"/>
      <c r="G128" s="1323"/>
    </row>
    <row r="129" spans="1:7" ht="12" customHeight="1">
      <c r="A129" s="1155" t="s">
        <v>1282</v>
      </c>
      <c r="B129" s="3995">
        <v>625</v>
      </c>
      <c r="C129" s="1162"/>
      <c r="D129" s="1157"/>
      <c r="E129" s="1162"/>
      <c r="F129" s="1323"/>
      <c r="G129" s="1323"/>
    </row>
    <row r="130" spans="1:7" ht="12" customHeight="1">
      <c r="A130" s="1155" t="s">
        <v>1288</v>
      </c>
      <c r="B130" s="3995">
        <v>630</v>
      </c>
      <c r="C130" s="1162"/>
      <c r="D130" s="1157"/>
      <c r="E130" s="1162"/>
      <c r="F130" s="1323"/>
      <c r="G130" s="1323"/>
    </row>
    <row r="131" spans="1:7" ht="12" customHeight="1">
      <c r="A131" s="1155" t="s">
        <v>1292</v>
      </c>
      <c r="B131" s="3995">
        <v>635</v>
      </c>
      <c r="C131" s="1162"/>
      <c r="D131" s="1157"/>
      <c r="E131" s="1162"/>
      <c r="F131" s="1323"/>
      <c r="G131" s="1323"/>
    </row>
    <row r="132" spans="1:7" ht="12" customHeight="1">
      <c r="A132" s="1155" t="s">
        <v>1293</v>
      </c>
      <c r="B132" s="3995">
        <v>640</v>
      </c>
      <c r="C132" s="1162"/>
      <c r="D132" s="1157"/>
      <c r="E132" s="1162"/>
      <c r="F132" s="1323"/>
      <c r="G132" s="1323"/>
    </row>
    <row r="133" spans="1:7" ht="12" customHeight="1">
      <c r="A133" s="1322" t="s">
        <v>1019</v>
      </c>
      <c r="B133" s="1321">
        <f>B2</f>
        <v>270</v>
      </c>
      <c r="C133" s="1320"/>
      <c r="D133" s="1320"/>
      <c r="E133" s="1322" t="s">
        <v>1020</v>
      </c>
      <c r="F133" s="1323"/>
      <c r="G133" s="1323"/>
    </row>
    <row r="134" spans="1:7" ht="12" customHeight="1">
      <c r="A134" s="1320"/>
      <c r="B134" s="1321"/>
      <c r="C134" s="1320"/>
      <c r="D134" s="1320"/>
      <c r="E134" s="1322" t="s">
        <v>1212</v>
      </c>
      <c r="F134" s="1323"/>
      <c r="G134" s="1323"/>
    </row>
    <row r="135" spans="1:7" ht="12" customHeight="1">
      <c r="A135" s="1320"/>
      <c r="B135" s="1321"/>
      <c r="C135" s="1320"/>
      <c r="D135" s="1320"/>
      <c r="E135" s="1322" t="str">
        <f>E3</f>
        <v>2016-2017</v>
      </c>
      <c r="F135" s="1323"/>
      <c r="G135" s="1323"/>
    </row>
    <row r="136" spans="1:7" ht="12" customHeight="1">
      <c r="A136" s="1320"/>
      <c r="B136" s="1321"/>
      <c r="C136" s="1320"/>
      <c r="D136" s="1320"/>
      <c r="E136" s="1320"/>
      <c r="F136" s="1323"/>
      <c r="G136" s="1323"/>
    </row>
    <row r="137" spans="1:7" ht="12" customHeight="1">
      <c r="A137" s="1326"/>
      <c r="B137" s="1327"/>
      <c r="C137" s="1328" t="s">
        <v>1213</v>
      </c>
      <c r="D137" s="1328" t="s">
        <v>1213</v>
      </c>
      <c r="E137" s="1328" t="s">
        <v>1213</v>
      </c>
      <c r="F137" s="1323"/>
      <c r="G137" s="1323"/>
    </row>
    <row r="138" spans="1:7" ht="12" customHeight="1">
      <c r="A138" s="1329" t="s">
        <v>733</v>
      </c>
      <c r="B138" s="1330" t="s">
        <v>1045</v>
      </c>
      <c r="C138" s="1331" t="str">
        <f>C6</f>
        <v>2014-2015</v>
      </c>
      <c r="D138" s="1331" t="str">
        <f>D6</f>
        <v>2015-2016</v>
      </c>
      <c r="E138" s="1331" t="str">
        <f>E6</f>
        <v>2016-2017</v>
      </c>
      <c r="F138" s="1323"/>
      <c r="G138" s="1323"/>
    </row>
    <row r="139" spans="1:7" ht="12" customHeight="1">
      <c r="A139" s="1329" t="s">
        <v>81</v>
      </c>
      <c r="B139" s="1334">
        <v>34</v>
      </c>
      <c r="C139" s="1335" t="s">
        <v>1139</v>
      </c>
      <c r="D139" s="1335" t="s">
        <v>1139</v>
      </c>
      <c r="E139" s="1335" t="s">
        <v>1215</v>
      </c>
      <c r="F139" s="1323"/>
      <c r="G139" s="1323"/>
    </row>
    <row r="140" spans="1:7" ht="12" customHeight="1">
      <c r="A140" s="1337"/>
      <c r="B140" s="1338" t="s">
        <v>1051</v>
      </c>
      <c r="C140" s="1339">
        <v>1</v>
      </c>
      <c r="D140" s="1339">
        <v>2</v>
      </c>
      <c r="E140" s="1339">
        <v>3</v>
      </c>
      <c r="F140" s="1323"/>
      <c r="G140" s="1323"/>
    </row>
    <row r="141" spans="1:7" ht="12" customHeight="1">
      <c r="A141" s="1348" t="s">
        <v>1308</v>
      </c>
      <c r="B141" s="1358"/>
      <c r="C141" s="1377"/>
      <c r="D141" s="1381"/>
      <c r="E141" s="1377"/>
      <c r="F141" s="1323"/>
      <c r="G141" s="1323"/>
    </row>
    <row r="142" spans="1:7" ht="12" customHeight="1">
      <c r="A142" s="1351" t="s">
        <v>1309</v>
      </c>
      <c r="B142" s="1349"/>
      <c r="C142" s="1378"/>
      <c r="D142" s="1382"/>
      <c r="E142" s="1378"/>
      <c r="F142" s="1323"/>
      <c r="G142" s="1323"/>
    </row>
    <row r="143" spans="1:7" ht="12" customHeight="1">
      <c r="A143" s="1352" t="s">
        <v>1270</v>
      </c>
      <c r="B143" s="1353">
        <v>495</v>
      </c>
      <c r="C143" s="1379"/>
      <c r="D143" s="1343"/>
      <c r="E143" s="1379"/>
      <c r="F143" s="1323"/>
      <c r="G143" s="1323"/>
    </row>
    <row r="144" spans="1:7" ht="12" customHeight="1">
      <c r="A144" s="1348" t="s">
        <v>1310</v>
      </c>
      <c r="B144" s="1358"/>
      <c r="C144" s="1377"/>
      <c r="D144" s="1381"/>
      <c r="E144" s="1377"/>
      <c r="F144" s="1323"/>
      <c r="G144" s="1323"/>
    </row>
    <row r="145" spans="1:7" ht="12" customHeight="1">
      <c r="A145" s="1352" t="s">
        <v>1311</v>
      </c>
      <c r="B145" s="1353">
        <v>500</v>
      </c>
      <c r="C145" s="1379"/>
      <c r="D145" s="1343"/>
      <c r="E145" s="1379"/>
      <c r="F145" s="1323"/>
      <c r="G145" s="1323"/>
    </row>
    <row r="146" spans="1:7" ht="12" customHeight="1">
      <c r="A146" s="1340" t="s">
        <v>1314</v>
      </c>
      <c r="B146" s="1341">
        <v>505</v>
      </c>
      <c r="C146" s="1380"/>
      <c r="D146" s="1342"/>
      <c r="E146" s="1380"/>
      <c r="F146" s="1323"/>
      <c r="G146" s="1323"/>
    </row>
    <row r="147" spans="1:7" ht="12" customHeight="1">
      <c r="A147" s="1351" t="s">
        <v>1315</v>
      </c>
      <c r="B147" s="1349">
        <v>510</v>
      </c>
      <c r="C147" s="2546"/>
      <c r="D147" s="1420"/>
      <c r="E147" s="2546"/>
      <c r="F147" s="1323"/>
      <c r="G147" s="1323"/>
    </row>
    <row r="148" spans="1:7" ht="12" customHeight="1">
      <c r="A148" s="1348" t="s">
        <v>1</v>
      </c>
      <c r="B148" s="1358">
        <v>515</v>
      </c>
      <c r="C148" s="2545"/>
      <c r="D148" s="1419"/>
      <c r="E148" s="2545"/>
      <c r="F148" s="1323"/>
      <c r="G148" s="1323"/>
    </row>
    <row r="149" spans="1:7" ht="12" customHeight="1">
      <c r="A149" s="1348" t="s">
        <v>1318</v>
      </c>
      <c r="B149" s="1358"/>
      <c r="C149" s="1377"/>
      <c r="D149" s="1381"/>
      <c r="E149" s="1377"/>
      <c r="F149" s="1323"/>
      <c r="G149" s="1323"/>
    </row>
    <row r="150" spans="1:7" ht="12" customHeight="1">
      <c r="A150" s="1352" t="s">
        <v>1319</v>
      </c>
      <c r="B150" s="1353">
        <v>520</v>
      </c>
      <c r="C150" s="1379"/>
      <c r="D150" s="1343"/>
      <c r="E150" s="1379"/>
      <c r="F150" s="1323"/>
      <c r="G150" s="1323"/>
    </row>
    <row r="151" spans="1:7" ht="12" customHeight="1">
      <c r="A151" s="1340" t="s">
        <v>1320</v>
      </c>
      <c r="B151" s="1341">
        <v>525</v>
      </c>
      <c r="C151" s="1380"/>
      <c r="D151" s="1342"/>
      <c r="E151" s="1380"/>
      <c r="F151" s="1323"/>
      <c r="G151" s="1323"/>
    </row>
    <row r="152" spans="1:7" ht="12" customHeight="1">
      <c r="A152" s="1340" t="s">
        <v>1321</v>
      </c>
      <c r="B152" s="1341">
        <v>530</v>
      </c>
      <c r="C152" s="1380"/>
      <c r="D152" s="1342"/>
      <c r="E152" s="1380"/>
      <c r="F152" s="1323"/>
      <c r="G152" s="1323"/>
    </row>
    <row r="153" spans="1:7" ht="12" customHeight="1">
      <c r="A153" s="1340" t="s">
        <v>1322</v>
      </c>
      <c r="B153" s="1341">
        <v>535</v>
      </c>
      <c r="C153" s="1380"/>
      <c r="D153" s="1342"/>
      <c r="E153" s="1380"/>
      <c r="F153" s="1323"/>
      <c r="G153" s="1323"/>
    </row>
    <row r="154" spans="1:7" ht="12" customHeight="1">
      <c r="A154" s="1340" t="s">
        <v>1326</v>
      </c>
      <c r="B154" s="1341">
        <v>540</v>
      </c>
      <c r="C154" s="1380"/>
      <c r="D154" s="1342"/>
      <c r="E154" s="1380"/>
      <c r="F154" s="1323"/>
      <c r="G154" s="1323"/>
    </row>
    <row r="155" spans="1:7" ht="12" customHeight="1">
      <c r="A155" s="1340" t="s">
        <v>1327</v>
      </c>
      <c r="B155" s="1341">
        <v>545</v>
      </c>
      <c r="C155" s="1380"/>
      <c r="D155" s="1342"/>
      <c r="E155" s="1380"/>
      <c r="F155" s="1323"/>
      <c r="G155" s="1323"/>
    </row>
    <row r="156" spans="1:7" ht="12" customHeight="1">
      <c r="A156" s="1348" t="s">
        <v>1337</v>
      </c>
      <c r="B156" s="1358"/>
      <c r="C156" s="1377"/>
      <c r="D156" s="1381"/>
      <c r="E156" s="1377"/>
      <c r="F156" s="1323"/>
      <c r="G156" s="1323"/>
    </row>
    <row r="157" spans="1:7" ht="12" customHeight="1">
      <c r="A157" s="1352" t="s">
        <v>1338</v>
      </c>
      <c r="B157" s="1353">
        <v>550</v>
      </c>
      <c r="C157" s="1379"/>
      <c r="D157" s="1343"/>
      <c r="E157" s="1379"/>
      <c r="F157" s="1323"/>
      <c r="G157" s="1323"/>
    </row>
    <row r="158" spans="1:7" ht="12" customHeight="1">
      <c r="A158" s="1348" t="s">
        <v>1339</v>
      </c>
      <c r="B158" s="1358"/>
      <c r="C158" s="1377"/>
      <c r="D158" s="1381"/>
      <c r="E158" s="1377"/>
      <c r="F158" s="1323"/>
      <c r="G158" s="1323"/>
    </row>
    <row r="159" spans="1:7" ht="12" customHeight="1">
      <c r="A159" s="1352" t="s">
        <v>1340</v>
      </c>
      <c r="B159" s="1353">
        <v>555</v>
      </c>
      <c r="C159" s="1379"/>
      <c r="D159" s="1343"/>
      <c r="E159" s="1379"/>
      <c r="F159" s="1323"/>
      <c r="G159" s="1323"/>
    </row>
    <row r="160" spans="1:7" ht="12" customHeight="1">
      <c r="A160" s="1340" t="s">
        <v>1341</v>
      </c>
      <c r="B160" s="1341">
        <v>560</v>
      </c>
      <c r="C160" s="1380"/>
      <c r="D160" s="1342"/>
      <c r="E160" s="1380"/>
      <c r="F160" s="1323"/>
      <c r="G160" s="1323"/>
    </row>
    <row r="161" spans="1:7" ht="12" customHeight="1">
      <c r="A161" s="1340" t="s">
        <v>1342</v>
      </c>
      <c r="B161" s="1341">
        <v>565</v>
      </c>
      <c r="C161" s="1380"/>
      <c r="D161" s="1342"/>
      <c r="E161" s="1380"/>
      <c r="F161" s="1387"/>
      <c r="G161" s="1323"/>
    </row>
    <row r="162" spans="1:7" ht="12" customHeight="1">
      <c r="A162" s="1340" t="s">
        <v>1343</v>
      </c>
      <c r="B162" s="1341">
        <v>570</v>
      </c>
      <c r="C162" s="1380"/>
      <c r="D162" s="1342"/>
      <c r="E162" s="1380"/>
      <c r="F162" s="1387"/>
      <c r="G162" s="1323"/>
    </row>
    <row r="163" spans="1:7" ht="12" customHeight="1">
      <c r="A163" s="1340" t="s">
        <v>1344</v>
      </c>
      <c r="B163" s="1341">
        <v>575</v>
      </c>
      <c r="C163" s="1380"/>
      <c r="D163" s="1342"/>
      <c r="E163" s="1380"/>
      <c r="F163" s="1323"/>
      <c r="G163" s="1323"/>
    </row>
    <row r="164" spans="1:7" ht="12" customHeight="1">
      <c r="A164" s="1340" t="s">
        <v>1345</v>
      </c>
      <c r="B164" s="1341">
        <v>580</v>
      </c>
      <c r="C164" s="1380"/>
      <c r="D164" s="1342"/>
      <c r="E164" s="1380"/>
      <c r="F164" s="1323"/>
      <c r="G164" s="1323"/>
    </row>
    <row r="165" spans="1:7" ht="12" customHeight="1">
      <c r="A165" s="1348" t="s">
        <v>1346</v>
      </c>
      <c r="B165" s="1358">
        <v>585</v>
      </c>
      <c r="C165" s="2545"/>
      <c r="D165" s="1419"/>
      <c r="E165" s="2545"/>
      <c r="F165" s="1323"/>
      <c r="G165" s="1323"/>
    </row>
    <row r="166" spans="1:7" ht="12" customHeight="1">
      <c r="A166" s="2884" t="s">
        <v>1385</v>
      </c>
      <c r="B166" s="1358"/>
      <c r="C166" s="3487"/>
      <c r="D166" s="3487"/>
      <c r="E166" s="3067"/>
      <c r="F166" s="1323"/>
      <c r="G166" s="1323"/>
    </row>
    <row r="167" spans="1:7" ht="12" customHeight="1">
      <c r="A167" s="2885" t="s">
        <v>1688</v>
      </c>
      <c r="B167" s="1353">
        <v>586</v>
      </c>
      <c r="C167" s="3753"/>
      <c r="D167" s="3753"/>
      <c r="E167" s="1379"/>
      <c r="F167" s="1323"/>
      <c r="G167" s="1323"/>
    </row>
    <row r="168" spans="1:7" ht="12" customHeight="1">
      <c r="A168" s="1351" t="s">
        <v>1310</v>
      </c>
      <c r="B168" s="1349">
        <v>587</v>
      </c>
      <c r="C168" s="2546"/>
      <c r="D168" s="1420"/>
      <c r="E168" s="2546"/>
      <c r="F168" s="1323"/>
      <c r="G168" s="1323"/>
    </row>
    <row r="169" spans="1:7" ht="12" customHeight="1">
      <c r="A169" s="1348" t="s">
        <v>1391</v>
      </c>
      <c r="B169" s="1358">
        <v>588</v>
      </c>
      <c r="C169" s="2545"/>
      <c r="D169" s="1419"/>
      <c r="E169" s="2545"/>
      <c r="F169" s="1323"/>
      <c r="G169" s="1323"/>
    </row>
    <row r="170" spans="1:7" ht="12" customHeight="1">
      <c r="A170" s="1348" t="s">
        <v>1346</v>
      </c>
      <c r="B170" s="1358">
        <v>589</v>
      </c>
      <c r="C170" s="2545"/>
      <c r="D170" s="1419"/>
      <c r="E170" s="2545"/>
      <c r="F170" s="1323"/>
      <c r="G170" s="1323"/>
    </row>
    <row r="171" spans="1:7" ht="12" customHeight="1">
      <c r="A171" s="1348" t="s">
        <v>1754</v>
      </c>
      <c r="B171" s="1358"/>
      <c r="C171" s="3067"/>
      <c r="D171" s="1381"/>
      <c r="E171" s="1377"/>
      <c r="F171" s="1323"/>
      <c r="G171" s="1323"/>
    </row>
    <row r="172" spans="1:7" ht="12" customHeight="1">
      <c r="A172" s="1351" t="s">
        <v>1309</v>
      </c>
      <c r="B172" s="1349"/>
      <c r="C172" s="3030"/>
      <c r="D172" s="1382"/>
      <c r="E172" s="1378"/>
      <c r="F172" s="1323"/>
      <c r="G172" s="1323"/>
    </row>
    <row r="173" spans="1:7" ht="12" customHeight="1">
      <c r="A173" s="1352" t="s">
        <v>1347</v>
      </c>
      <c r="B173" s="2948">
        <v>650</v>
      </c>
      <c r="C173" s="4029"/>
      <c r="D173" s="1343"/>
      <c r="E173" s="1379"/>
      <c r="F173" s="1323"/>
      <c r="G173" s="1323"/>
    </row>
    <row r="174" spans="1:7" ht="12" customHeight="1">
      <c r="A174" s="1421" t="s">
        <v>1270</v>
      </c>
      <c r="B174" s="3977">
        <v>655</v>
      </c>
      <c r="C174" s="4029"/>
      <c r="D174" s="1342"/>
      <c r="E174" s="1380"/>
      <c r="F174" s="1323"/>
      <c r="G174" s="1323"/>
    </row>
    <row r="175" spans="1:7" ht="12" customHeight="1">
      <c r="A175" s="1348" t="s">
        <v>1310</v>
      </c>
      <c r="B175" s="3978"/>
      <c r="C175" s="3030"/>
      <c r="D175" s="1381"/>
      <c r="E175" s="1377"/>
      <c r="F175" s="1323"/>
      <c r="G175" s="1323"/>
    </row>
    <row r="176" spans="1:7" ht="12" customHeight="1">
      <c r="A176" s="1352" t="s">
        <v>1348</v>
      </c>
      <c r="B176" s="2948">
        <v>660</v>
      </c>
      <c r="C176" s="4029"/>
      <c r="D176" s="1343"/>
      <c r="E176" s="1379"/>
      <c r="F176" s="1323"/>
      <c r="G176" s="1323"/>
    </row>
    <row r="177" spans="1:7" ht="12" customHeight="1">
      <c r="A177" s="1340" t="s">
        <v>1314</v>
      </c>
      <c r="B177" s="3977">
        <v>665</v>
      </c>
      <c r="C177" s="4029"/>
      <c r="D177" s="1342"/>
      <c r="E177" s="1380"/>
      <c r="F177" s="1323"/>
      <c r="G177" s="1323"/>
    </row>
    <row r="178" spans="1:7" ht="12" customHeight="1">
      <c r="A178" s="1348" t="s">
        <v>1315</v>
      </c>
      <c r="B178" s="3978">
        <v>670</v>
      </c>
      <c r="C178" s="4029"/>
      <c r="D178" s="1419"/>
      <c r="E178" s="2545"/>
      <c r="F178" s="1323"/>
      <c r="G178" s="1323"/>
    </row>
    <row r="179" spans="1:7" ht="12" customHeight="1">
      <c r="A179" s="1360" t="s">
        <v>1</v>
      </c>
      <c r="B179" s="2919">
        <v>675</v>
      </c>
      <c r="C179" s="4029"/>
      <c r="D179" s="1419"/>
      <c r="E179" s="2545"/>
      <c r="F179" s="1323"/>
      <c r="G179" s="1323"/>
    </row>
    <row r="180" spans="1:7" ht="12" customHeight="1">
      <c r="A180" s="1367" t="s">
        <v>1318</v>
      </c>
      <c r="B180" s="2921">
        <v>680</v>
      </c>
      <c r="C180" s="4029"/>
      <c r="D180" s="1342"/>
      <c r="E180" s="1380"/>
      <c r="F180" s="1323"/>
      <c r="G180" s="1323"/>
    </row>
    <row r="181" spans="1:7" ht="12" customHeight="1">
      <c r="A181" s="1367" t="s">
        <v>1327</v>
      </c>
      <c r="B181" s="2921">
        <v>685</v>
      </c>
      <c r="C181" s="4029"/>
      <c r="D181" s="1342"/>
      <c r="E181" s="1380"/>
      <c r="F181" s="1323"/>
      <c r="G181" s="1323"/>
    </row>
    <row r="182" spans="1:7" ht="12" customHeight="1">
      <c r="A182" s="1367" t="s">
        <v>1337</v>
      </c>
      <c r="B182" s="2921">
        <v>690</v>
      </c>
      <c r="C182" s="4029"/>
      <c r="D182" s="1342"/>
      <c r="E182" s="1380"/>
      <c r="F182" s="1323"/>
      <c r="G182" s="1323"/>
    </row>
    <row r="183" spans="1:7" ht="12" customHeight="1">
      <c r="A183" s="1367" t="s">
        <v>1345</v>
      </c>
      <c r="B183" s="2921">
        <v>695</v>
      </c>
      <c r="C183" s="4029"/>
      <c r="D183" s="1342"/>
      <c r="E183" s="1380"/>
      <c r="F183" s="1323"/>
      <c r="G183" s="1323"/>
    </row>
    <row r="184" spans="1:7" ht="12" customHeight="1">
      <c r="A184" s="1348" t="s">
        <v>1346</v>
      </c>
      <c r="B184" s="3978">
        <v>700</v>
      </c>
      <c r="C184" s="4029"/>
      <c r="D184" s="1419"/>
      <c r="E184" s="2545"/>
      <c r="F184" s="1323"/>
      <c r="G184" s="1323"/>
    </row>
    <row r="185" spans="1:7" ht="12" customHeight="1">
      <c r="A185" s="3490" t="s">
        <v>1501</v>
      </c>
      <c r="B185" s="1358"/>
      <c r="C185" s="3030"/>
      <c r="D185" s="1372"/>
      <c r="E185" s="3067"/>
      <c r="F185" s="1323"/>
      <c r="G185" s="1323"/>
    </row>
    <row r="186" spans="1:7" ht="12" customHeight="1">
      <c r="A186" s="3491" t="s">
        <v>1503</v>
      </c>
      <c r="B186" s="3533">
        <v>645</v>
      </c>
      <c r="C186" s="3747"/>
      <c r="D186" s="3865"/>
      <c r="E186" s="1379"/>
      <c r="F186" s="1323"/>
      <c r="G186" s="3535"/>
    </row>
    <row r="187" spans="1:7" ht="12" customHeight="1">
      <c r="A187" s="1352" t="s">
        <v>70</v>
      </c>
      <c r="B187" s="3486" t="s">
        <v>92</v>
      </c>
      <c r="C187" s="2537">
        <f>SUM(C143:C186,C75:C132,C43:C64)</f>
        <v>278087</v>
      </c>
      <c r="D187" s="2537">
        <f>SUM(D143:D186,D75:D132,D43:D64)</f>
        <v>301141</v>
      </c>
      <c r="E187" s="2537">
        <f>SUM(E143:E186,E75:E132,E43:E64)</f>
        <v>316500</v>
      </c>
      <c r="F187" s="1323"/>
      <c r="G187" s="3535"/>
    </row>
    <row r="188" spans="1:7" s="1332" customFormat="1" ht="12" customHeight="1">
      <c r="A188" s="1320"/>
      <c r="B188" s="1321"/>
      <c r="C188" s="1320"/>
      <c r="D188" s="1320"/>
      <c r="E188" s="1320"/>
      <c r="F188" s="1320"/>
      <c r="G188" s="1320"/>
    </row>
    <row r="189" spans="1:7" s="1332" customFormat="1" ht="12" customHeight="1">
      <c r="A189" s="1320"/>
      <c r="B189" s="1321"/>
      <c r="C189" s="1320"/>
      <c r="D189" s="1320"/>
      <c r="E189" s="1320"/>
      <c r="F189" s="1320"/>
      <c r="G189" s="1320"/>
    </row>
    <row r="190" spans="1:7" s="1332" customFormat="1" ht="12" customHeight="1">
      <c r="A190" s="1386"/>
      <c r="B190" s="1422"/>
      <c r="C190" s="1386"/>
      <c r="D190" s="1386"/>
      <c r="E190" s="1386"/>
      <c r="F190" s="1386"/>
      <c r="G190" s="1320"/>
    </row>
    <row r="191" spans="1:7" s="1332" customFormat="1" ht="12.75" customHeight="1">
      <c r="A191" s="1320"/>
      <c r="B191" s="1320"/>
      <c r="C191" s="1320"/>
      <c r="D191" s="1320"/>
      <c r="E191" s="1320"/>
      <c r="F191" s="1320"/>
      <c r="G191" s="1320"/>
    </row>
    <row r="192" spans="1:7" s="1332" customFormat="1" ht="12" customHeight="1">
      <c r="A192" s="1320"/>
      <c r="B192" s="1320"/>
      <c r="C192" s="1320"/>
      <c r="D192" s="1320"/>
      <c r="E192" s="1320"/>
      <c r="F192" s="1320"/>
      <c r="G192" s="1320"/>
    </row>
    <row r="193" spans="1:7" s="1332" customFormat="1" ht="12" customHeight="1">
      <c r="A193" s="1320"/>
      <c r="B193" s="1320"/>
      <c r="C193" s="1320"/>
      <c r="D193" s="1320"/>
      <c r="E193" s="1320"/>
      <c r="F193" s="1320"/>
      <c r="G193" s="1320"/>
    </row>
    <row r="194" spans="1:7" ht="12" customHeight="1">
      <c r="A194" s="1320"/>
      <c r="B194" s="1320"/>
      <c r="C194" s="1323"/>
      <c r="D194" s="1323"/>
      <c r="E194" s="1323"/>
      <c r="F194" s="1323"/>
      <c r="G194" s="1323"/>
    </row>
    <row r="195" spans="1:7" ht="12" customHeight="1">
      <c r="A195" s="1320"/>
      <c r="B195" s="1320"/>
      <c r="C195" s="1323"/>
      <c r="D195" s="1323"/>
      <c r="E195" s="1323"/>
      <c r="F195" s="1323"/>
      <c r="G195" s="1323"/>
    </row>
    <row r="196" spans="1:7" ht="12" customHeight="1">
      <c r="A196" s="1320"/>
      <c r="B196" s="1320"/>
      <c r="C196" s="1323"/>
      <c r="D196" s="1323"/>
      <c r="E196" s="1323"/>
      <c r="F196" s="1323"/>
      <c r="G196" s="1323"/>
    </row>
    <row r="197" spans="1:7" ht="12" customHeight="1">
      <c r="A197" s="1320"/>
      <c r="B197" s="1320"/>
      <c r="C197" s="1323"/>
      <c r="D197" s="1323"/>
      <c r="E197" s="1323"/>
      <c r="F197" s="1323"/>
      <c r="G197" s="1323"/>
    </row>
    <row r="198" spans="1:7" ht="12" customHeight="1">
      <c r="A198" s="1320"/>
      <c r="B198" s="1320"/>
      <c r="C198" s="1323"/>
      <c r="D198" s="1323"/>
      <c r="E198" s="1323"/>
      <c r="F198" s="1323"/>
      <c r="G198" s="1323"/>
    </row>
    <row r="199" spans="1:7" ht="12" customHeight="1">
      <c r="A199" s="1320"/>
      <c r="B199" s="1320"/>
      <c r="C199" s="1323"/>
      <c r="D199" s="1323"/>
      <c r="E199" s="1323"/>
      <c r="F199" s="1323"/>
      <c r="G199" s="1323"/>
    </row>
    <row r="200" spans="1:7" ht="12" customHeight="1">
      <c r="A200" s="1320"/>
      <c r="B200" s="1320"/>
      <c r="C200" s="1323"/>
      <c r="D200" s="1323"/>
      <c r="E200" s="1323"/>
      <c r="F200" s="1323"/>
      <c r="G200" s="1323"/>
    </row>
    <row r="201" spans="1:7" ht="12" customHeight="1">
      <c r="A201" s="1320"/>
      <c r="B201" s="1320"/>
      <c r="C201" s="1323"/>
      <c r="D201" s="1323"/>
      <c r="E201" s="1323"/>
      <c r="F201" s="1323"/>
      <c r="G201" s="1323"/>
    </row>
    <row r="202" spans="1:7" ht="12" customHeight="1">
      <c r="A202" s="1320"/>
      <c r="B202" s="1320"/>
      <c r="C202" s="1323"/>
      <c r="D202" s="1323"/>
      <c r="E202" s="1323"/>
      <c r="F202" s="1323"/>
      <c r="G202" s="1323"/>
    </row>
    <row r="203" spans="1:7" ht="12" customHeight="1">
      <c r="A203" s="1320"/>
      <c r="B203" s="1320"/>
      <c r="C203" s="1323"/>
      <c r="D203" s="1323"/>
      <c r="E203" s="1323"/>
      <c r="F203" s="1323"/>
      <c r="G203" s="1323"/>
    </row>
    <row r="204" spans="1:7" ht="12" customHeight="1">
      <c r="A204" s="1320"/>
      <c r="B204" s="1320"/>
      <c r="C204" s="1323"/>
      <c r="D204" s="1323"/>
      <c r="E204" s="1323"/>
      <c r="F204" s="1323"/>
      <c r="G204" s="1323"/>
    </row>
    <row r="205" spans="1:7" ht="12" customHeight="1">
      <c r="A205" s="1320"/>
      <c r="B205" s="1320"/>
      <c r="C205" s="1323"/>
      <c r="D205" s="1323"/>
      <c r="E205" s="1323"/>
      <c r="F205" s="1323"/>
      <c r="G205" s="1323"/>
    </row>
    <row r="206" spans="1:7" ht="12" customHeight="1">
      <c r="A206" s="1320"/>
      <c r="B206" s="1320"/>
      <c r="C206" s="1323"/>
      <c r="D206" s="1323"/>
      <c r="E206" s="1323"/>
      <c r="F206" s="1323"/>
      <c r="G206" s="1323"/>
    </row>
    <row r="207" spans="1:7" ht="12" customHeight="1">
      <c r="A207" s="1320"/>
      <c r="B207" s="1320"/>
      <c r="C207" s="1323"/>
      <c r="D207" s="1323"/>
      <c r="E207" s="1323"/>
      <c r="F207" s="1323"/>
      <c r="G207" s="1323"/>
    </row>
    <row r="208" spans="1:7" ht="12" customHeight="1">
      <c r="A208" s="1320"/>
      <c r="B208" s="1320"/>
      <c r="C208" s="1323"/>
      <c r="D208" s="1323"/>
      <c r="E208" s="1323"/>
      <c r="F208" s="1323"/>
      <c r="G208" s="1323"/>
    </row>
    <row r="209" spans="1:7" ht="12" customHeight="1">
      <c r="A209" s="1320"/>
      <c r="B209" s="1320"/>
      <c r="C209" s="1323"/>
      <c r="D209" s="1323"/>
      <c r="E209" s="1323"/>
      <c r="F209" s="1323"/>
      <c r="G209" s="1323"/>
    </row>
    <row r="210" spans="1:7" ht="12" customHeight="1">
      <c r="A210" s="1320"/>
      <c r="B210" s="1320"/>
      <c r="C210" s="1323"/>
      <c r="D210" s="1323"/>
      <c r="E210" s="1323"/>
      <c r="F210" s="1323"/>
      <c r="G210" s="1323"/>
    </row>
    <row r="211" spans="1:7" ht="12" customHeight="1">
      <c r="A211" s="1320"/>
      <c r="B211" s="1320"/>
      <c r="C211" s="1323"/>
      <c r="D211" s="1323"/>
      <c r="E211" s="1323"/>
      <c r="F211" s="1323"/>
      <c r="G211" s="1323"/>
    </row>
    <row r="212" spans="1:7" ht="12" customHeight="1">
      <c r="A212" s="1320"/>
      <c r="B212" s="1320"/>
      <c r="C212" s="1323"/>
      <c r="D212" s="1323"/>
      <c r="E212" s="1323"/>
      <c r="F212" s="1323"/>
      <c r="G212" s="1323"/>
    </row>
    <row r="213" spans="1:7" ht="12" customHeight="1">
      <c r="A213" s="1320"/>
      <c r="B213" s="1320"/>
      <c r="C213" s="1323"/>
      <c r="D213" s="1323"/>
      <c r="E213" s="1323"/>
      <c r="F213" s="1323"/>
      <c r="G213" s="1323"/>
    </row>
    <row r="214" spans="1:7" ht="12" customHeight="1">
      <c r="A214" s="1320"/>
      <c r="B214" s="1320"/>
      <c r="C214" s="1323"/>
      <c r="D214" s="1323"/>
      <c r="E214" s="1323"/>
      <c r="F214" s="1323"/>
      <c r="G214" s="1323"/>
    </row>
    <row r="215" spans="1:7" ht="12" customHeight="1">
      <c r="A215" s="1320"/>
      <c r="B215" s="1320"/>
      <c r="C215" s="1323"/>
      <c r="D215" s="1323"/>
      <c r="E215" s="1323"/>
      <c r="F215" s="1323"/>
      <c r="G215" s="1323"/>
    </row>
    <row r="216" spans="1:7" ht="12" customHeight="1">
      <c r="A216" s="1320"/>
      <c r="B216" s="1320"/>
      <c r="C216" s="1323"/>
      <c r="D216" s="1323"/>
      <c r="E216" s="1323"/>
      <c r="F216" s="1323"/>
      <c r="G216" s="1323"/>
    </row>
    <row r="217" spans="1:7" ht="12" customHeight="1">
      <c r="A217" s="1320"/>
      <c r="B217" s="1320"/>
      <c r="C217" s="1323"/>
      <c r="D217" s="1323"/>
      <c r="E217" s="1323"/>
      <c r="F217" s="1323"/>
      <c r="G217" s="1323"/>
    </row>
    <row r="218" spans="1:7" ht="12" customHeight="1">
      <c r="A218" s="1320"/>
      <c r="B218" s="1320"/>
      <c r="C218" s="1323"/>
      <c r="D218" s="1323"/>
      <c r="E218" s="1323"/>
      <c r="F218" s="1323"/>
      <c r="G218" s="1323"/>
    </row>
    <row r="219" spans="1:7" ht="12" customHeight="1">
      <c r="A219" s="1320"/>
      <c r="B219" s="1320"/>
      <c r="C219" s="1323"/>
      <c r="D219" s="1323"/>
      <c r="E219" s="1323"/>
      <c r="F219" s="1323"/>
      <c r="G219" s="1323"/>
    </row>
    <row r="220" spans="1:7" ht="12" customHeight="1">
      <c r="A220" s="1320"/>
      <c r="B220" s="1320"/>
      <c r="C220" s="1323"/>
      <c r="D220" s="1323"/>
      <c r="E220" s="1323"/>
      <c r="F220" s="1323"/>
      <c r="G220" s="1323"/>
    </row>
    <row r="221" spans="1:7" ht="12" customHeight="1">
      <c r="A221" s="1320"/>
      <c r="B221" s="1320"/>
      <c r="C221" s="1323"/>
      <c r="D221" s="1323"/>
      <c r="E221" s="1323"/>
      <c r="F221" s="1323"/>
      <c r="G221" s="1323"/>
    </row>
    <row r="222" spans="1:7" ht="12" customHeight="1">
      <c r="A222" s="1320"/>
      <c r="B222" s="1320"/>
      <c r="C222" s="1323"/>
      <c r="D222" s="1323"/>
      <c r="E222" s="1323"/>
      <c r="F222" s="1323"/>
      <c r="G222" s="1323"/>
    </row>
    <row r="223" spans="1:7" ht="12" customHeight="1">
      <c r="A223" s="1320"/>
      <c r="B223" s="1320"/>
      <c r="C223" s="1323"/>
      <c r="D223" s="1323"/>
      <c r="E223" s="1323"/>
      <c r="F223" s="1323"/>
      <c r="G223" s="1323"/>
    </row>
    <row r="224" spans="1:7" ht="12" customHeight="1">
      <c r="A224" s="1320"/>
      <c r="B224" s="1320"/>
      <c r="C224" s="1323"/>
      <c r="D224" s="1323"/>
      <c r="E224" s="1323"/>
      <c r="F224" s="1323"/>
      <c r="G224" s="1323"/>
    </row>
    <row r="225" spans="1:7" ht="12" customHeight="1">
      <c r="A225" s="1320"/>
      <c r="B225" s="1320"/>
      <c r="C225" s="1323"/>
      <c r="D225" s="1323"/>
      <c r="E225" s="1323"/>
      <c r="F225" s="1323"/>
      <c r="G225" s="1323"/>
    </row>
    <row r="226" spans="1:7" ht="12" customHeight="1">
      <c r="A226" s="1320"/>
      <c r="B226" s="1320"/>
      <c r="C226" s="1323"/>
      <c r="D226" s="1323"/>
      <c r="E226" s="1323"/>
      <c r="F226" s="1323"/>
      <c r="G226" s="1323"/>
    </row>
    <row r="227" spans="1:7" ht="12" customHeight="1">
      <c r="A227" s="1320"/>
      <c r="B227" s="1320"/>
      <c r="C227" s="1323"/>
      <c r="D227" s="1323"/>
      <c r="E227" s="1323"/>
      <c r="F227" s="1323"/>
      <c r="G227" s="1323"/>
    </row>
    <row r="228" spans="1:7" ht="12" customHeight="1">
      <c r="A228" s="1320"/>
      <c r="B228" s="1320"/>
      <c r="C228" s="1323"/>
      <c r="D228" s="1323"/>
      <c r="E228" s="1323"/>
      <c r="F228" s="1323"/>
      <c r="G228" s="1323"/>
    </row>
    <row r="229" spans="1:7" ht="12" customHeight="1">
      <c r="A229" s="1320"/>
      <c r="B229" s="1320"/>
      <c r="C229" s="1323"/>
      <c r="D229" s="1323"/>
      <c r="E229" s="1323"/>
      <c r="F229" s="1323"/>
      <c r="G229" s="1323"/>
    </row>
    <row r="230" spans="1:7" ht="12" customHeight="1">
      <c r="A230" s="1320"/>
      <c r="B230" s="1320"/>
      <c r="C230" s="1323"/>
      <c r="D230" s="1323"/>
      <c r="E230" s="1323"/>
      <c r="F230" s="1323"/>
      <c r="G230" s="1323"/>
    </row>
    <row r="231" spans="1:7" ht="12" customHeight="1">
      <c r="A231" s="1320"/>
      <c r="B231" s="1320"/>
      <c r="C231" s="1323"/>
      <c r="D231" s="1323"/>
      <c r="E231" s="1323"/>
      <c r="F231" s="1323"/>
      <c r="G231" s="1323"/>
    </row>
    <row r="232" spans="1:7" ht="12" customHeight="1">
      <c r="A232" s="1320"/>
      <c r="B232" s="1320"/>
      <c r="C232" s="1323"/>
      <c r="D232" s="1323"/>
      <c r="E232" s="1323"/>
      <c r="F232" s="1323"/>
      <c r="G232" s="1323"/>
    </row>
    <row r="233" spans="1:7" ht="12" customHeight="1">
      <c r="A233" s="1320"/>
      <c r="B233" s="1320"/>
      <c r="C233" s="1323"/>
      <c r="D233" s="1323"/>
      <c r="E233" s="1323"/>
      <c r="F233" s="1323"/>
      <c r="G233" s="1323"/>
    </row>
    <row r="234" spans="1:7" ht="12" customHeight="1">
      <c r="A234" s="1320"/>
      <c r="B234" s="1320"/>
      <c r="C234" s="1323"/>
      <c r="D234" s="1323"/>
      <c r="E234" s="1323"/>
      <c r="F234" s="1323"/>
      <c r="G234" s="1323"/>
    </row>
    <row r="235" spans="1:7" ht="12" customHeight="1">
      <c r="A235" s="1320"/>
      <c r="B235" s="1320"/>
      <c r="C235" s="1323"/>
      <c r="D235" s="1323"/>
      <c r="E235" s="1323"/>
      <c r="F235" s="1323"/>
      <c r="G235" s="1323"/>
    </row>
    <row r="236" spans="1:7" ht="12" customHeight="1">
      <c r="A236" s="1320"/>
      <c r="B236" s="1320"/>
      <c r="C236" s="1323"/>
      <c r="D236" s="1323"/>
      <c r="E236" s="1323"/>
      <c r="F236" s="1323"/>
      <c r="G236" s="1323"/>
    </row>
    <row r="237" spans="1:7" ht="12" customHeight="1">
      <c r="A237" s="1320"/>
      <c r="B237" s="1320"/>
      <c r="C237" s="1323"/>
      <c r="D237" s="1323"/>
      <c r="E237" s="1323"/>
      <c r="F237" s="1323"/>
      <c r="G237" s="1323"/>
    </row>
    <row r="238" spans="1:7" ht="12" customHeight="1">
      <c r="A238" s="1320"/>
      <c r="B238" s="1320"/>
      <c r="C238" s="1323"/>
      <c r="D238" s="1323"/>
      <c r="E238" s="1323"/>
      <c r="F238" s="1323"/>
      <c r="G238" s="1323"/>
    </row>
    <row r="239" spans="1:7" ht="12" customHeight="1">
      <c r="A239" s="1320"/>
      <c r="B239" s="1320"/>
      <c r="C239" s="1323"/>
      <c r="D239" s="1323"/>
      <c r="E239" s="1323"/>
      <c r="F239" s="1323"/>
      <c r="G239" s="1323"/>
    </row>
    <row r="240" spans="1:7" ht="12" customHeight="1">
      <c r="A240" s="1320"/>
      <c r="B240" s="1320"/>
      <c r="C240" s="1323"/>
      <c r="D240" s="1323"/>
      <c r="E240" s="1323"/>
      <c r="F240" s="1323"/>
      <c r="G240" s="1323"/>
    </row>
    <row r="241" spans="1:7" ht="12" customHeight="1">
      <c r="A241" s="1320"/>
      <c r="B241" s="1320"/>
      <c r="C241" s="1323"/>
      <c r="D241" s="1323"/>
      <c r="E241" s="1323"/>
      <c r="F241" s="1323"/>
      <c r="G241" s="1323"/>
    </row>
    <row r="242" spans="1:7" ht="12" customHeight="1">
      <c r="A242" s="1320"/>
      <c r="B242" s="1320"/>
      <c r="C242" s="1323"/>
      <c r="D242" s="1323"/>
      <c r="E242" s="1323"/>
      <c r="F242" s="1323"/>
      <c r="G242" s="1323"/>
    </row>
    <row r="243" spans="1:7" ht="12" customHeight="1">
      <c r="A243" s="1320"/>
      <c r="B243" s="1320"/>
      <c r="C243" s="1323"/>
      <c r="D243" s="1323"/>
      <c r="E243" s="1323"/>
      <c r="F243" s="1323"/>
      <c r="G243" s="1323"/>
    </row>
    <row r="244" spans="1:7" ht="12" customHeight="1">
      <c r="A244" s="1320"/>
      <c r="B244" s="1320"/>
      <c r="C244" s="1323"/>
      <c r="D244" s="1323"/>
      <c r="E244" s="1323"/>
      <c r="F244" s="1323"/>
      <c r="G244" s="1323"/>
    </row>
    <row r="245" spans="1:7" ht="12" customHeight="1">
      <c r="A245" s="1320"/>
      <c r="B245" s="1320"/>
      <c r="C245" s="1323"/>
      <c r="D245" s="1323"/>
      <c r="E245" s="1323"/>
      <c r="F245" s="1323"/>
      <c r="G245" s="1323"/>
    </row>
    <row r="246" spans="1:7" ht="12" customHeight="1">
      <c r="A246" s="1320"/>
      <c r="B246" s="1320"/>
      <c r="C246" s="1323"/>
      <c r="D246" s="1323"/>
      <c r="E246" s="1323"/>
      <c r="F246" s="1323"/>
      <c r="G246" s="1323"/>
    </row>
    <row r="247" spans="1:7" ht="12" customHeight="1">
      <c r="A247" s="1320"/>
      <c r="B247" s="1320"/>
      <c r="C247" s="1323"/>
      <c r="D247" s="1323"/>
      <c r="E247" s="1323"/>
      <c r="F247" s="1323"/>
      <c r="G247" s="1323"/>
    </row>
    <row r="248" spans="1:7" ht="12" customHeight="1">
      <c r="A248" s="1320"/>
      <c r="B248" s="1320"/>
      <c r="C248" s="1323"/>
      <c r="D248" s="1323"/>
      <c r="E248" s="1323"/>
      <c r="F248" s="1323"/>
      <c r="G248" s="1323"/>
    </row>
    <row r="249" spans="1:7" ht="12" customHeight="1">
      <c r="A249" s="1320"/>
      <c r="B249" s="1320"/>
      <c r="C249" s="1323"/>
      <c r="D249" s="1323"/>
      <c r="E249" s="1323"/>
      <c r="F249" s="1323"/>
      <c r="G249" s="1323"/>
    </row>
    <row r="250" spans="1:7" ht="12" customHeight="1">
      <c r="A250" s="1320"/>
      <c r="B250" s="1320"/>
      <c r="C250" s="1323"/>
      <c r="D250" s="1323"/>
      <c r="E250" s="1323"/>
      <c r="F250" s="1323"/>
      <c r="G250" s="1323"/>
    </row>
    <row r="251" spans="1:7" ht="12" customHeight="1">
      <c r="A251" s="1320"/>
      <c r="B251" s="1320"/>
      <c r="C251" s="1323"/>
      <c r="D251" s="1323"/>
      <c r="E251" s="1323"/>
      <c r="F251" s="1323"/>
      <c r="G251" s="1323"/>
    </row>
    <row r="252" spans="1:7" ht="12" customHeight="1">
      <c r="A252" s="1320"/>
      <c r="B252" s="1320"/>
      <c r="C252" s="1323"/>
      <c r="D252" s="1323"/>
      <c r="E252" s="1323"/>
      <c r="F252" s="1323"/>
      <c r="G252" s="1323"/>
    </row>
    <row r="253" spans="1:7" ht="12" customHeight="1">
      <c r="A253" s="1320"/>
      <c r="B253" s="1320"/>
      <c r="C253" s="1323"/>
      <c r="D253" s="1323"/>
      <c r="E253" s="1323"/>
      <c r="F253" s="1323"/>
      <c r="G253" s="1323"/>
    </row>
    <row r="254" spans="1:7" ht="12" customHeight="1">
      <c r="A254" s="1320"/>
      <c r="B254" s="1320"/>
      <c r="C254" s="1323"/>
      <c r="D254" s="1323"/>
      <c r="E254" s="1323"/>
      <c r="F254" s="1323"/>
      <c r="G254" s="1323"/>
    </row>
    <row r="255" spans="1:7" ht="12" customHeight="1">
      <c r="A255" s="1320"/>
      <c r="B255" s="1320"/>
      <c r="C255" s="1323"/>
      <c r="D255" s="1323"/>
      <c r="E255" s="1323"/>
      <c r="F255" s="1323"/>
      <c r="G255" s="1323"/>
    </row>
    <row r="256" spans="1:7" ht="12" customHeight="1">
      <c r="A256" s="1320"/>
      <c r="B256" s="1320"/>
      <c r="C256" s="1323"/>
      <c r="D256" s="1323"/>
      <c r="E256" s="1323"/>
      <c r="F256" s="1323"/>
      <c r="G256" s="1323"/>
    </row>
    <row r="257" spans="1:7" ht="12" customHeight="1">
      <c r="A257" s="1320"/>
      <c r="B257" s="1320"/>
      <c r="C257" s="1323"/>
      <c r="D257" s="1323"/>
      <c r="E257" s="1323"/>
      <c r="F257" s="1323"/>
      <c r="G257" s="1323"/>
    </row>
    <row r="258" spans="1:7" ht="12" customHeight="1">
      <c r="A258" s="1320"/>
      <c r="B258" s="1320"/>
      <c r="C258" s="1323"/>
      <c r="D258" s="1323"/>
      <c r="E258" s="1323"/>
      <c r="F258" s="1323"/>
      <c r="G258" s="1323"/>
    </row>
    <row r="259" spans="1:7" ht="12" customHeight="1">
      <c r="A259" s="1320"/>
      <c r="B259" s="1320"/>
      <c r="C259" s="1323"/>
      <c r="D259" s="1323"/>
      <c r="E259" s="1323"/>
      <c r="F259" s="1323"/>
      <c r="G259" s="1323"/>
    </row>
    <row r="260" spans="1:7" ht="12" customHeight="1">
      <c r="A260" s="1320"/>
      <c r="B260" s="1320"/>
      <c r="C260" s="1323"/>
      <c r="D260" s="1323"/>
      <c r="E260" s="1323"/>
      <c r="F260" s="1323"/>
      <c r="G260" s="1323"/>
    </row>
    <row r="261" spans="1:7" ht="12" customHeight="1">
      <c r="A261" s="1320"/>
      <c r="B261" s="1320"/>
      <c r="C261" s="1323"/>
      <c r="D261" s="1323"/>
      <c r="E261" s="1323"/>
      <c r="F261" s="1323"/>
      <c r="G261" s="1323"/>
    </row>
    <row r="262" spans="1:7" ht="12" customHeight="1">
      <c r="A262" s="1320"/>
      <c r="B262" s="1320"/>
      <c r="C262" s="1323"/>
      <c r="D262" s="1323"/>
      <c r="E262" s="1323"/>
      <c r="F262" s="1323"/>
      <c r="G262" s="1323"/>
    </row>
    <row r="263" spans="1:7" ht="12" customHeight="1">
      <c r="A263" s="1320"/>
      <c r="B263" s="1320"/>
      <c r="C263" s="1323"/>
      <c r="D263" s="1323"/>
      <c r="E263" s="1323"/>
      <c r="F263" s="1323"/>
      <c r="G263" s="1323"/>
    </row>
    <row r="264" spans="1:7" ht="12" customHeight="1">
      <c r="A264" s="1320"/>
      <c r="B264" s="1320"/>
      <c r="C264" s="1323"/>
      <c r="D264" s="1323"/>
      <c r="E264" s="1323"/>
      <c r="F264" s="1323"/>
      <c r="G264" s="1323"/>
    </row>
    <row r="265" spans="1:7" ht="12" customHeight="1">
      <c r="A265" s="1320"/>
      <c r="B265" s="1320"/>
      <c r="C265" s="1323"/>
      <c r="D265" s="1323"/>
      <c r="E265" s="1323"/>
      <c r="F265" s="1323"/>
      <c r="G265" s="1323"/>
    </row>
    <row r="266" spans="1:7" ht="12" customHeight="1">
      <c r="A266" s="1320"/>
      <c r="B266" s="1320"/>
      <c r="C266" s="1323"/>
      <c r="D266" s="1323"/>
      <c r="E266" s="1323"/>
      <c r="F266" s="1323"/>
      <c r="G266" s="1323"/>
    </row>
    <row r="267" spans="1:7" ht="12" customHeight="1">
      <c r="A267" s="1320"/>
      <c r="B267" s="1320"/>
      <c r="C267" s="1323"/>
      <c r="D267" s="1323"/>
      <c r="E267" s="1323"/>
      <c r="F267" s="1323"/>
      <c r="G267" s="1323"/>
    </row>
    <row r="268" spans="1:7" ht="12" customHeight="1">
      <c r="A268" s="1320"/>
      <c r="B268" s="1320"/>
      <c r="C268" s="1323"/>
      <c r="D268" s="1323"/>
      <c r="E268" s="1323"/>
      <c r="F268" s="1323"/>
      <c r="G268" s="1323"/>
    </row>
    <row r="269" spans="1:7" ht="12" customHeight="1">
      <c r="A269" s="1320"/>
      <c r="B269" s="1320"/>
      <c r="C269" s="1323"/>
      <c r="D269" s="1323"/>
      <c r="E269" s="1323"/>
      <c r="F269" s="1323"/>
      <c r="G269" s="1323"/>
    </row>
    <row r="270" spans="1:7" ht="12" customHeight="1">
      <c r="A270" s="1320"/>
      <c r="B270" s="1320"/>
      <c r="C270" s="1323"/>
      <c r="D270" s="1323"/>
      <c r="E270" s="1323"/>
      <c r="F270" s="1323"/>
      <c r="G270" s="1323"/>
    </row>
    <row r="271" spans="1:7" ht="12" customHeight="1">
      <c r="A271" s="1320"/>
      <c r="B271" s="1320"/>
      <c r="C271" s="1323"/>
      <c r="D271" s="1323"/>
      <c r="E271" s="1323"/>
      <c r="F271" s="1323"/>
      <c r="G271" s="1323"/>
    </row>
    <row r="272" spans="1:7" ht="12" customHeight="1">
      <c r="A272" s="1320"/>
      <c r="B272" s="1320"/>
      <c r="C272" s="1323"/>
      <c r="D272" s="1323"/>
      <c r="E272" s="1323"/>
      <c r="F272" s="1323"/>
      <c r="G272" s="1323"/>
    </row>
    <row r="273" spans="1:7" ht="12" customHeight="1">
      <c r="A273" s="1320"/>
      <c r="B273" s="1320"/>
      <c r="C273" s="1323"/>
      <c r="D273" s="1323"/>
      <c r="E273" s="1323"/>
      <c r="F273" s="1323"/>
      <c r="G273" s="1323"/>
    </row>
    <row r="274" spans="1:7" ht="12" customHeight="1">
      <c r="A274" s="1320"/>
      <c r="B274" s="1320"/>
      <c r="C274" s="1323"/>
      <c r="D274" s="1323"/>
      <c r="E274" s="1323"/>
      <c r="F274" s="1323"/>
      <c r="G274" s="1323"/>
    </row>
    <row r="275" spans="1:7" ht="12" customHeight="1">
      <c r="A275" s="1320"/>
      <c r="B275" s="1320"/>
      <c r="C275" s="1323"/>
      <c r="D275" s="1323"/>
      <c r="E275" s="1323"/>
      <c r="F275" s="1323"/>
      <c r="G275" s="1323"/>
    </row>
    <row r="276" spans="1:7" ht="12" customHeight="1">
      <c r="A276" s="1320"/>
      <c r="B276" s="1320"/>
      <c r="C276" s="1323"/>
      <c r="D276" s="1323"/>
      <c r="E276" s="1323"/>
      <c r="F276" s="1323"/>
      <c r="G276" s="1323"/>
    </row>
    <row r="277" spans="1:7" ht="12" customHeight="1">
      <c r="A277" s="1320"/>
      <c r="B277" s="1320"/>
      <c r="C277" s="1323"/>
      <c r="D277" s="1323"/>
      <c r="E277" s="1323"/>
      <c r="F277" s="1323"/>
      <c r="G277" s="1323"/>
    </row>
    <row r="278" spans="1:7" ht="12" customHeight="1">
      <c r="A278" s="1320"/>
      <c r="B278" s="1320"/>
      <c r="C278" s="1323"/>
      <c r="D278" s="1323"/>
      <c r="E278" s="1323"/>
      <c r="F278" s="1323"/>
      <c r="G278" s="1323"/>
    </row>
    <row r="279" spans="1:7" ht="12" customHeight="1">
      <c r="A279" s="1320"/>
      <c r="B279" s="1320"/>
      <c r="C279" s="1323"/>
      <c r="D279" s="1323"/>
      <c r="E279" s="1323"/>
      <c r="F279" s="1323"/>
      <c r="G279" s="1323"/>
    </row>
    <row r="280" spans="1:7" ht="12" customHeight="1">
      <c r="A280" s="1320"/>
      <c r="B280" s="1320"/>
      <c r="C280" s="1323"/>
      <c r="D280" s="1323"/>
      <c r="E280" s="1323"/>
      <c r="F280" s="1323"/>
      <c r="G280" s="1323"/>
    </row>
    <row r="281" spans="1:7" ht="12" customHeight="1">
      <c r="A281" s="1320"/>
      <c r="B281" s="1320"/>
      <c r="C281" s="1323"/>
      <c r="D281" s="1323"/>
      <c r="E281" s="1323"/>
      <c r="F281" s="1323"/>
      <c r="G281" s="1323"/>
    </row>
    <row r="282" spans="1:7" ht="12" customHeight="1">
      <c r="A282" s="1320"/>
      <c r="B282" s="1320"/>
      <c r="C282" s="1323"/>
      <c r="D282" s="1323"/>
      <c r="E282" s="1323"/>
      <c r="F282" s="1323"/>
      <c r="G282" s="1323"/>
    </row>
    <row r="283" spans="1:7" ht="12" customHeight="1">
      <c r="A283" s="1320"/>
      <c r="B283" s="1320"/>
      <c r="C283" s="1323"/>
      <c r="D283" s="1323"/>
      <c r="E283" s="1323"/>
      <c r="F283" s="1323"/>
      <c r="G283" s="1323"/>
    </row>
    <row r="284" spans="1:7" ht="12" customHeight="1">
      <c r="A284" s="1320"/>
      <c r="B284" s="1320"/>
      <c r="C284" s="1323"/>
      <c r="D284" s="1323"/>
      <c r="E284" s="1323"/>
      <c r="F284" s="1323"/>
      <c r="G284" s="1323"/>
    </row>
    <row r="285" spans="1:7" ht="12" customHeight="1">
      <c r="A285" s="1320"/>
      <c r="B285" s="1320"/>
      <c r="C285" s="1323"/>
      <c r="D285" s="1323"/>
      <c r="E285" s="1323"/>
      <c r="F285" s="1323"/>
      <c r="G285" s="1323"/>
    </row>
    <row r="286" spans="1:7" ht="12" customHeight="1">
      <c r="A286" s="1320"/>
      <c r="B286" s="1320"/>
      <c r="C286" s="1323"/>
      <c r="D286" s="1323"/>
      <c r="E286" s="1323"/>
      <c r="F286" s="1323"/>
      <c r="G286" s="1323"/>
    </row>
    <row r="287" spans="1:7" ht="12" customHeight="1">
      <c r="A287" s="1320"/>
      <c r="B287" s="1320"/>
      <c r="C287" s="1323"/>
      <c r="D287" s="1323"/>
      <c r="E287" s="1323"/>
      <c r="F287" s="1323"/>
      <c r="G287" s="1323"/>
    </row>
    <row r="288" spans="1:7" ht="12" customHeight="1">
      <c r="A288" s="1320"/>
      <c r="B288" s="1320"/>
      <c r="C288" s="1323"/>
      <c r="D288" s="1323"/>
      <c r="E288" s="1323"/>
      <c r="F288" s="1323"/>
      <c r="G288" s="1323"/>
    </row>
    <row r="289" spans="1:7" ht="12" customHeight="1">
      <c r="A289" s="1320"/>
      <c r="B289" s="1320"/>
      <c r="C289" s="1323"/>
      <c r="D289" s="1323"/>
      <c r="E289" s="1323"/>
      <c r="F289" s="1323"/>
      <c r="G289" s="1323"/>
    </row>
    <row r="290" spans="1:7" ht="12" customHeight="1">
      <c r="A290" s="1320"/>
      <c r="B290" s="1320"/>
      <c r="C290" s="1323"/>
      <c r="D290" s="1323"/>
      <c r="E290" s="1323"/>
      <c r="F290" s="1323"/>
      <c r="G290" s="1323"/>
    </row>
    <row r="291" spans="1:7" ht="12" customHeight="1">
      <c r="A291" s="1320"/>
      <c r="B291" s="1320"/>
      <c r="C291" s="1323"/>
      <c r="D291" s="1323"/>
      <c r="E291" s="1323"/>
      <c r="F291" s="1323"/>
      <c r="G291" s="1323"/>
    </row>
    <row r="292" spans="1:7" ht="12" customHeight="1">
      <c r="A292" s="1320"/>
      <c r="B292" s="1320"/>
      <c r="C292" s="1323"/>
      <c r="D292" s="1323"/>
      <c r="E292" s="1323"/>
      <c r="F292" s="1323"/>
      <c r="G292" s="1323"/>
    </row>
    <row r="293" spans="1:7" ht="12" customHeight="1">
      <c r="A293" s="1320"/>
      <c r="B293" s="1320"/>
      <c r="C293" s="1323"/>
      <c r="D293" s="1323"/>
      <c r="E293" s="1323"/>
      <c r="F293" s="1323"/>
      <c r="G293" s="1323"/>
    </row>
    <row r="294" spans="1:7" ht="12" customHeight="1">
      <c r="A294" s="1320"/>
      <c r="B294" s="1320"/>
      <c r="C294" s="1323"/>
      <c r="D294" s="1323"/>
      <c r="E294" s="1323"/>
      <c r="F294" s="1323"/>
      <c r="G294" s="1323"/>
    </row>
    <row r="295" spans="1:7" ht="12" customHeight="1">
      <c r="A295" s="1320"/>
      <c r="B295" s="1320"/>
      <c r="C295" s="1323"/>
      <c r="D295" s="1323"/>
      <c r="E295" s="1323"/>
      <c r="F295" s="1323"/>
      <c r="G295" s="1323"/>
    </row>
    <row r="296" spans="1:7" ht="12" customHeight="1">
      <c r="A296" s="1320"/>
      <c r="B296" s="1320"/>
      <c r="C296" s="1323"/>
      <c r="D296" s="1323"/>
      <c r="E296" s="1323"/>
      <c r="F296" s="1323"/>
      <c r="G296" s="1323"/>
    </row>
    <row r="297" spans="1:7" ht="12" customHeight="1">
      <c r="A297" s="1320"/>
      <c r="B297" s="1320"/>
      <c r="C297" s="1323"/>
      <c r="D297" s="1323"/>
      <c r="E297" s="1323"/>
      <c r="F297" s="1323"/>
      <c r="G297" s="1323"/>
    </row>
    <row r="298" spans="1:7" ht="12" customHeight="1">
      <c r="A298" s="1320"/>
      <c r="B298" s="1320"/>
      <c r="C298" s="1323"/>
      <c r="D298" s="1323"/>
      <c r="E298" s="1323"/>
      <c r="F298" s="1323"/>
      <c r="G298" s="1323"/>
    </row>
    <row r="299" spans="1:7" ht="12" customHeight="1">
      <c r="A299" s="1320"/>
      <c r="B299" s="1320"/>
      <c r="C299" s="1323"/>
      <c r="D299" s="1323"/>
      <c r="E299" s="1323"/>
      <c r="F299" s="1323"/>
      <c r="G299" s="1323"/>
    </row>
    <row r="300" spans="1:7" ht="12" customHeight="1">
      <c r="A300" s="1320"/>
      <c r="B300" s="1320"/>
      <c r="C300" s="1323"/>
      <c r="D300" s="1323"/>
      <c r="E300" s="1323"/>
      <c r="F300" s="1323"/>
      <c r="G300" s="1323"/>
    </row>
    <row r="301" spans="1:7" ht="12" customHeight="1">
      <c r="A301" s="1320"/>
      <c r="B301" s="1320"/>
      <c r="C301" s="1323"/>
      <c r="D301" s="1323"/>
      <c r="E301" s="1323"/>
      <c r="F301" s="1323"/>
      <c r="G301" s="1323"/>
    </row>
    <row r="302" spans="1:7" ht="12" customHeight="1">
      <c r="A302" s="1320"/>
      <c r="B302" s="1320"/>
      <c r="C302" s="1323"/>
      <c r="D302" s="1323"/>
      <c r="E302" s="1323"/>
      <c r="F302" s="1323"/>
      <c r="G302" s="1323"/>
    </row>
    <row r="303" spans="1:7" ht="12" customHeight="1">
      <c r="A303" s="1320"/>
      <c r="B303" s="1320"/>
      <c r="C303" s="1323"/>
      <c r="D303" s="1323"/>
      <c r="E303" s="1323"/>
      <c r="F303" s="1323"/>
      <c r="G303" s="1323"/>
    </row>
    <row r="304" spans="1:7" ht="12" customHeight="1">
      <c r="A304" s="1320"/>
      <c r="B304" s="1320"/>
      <c r="C304" s="1323"/>
      <c r="D304" s="1323"/>
      <c r="E304" s="1323"/>
      <c r="F304" s="1323"/>
      <c r="G304" s="1323"/>
    </row>
    <row r="305" spans="1:7" ht="12" customHeight="1">
      <c r="A305" s="1320"/>
      <c r="B305" s="1320"/>
      <c r="C305" s="1323"/>
      <c r="D305" s="1323"/>
      <c r="E305" s="1323"/>
      <c r="F305" s="1323"/>
      <c r="G305" s="1323"/>
    </row>
    <row r="306" spans="1:7" ht="12" customHeight="1">
      <c r="A306" s="1320"/>
      <c r="B306" s="1320"/>
      <c r="C306" s="1323"/>
      <c r="D306" s="1323"/>
      <c r="E306" s="1323"/>
      <c r="F306" s="1323"/>
      <c r="G306" s="1323"/>
    </row>
    <row r="307" spans="1:7" ht="12" customHeight="1">
      <c r="A307" s="1320"/>
      <c r="B307" s="1320"/>
      <c r="C307" s="1323"/>
      <c r="D307" s="1323"/>
      <c r="E307" s="1323"/>
      <c r="F307" s="1323"/>
      <c r="G307" s="1323"/>
    </row>
    <row r="308" spans="1:7" ht="12" customHeight="1">
      <c r="A308" s="1320"/>
      <c r="B308" s="1320"/>
      <c r="C308" s="1323"/>
      <c r="D308" s="1323"/>
      <c r="E308" s="1323"/>
      <c r="F308" s="1323"/>
      <c r="G308" s="1323"/>
    </row>
    <row r="309" spans="1:7" ht="12" customHeight="1">
      <c r="A309" s="1320"/>
      <c r="B309" s="1320"/>
      <c r="C309" s="1323"/>
      <c r="D309" s="1323"/>
      <c r="E309" s="1323"/>
      <c r="F309" s="1323"/>
      <c r="G309" s="1323"/>
    </row>
    <row r="310" spans="1:7" ht="12" customHeight="1">
      <c r="A310" s="1320"/>
      <c r="B310" s="1320"/>
      <c r="C310" s="1323"/>
      <c r="D310" s="1323"/>
      <c r="E310" s="1323"/>
      <c r="F310" s="1323"/>
      <c r="G310" s="1323"/>
    </row>
    <row r="311" spans="1:7" ht="12" customHeight="1">
      <c r="A311" s="1320"/>
      <c r="B311" s="1320"/>
      <c r="C311" s="1323"/>
      <c r="D311" s="1323"/>
      <c r="E311" s="1323"/>
      <c r="F311" s="1323"/>
      <c r="G311" s="1323"/>
    </row>
    <row r="312" spans="1:7" ht="12" customHeight="1">
      <c r="A312" s="1320"/>
      <c r="B312" s="1320"/>
      <c r="C312" s="1323"/>
      <c r="D312" s="1323"/>
      <c r="E312" s="1323"/>
      <c r="F312" s="1323"/>
      <c r="G312" s="1323"/>
    </row>
    <row r="313" spans="1:7" ht="12" customHeight="1">
      <c r="A313" s="1320"/>
      <c r="B313" s="1320"/>
      <c r="C313" s="1323"/>
      <c r="D313" s="1323"/>
      <c r="E313" s="1323"/>
      <c r="F313" s="1323"/>
      <c r="G313" s="1323"/>
    </row>
    <row r="314" spans="1:7" ht="12" customHeight="1">
      <c r="A314" s="1320"/>
      <c r="B314" s="1320"/>
      <c r="C314" s="1323"/>
      <c r="D314" s="1323"/>
      <c r="E314" s="1323"/>
      <c r="F314" s="1323"/>
      <c r="G314" s="1323"/>
    </row>
    <row r="315" spans="1:7" ht="12" customHeight="1">
      <c r="A315" s="1320"/>
      <c r="B315" s="1320"/>
      <c r="C315" s="1323"/>
      <c r="D315" s="1323"/>
      <c r="E315" s="1323"/>
      <c r="F315" s="1323"/>
      <c r="G315" s="1323"/>
    </row>
    <row r="316" spans="1:7" ht="12" customHeight="1">
      <c r="A316" s="1320"/>
      <c r="B316" s="1320"/>
      <c r="C316" s="1323"/>
      <c r="D316" s="1323"/>
      <c r="E316" s="1323"/>
      <c r="F316" s="1323"/>
      <c r="G316" s="1323"/>
    </row>
    <row r="317" spans="1:7" ht="12" customHeight="1">
      <c r="A317" s="1320"/>
      <c r="B317" s="1320"/>
      <c r="C317" s="1323"/>
      <c r="D317" s="1323"/>
      <c r="E317" s="1323"/>
      <c r="F317" s="1323"/>
      <c r="G317" s="1323"/>
    </row>
    <row r="318" spans="1:7" ht="12" customHeight="1">
      <c r="A318" s="1320"/>
      <c r="B318" s="1320"/>
      <c r="C318" s="1323"/>
      <c r="D318" s="1323"/>
      <c r="E318" s="1323"/>
      <c r="F318" s="1323"/>
      <c r="G318" s="1323"/>
    </row>
    <row r="319" spans="1:7" ht="12" customHeight="1">
      <c r="A319" s="1320"/>
      <c r="B319" s="1320"/>
      <c r="C319" s="1323"/>
      <c r="D319" s="1323"/>
      <c r="E319" s="1323"/>
      <c r="F319" s="1323"/>
      <c r="G319" s="1323"/>
    </row>
    <row r="320" spans="1:7" ht="12" customHeight="1">
      <c r="A320" s="1320"/>
      <c r="B320" s="1320"/>
      <c r="C320" s="1323"/>
      <c r="D320" s="1323"/>
      <c r="E320" s="1323"/>
      <c r="F320" s="1323"/>
      <c r="G320" s="1323"/>
    </row>
    <row r="321" spans="1:7" ht="12" customHeight="1">
      <c r="A321" s="1320"/>
      <c r="B321" s="1320"/>
      <c r="C321" s="1323"/>
      <c r="D321" s="1323"/>
      <c r="E321" s="1323"/>
      <c r="F321" s="1323"/>
      <c r="G321" s="1323"/>
    </row>
    <row r="322" spans="1:7" ht="12" customHeight="1">
      <c r="A322" s="1320"/>
      <c r="B322" s="1320"/>
      <c r="C322" s="1323"/>
      <c r="D322" s="1323"/>
      <c r="E322" s="1323"/>
      <c r="F322" s="1323"/>
      <c r="G322" s="1323"/>
    </row>
    <row r="323" spans="1:7" ht="12" customHeight="1">
      <c r="A323" s="1320"/>
      <c r="B323" s="1320"/>
      <c r="C323" s="1323"/>
      <c r="D323" s="1323"/>
      <c r="E323" s="1323"/>
      <c r="F323" s="1323"/>
      <c r="G323" s="1323"/>
    </row>
    <row r="324" spans="1:7" ht="12" customHeight="1">
      <c r="A324" s="1320"/>
      <c r="B324" s="1320"/>
      <c r="C324" s="1323"/>
      <c r="D324" s="1323"/>
      <c r="E324" s="1323"/>
      <c r="F324" s="1323"/>
      <c r="G324" s="1323"/>
    </row>
  </sheetData>
  <sheetProtection algorithmName="SHA-512" hashValue="4hxIaEnH1Pn7uPpKybTxwZrCT/cFSmF4hGABnUhR9kyAiXrZeLgGcUs2muvvp8b3M6AfXZIYQDXGvczvyqs2Nw==" saltValue="TiOe04a8mqLzPIOK2I/fLQ==" spinCount="100000" sheet="1" objects="1" scenarios="1"/>
  <mergeCells count="1">
    <mergeCell ref="A38:E38"/>
  </mergeCells>
  <phoneticPr fontId="10" type="noConversion"/>
  <dataValidations count="3">
    <dataValidation type="whole" operator="greaterThanOrEqual" showInputMessage="1" showErrorMessage="1" errorTitle="Invalid Data Entry " error="Please enter a positive number or press the delete key or enter zero." sqref="E14:E16 C145:E155 C157:E157 C159:E170 C173:E186 C143:E143 C91:E92 C101:E105 C94:E99 C80:E88 C55:E66 C48:E52 C77:E78 C45:E46 C10:D10 C27:E29 C108:E118 C21:C24 C20:D20 D20:D23 E20:E24 C14:C18 D14:D16 D18">
      <formula1>0</formula1>
    </dataValidation>
    <dataValidation type="whole" operator="greaterThanOrEqual" showInputMessage="1" showErrorMessage="1" errorTitle="Invalid Data Entry" error="Please enter a positive number or press the delete key or enter zero." sqref="C124:E132 C121:E122">
      <formula1>0</formula1>
    </dataValidation>
    <dataValidation operator="greaterThanOrEqual" errorTitle="Invalid Data Entry " error="Please enter a positive number or press the delete key or enter zero." sqref="E17"/>
  </dataValidations>
  <hyperlinks>
    <hyperlink ref="G1" location="Contents!F1" display="Return to Contents page"/>
  </hyperlinks>
  <printOptions horizontalCentered="1"/>
  <pageMargins left="0.25" right="0.25" top="0.19" bottom="0.19" header="0.5" footer="0.5"/>
  <pageSetup scale="90" fitToHeight="3" orientation="portrait" blackAndWhite="1" r:id="rId1"/>
  <headerFooter alignWithMargins="0">
    <oddFooter>&amp;L&amp;D     &amp;T &amp;CCode No. 34&amp;RPage &amp;P</oddFooter>
  </headerFooter>
  <rowBreaks count="2" manualBreakCount="2">
    <brk id="64" max="16383" man="1"/>
    <brk id="132"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4" tint="0.39997558519241921"/>
  </sheetPr>
  <dimension ref="A1:IO280"/>
  <sheetViews>
    <sheetView zoomScaleNormal="100" workbookViewId="0">
      <selection activeCell="E69" sqref="E69"/>
    </sheetView>
  </sheetViews>
  <sheetFormatPr defaultColWidth="10.7109375" defaultRowHeight="12.6" customHeight="1"/>
  <cols>
    <col min="1" max="1" width="45.140625" style="418" customWidth="1"/>
    <col min="2" max="2" width="5.5703125" style="509" customWidth="1"/>
    <col min="3" max="4" width="14.140625" style="406" customWidth="1"/>
    <col min="5" max="5" width="14.5703125" style="406" customWidth="1"/>
    <col min="6" max="6" width="2.140625" style="406" customWidth="1"/>
    <col min="7" max="7" width="21.7109375" style="406" customWidth="1"/>
    <col min="8" max="16384" width="10.7109375" style="406"/>
  </cols>
  <sheetData>
    <row r="1" spans="1:12" ht="12.6" customHeight="1">
      <c r="A1" s="403"/>
      <c r="B1" s="404" t="s">
        <v>1019</v>
      </c>
      <c r="C1" s="502">
        <f>OPEN!B4</f>
        <v>270</v>
      </c>
      <c r="D1" s="407"/>
      <c r="E1" s="407" t="s">
        <v>1020</v>
      </c>
      <c r="F1" s="408"/>
      <c r="G1" s="3013" t="s">
        <v>866</v>
      </c>
    </row>
    <row r="2" spans="1:12" ht="12.6" customHeight="1">
      <c r="A2" s="403"/>
      <c r="B2" s="404"/>
      <c r="C2" s="409"/>
      <c r="D2" s="407"/>
      <c r="E2" s="407" t="s">
        <v>1212</v>
      </c>
      <c r="F2" s="408"/>
      <c r="G2" s="408"/>
    </row>
    <row r="3" spans="1:12" ht="12.6" customHeight="1">
      <c r="A3" s="403"/>
      <c r="B3" s="404"/>
      <c r="C3" s="403"/>
      <c r="D3" s="410"/>
      <c r="E3" s="407" t="str">
        <f>OPEN!N2</f>
        <v>2016-2017</v>
      </c>
      <c r="F3" s="408"/>
      <c r="G3" s="408"/>
    </row>
    <row r="4" spans="1:12" ht="12" customHeight="1">
      <c r="A4" s="403"/>
      <c r="B4" s="404"/>
      <c r="C4" s="403"/>
      <c r="D4" s="408"/>
      <c r="E4" s="408"/>
      <c r="F4" s="408"/>
      <c r="G4" s="408"/>
    </row>
    <row r="5" spans="1:12" ht="12.6" customHeight="1">
      <c r="A5" s="403"/>
      <c r="B5" s="404"/>
      <c r="C5" s="411" t="s">
        <v>1213</v>
      </c>
      <c r="D5" s="412" t="s">
        <v>1213</v>
      </c>
      <c r="E5" s="412" t="s">
        <v>1213</v>
      </c>
      <c r="F5" s="408"/>
      <c r="G5" s="408"/>
    </row>
    <row r="6" spans="1:12" ht="12.6" customHeight="1">
      <c r="A6" s="403"/>
      <c r="B6" s="413" t="s">
        <v>1045</v>
      </c>
      <c r="C6" s="416" t="str">
        <f>OPEN!N4</f>
        <v>2014-2015</v>
      </c>
      <c r="D6" s="416" t="str">
        <f>OPEN!O4</f>
        <v>2015-2016</v>
      </c>
      <c r="E6" s="417" t="str">
        <f>OPEN!P4</f>
        <v>2016-2017</v>
      </c>
      <c r="F6" s="408"/>
      <c r="G6" s="408"/>
      <c r="H6" s="418"/>
      <c r="I6" s="418"/>
      <c r="J6" s="418"/>
      <c r="K6" s="419"/>
      <c r="L6" s="418"/>
    </row>
    <row r="7" spans="1:12" ht="12.6" customHeight="1">
      <c r="A7" s="420" t="s">
        <v>937</v>
      </c>
      <c r="B7" s="421">
        <v>35</v>
      </c>
      <c r="C7" s="424" t="s">
        <v>1139</v>
      </c>
      <c r="D7" s="424" t="s">
        <v>1139</v>
      </c>
      <c r="E7" s="425" t="s">
        <v>1215</v>
      </c>
      <c r="F7" s="408"/>
      <c r="G7" s="408"/>
      <c r="K7" s="418"/>
      <c r="L7" s="426"/>
    </row>
    <row r="8" spans="1:12" ht="12.6" customHeight="1">
      <c r="A8" s="427" t="s">
        <v>1368</v>
      </c>
      <c r="B8" s="428" t="s">
        <v>1051</v>
      </c>
      <c r="C8" s="431">
        <v>1</v>
      </c>
      <c r="D8" s="431">
        <v>2</v>
      </c>
      <c r="E8" s="432">
        <v>3</v>
      </c>
      <c r="F8" s="408"/>
      <c r="G8" s="408"/>
      <c r="K8" s="418"/>
      <c r="L8" s="426"/>
    </row>
    <row r="9" spans="1:12" s="438" customFormat="1" ht="11.45" customHeight="1">
      <c r="A9" s="433" t="s">
        <v>1218</v>
      </c>
      <c r="B9" s="434">
        <v>1</v>
      </c>
      <c r="C9" s="2428">
        <v>67001</v>
      </c>
      <c r="D9" s="436">
        <f>C22</f>
        <v>77002</v>
      </c>
      <c r="E9" s="436">
        <f>D22</f>
        <v>79121</v>
      </c>
      <c r="F9" s="437"/>
      <c r="G9" s="437"/>
      <c r="K9" s="439"/>
      <c r="L9" s="440"/>
    </row>
    <row r="10" spans="1:12" s="438" customFormat="1" ht="11.45" customHeight="1">
      <c r="A10" s="433" t="s">
        <v>1219</v>
      </c>
      <c r="B10" s="434">
        <v>3</v>
      </c>
      <c r="C10" s="2428"/>
      <c r="D10" s="2428"/>
      <c r="E10" s="442"/>
      <c r="F10" s="437"/>
      <c r="G10" s="437"/>
      <c r="K10" s="439"/>
      <c r="L10" s="440"/>
    </row>
    <row r="11" spans="1:12" s="438" customFormat="1" ht="11.45" customHeight="1">
      <c r="A11" s="443" t="s">
        <v>1221</v>
      </c>
      <c r="B11" s="444"/>
      <c r="C11" s="2429"/>
      <c r="D11" s="2430"/>
      <c r="E11" s="2430"/>
      <c r="F11" s="437"/>
      <c r="G11" s="437"/>
      <c r="K11" s="439"/>
      <c r="L11" s="440"/>
    </row>
    <row r="12" spans="1:12" s="438" customFormat="1" ht="11.45" customHeight="1">
      <c r="A12" s="443" t="s">
        <v>724</v>
      </c>
      <c r="B12" s="444"/>
      <c r="C12" s="2430"/>
      <c r="D12" s="2430"/>
      <c r="E12" s="2430"/>
      <c r="F12" s="437"/>
      <c r="G12" s="437"/>
      <c r="K12" s="439"/>
      <c r="L12" s="440"/>
    </row>
    <row r="13" spans="1:12" ht="12.95" customHeight="1">
      <c r="A13" s="447" t="s">
        <v>712</v>
      </c>
      <c r="B13" s="448">
        <v>10</v>
      </c>
      <c r="C13" s="454"/>
      <c r="D13" s="454"/>
      <c r="E13" s="454"/>
      <c r="F13" s="408"/>
      <c r="G13" s="408"/>
      <c r="K13" s="418"/>
      <c r="L13" s="426"/>
    </row>
    <row r="14" spans="1:12" ht="12.95" customHeight="1">
      <c r="A14" s="447" t="s">
        <v>713</v>
      </c>
      <c r="B14" s="448">
        <v>15</v>
      </c>
      <c r="C14" s="2431"/>
      <c r="D14" s="2431"/>
      <c r="E14" s="2431"/>
      <c r="F14" s="408"/>
      <c r="G14" s="408"/>
      <c r="K14" s="419"/>
      <c r="L14" s="418"/>
    </row>
    <row r="15" spans="1:12" ht="12.95" customHeight="1">
      <c r="A15" s="451" t="s">
        <v>714</v>
      </c>
      <c r="B15" s="2586">
        <v>20</v>
      </c>
      <c r="C15" s="2439"/>
      <c r="D15" s="2439"/>
      <c r="E15" s="2439"/>
      <c r="F15" s="408"/>
      <c r="G15" s="408"/>
      <c r="K15" s="418"/>
      <c r="L15" s="453"/>
    </row>
    <row r="16" spans="1:12" ht="12.95" customHeight="1">
      <c r="A16" s="443" t="s">
        <v>726</v>
      </c>
      <c r="B16" s="2587"/>
      <c r="C16" s="2429"/>
      <c r="D16" s="2429"/>
      <c r="E16" s="2429"/>
      <c r="F16" s="408"/>
      <c r="G16" s="408"/>
      <c r="K16" s="418"/>
      <c r="L16" s="453"/>
    </row>
    <row r="17" spans="1:12" ht="12.95" customHeight="1">
      <c r="A17" s="455" t="s">
        <v>336</v>
      </c>
      <c r="B17" s="2588">
        <v>30</v>
      </c>
      <c r="C17" s="454">
        <v>33064</v>
      </c>
      <c r="D17" s="454">
        <v>41820</v>
      </c>
      <c r="E17" s="454"/>
      <c r="F17" s="408"/>
      <c r="G17" s="408"/>
      <c r="K17" s="418"/>
      <c r="L17" s="453"/>
    </row>
    <row r="18" spans="1:12" ht="12.95" customHeight="1">
      <c r="A18" s="455" t="s">
        <v>946</v>
      </c>
      <c r="B18" s="448">
        <v>32</v>
      </c>
      <c r="C18" s="454"/>
      <c r="D18" s="454"/>
      <c r="E18" s="454"/>
      <c r="F18" s="408"/>
      <c r="G18" s="408"/>
      <c r="K18" s="418"/>
      <c r="L18" s="453"/>
    </row>
    <row r="19" spans="1:12" ht="14.1" customHeight="1">
      <c r="A19" s="447" t="s">
        <v>715</v>
      </c>
      <c r="B19" s="448">
        <v>35</v>
      </c>
      <c r="C19" s="454">
        <v>38312</v>
      </c>
      <c r="D19" s="454">
        <v>14669</v>
      </c>
      <c r="E19" s="454"/>
      <c r="F19" s="408"/>
      <c r="G19" s="408"/>
      <c r="K19" s="418"/>
      <c r="L19" s="453"/>
    </row>
    <row r="20" spans="1:12" s="438" customFormat="1" ht="11.45" customHeight="1">
      <c r="A20" s="457" t="s">
        <v>1245</v>
      </c>
      <c r="B20" s="434">
        <v>170</v>
      </c>
      <c r="C20" s="436">
        <f>SUM(C9:C19)</f>
        <v>138377</v>
      </c>
      <c r="D20" s="436">
        <f>SUM(D9:D19)</f>
        <v>133491</v>
      </c>
      <c r="E20" s="436">
        <f>SUM(E9:E19)</f>
        <v>79121</v>
      </c>
      <c r="F20" s="459"/>
      <c r="G20" s="460"/>
    </row>
    <row r="21" spans="1:12" s="438" customFormat="1" ht="11.45" customHeight="1">
      <c r="A21" s="433" t="s">
        <v>1248</v>
      </c>
      <c r="B21" s="434">
        <v>175</v>
      </c>
      <c r="C21" s="436">
        <f>C247</f>
        <v>61375</v>
      </c>
      <c r="D21" s="436">
        <f>D247</f>
        <v>54370</v>
      </c>
      <c r="E21" s="436">
        <f>IF(E247&lt;=E20,E247,"ERROR")</f>
        <v>50000</v>
      </c>
      <c r="F21" s="459"/>
      <c r="G21" s="3095" t="str">
        <f>IF(E21="ERROR","Expenditures must be less than or equal to the Resources Available","")</f>
        <v/>
      </c>
    </row>
    <row r="22" spans="1:12" s="438" customFormat="1" ht="11.45" customHeight="1">
      <c r="A22" s="433" t="s">
        <v>1250</v>
      </c>
      <c r="B22" s="434">
        <v>190</v>
      </c>
      <c r="C22" s="436">
        <f>C20-C21</f>
        <v>77002</v>
      </c>
      <c r="D22" s="436">
        <f>D20-D21</f>
        <v>79121</v>
      </c>
      <c r="E22" s="436">
        <f>IF(ISERROR(E20-E21),"NEGATIVE",E20-E21)</f>
        <v>29121</v>
      </c>
      <c r="F22" s="461"/>
      <c r="G22" s="437"/>
      <c r="H22" s="437"/>
      <c r="I22" s="437"/>
    </row>
    <row r="23" spans="1:12" ht="12" customHeight="1">
      <c r="A23" s="403"/>
      <c r="B23" s="403"/>
      <c r="C23" s="403"/>
      <c r="D23" s="403"/>
      <c r="E23" s="403"/>
      <c r="F23" s="403"/>
      <c r="G23" s="408"/>
      <c r="H23" s="408"/>
      <c r="I23" s="408"/>
    </row>
    <row r="24" spans="1:12" ht="12" customHeight="1">
      <c r="A24" s="5288" t="s">
        <v>716</v>
      </c>
      <c r="B24" s="5288"/>
      <c r="C24" s="5288"/>
      <c r="D24" s="5288"/>
      <c r="E24" s="5288"/>
      <c r="F24" s="403"/>
      <c r="G24" s="408"/>
      <c r="H24" s="408"/>
      <c r="I24" s="408"/>
    </row>
    <row r="25" spans="1:12" ht="12" customHeight="1">
      <c r="A25" s="2432"/>
      <c r="B25" s="2432"/>
      <c r="C25" s="2432"/>
      <c r="D25" s="2432"/>
      <c r="E25" s="2432"/>
      <c r="F25" s="403"/>
      <c r="G25" s="408"/>
      <c r="H25" s="408"/>
      <c r="I25" s="408"/>
    </row>
    <row r="26" spans="1:12" ht="15" customHeight="1">
      <c r="A26" s="5289" t="s">
        <v>2639</v>
      </c>
      <c r="B26" s="5290"/>
      <c r="C26" s="5290"/>
      <c r="D26" s="5290"/>
      <c r="E26" s="5290"/>
      <c r="F26" s="403"/>
      <c r="G26" s="408"/>
      <c r="H26" s="408"/>
      <c r="I26" s="408"/>
    </row>
    <row r="27" spans="1:12" ht="14.25">
      <c r="A27" s="3776" t="s">
        <v>2640</v>
      </c>
      <c r="B27" s="403"/>
      <c r="C27" s="403"/>
      <c r="D27" s="403"/>
      <c r="E27" s="403"/>
      <c r="F27" s="403"/>
      <c r="G27" s="408"/>
      <c r="H27" s="408"/>
      <c r="I27" s="408"/>
    </row>
    <row r="28" spans="1:12" ht="14.25">
      <c r="A28" s="3777" t="s">
        <v>2641</v>
      </c>
      <c r="B28" s="403"/>
      <c r="C28" s="403"/>
      <c r="D28" s="403"/>
      <c r="E28" s="403"/>
      <c r="F28" s="403"/>
      <c r="G28" s="408"/>
      <c r="H28" s="408"/>
      <c r="I28" s="408"/>
    </row>
    <row r="29" spans="1:12" ht="14.25">
      <c r="A29" s="2433"/>
      <c r="B29" s="403"/>
      <c r="C29" s="403"/>
      <c r="D29" s="403"/>
      <c r="E29" s="403"/>
      <c r="F29" s="403"/>
      <c r="G29" s="408"/>
      <c r="H29" s="408"/>
      <c r="I29" s="408"/>
    </row>
    <row r="30" spans="1:12" ht="14.25" customHeight="1">
      <c r="A30" s="2433" t="s">
        <v>717</v>
      </c>
      <c r="B30" s="403"/>
      <c r="C30" s="403"/>
      <c r="D30" s="403"/>
      <c r="E30" s="403"/>
      <c r="F30" s="403"/>
      <c r="G30" s="408"/>
      <c r="H30" s="408"/>
      <c r="I30" s="408"/>
    </row>
    <row r="31" spans="1:12" ht="14.25" customHeight="1">
      <c r="A31" s="2434" t="s">
        <v>718</v>
      </c>
      <c r="B31" s="403"/>
      <c r="C31" s="403"/>
      <c r="D31" s="403"/>
      <c r="E31" s="403"/>
      <c r="F31" s="403"/>
      <c r="G31" s="408"/>
      <c r="H31" s="408"/>
      <c r="I31" s="408"/>
    </row>
    <row r="32" spans="1:12" ht="14.25" customHeight="1">
      <c r="A32" s="2434" t="s">
        <v>719</v>
      </c>
      <c r="B32" s="403"/>
      <c r="C32" s="403"/>
      <c r="D32" s="403"/>
      <c r="E32" s="403"/>
      <c r="F32" s="403"/>
      <c r="G32" s="408"/>
      <c r="H32" s="408"/>
      <c r="I32" s="408"/>
    </row>
    <row r="33" spans="1:249" ht="14.25" customHeight="1">
      <c r="A33" s="2434" t="s">
        <v>720</v>
      </c>
      <c r="B33" s="403"/>
      <c r="C33" s="403"/>
      <c r="D33" s="403"/>
      <c r="E33" s="403"/>
      <c r="F33" s="403"/>
      <c r="G33" s="408"/>
      <c r="H33" s="408"/>
      <c r="I33" s="408"/>
    </row>
    <row r="34" spans="1:249" ht="14.25" customHeight="1">
      <c r="A34" s="2434" t="s">
        <v>721</v>
      </c>
      <c r="B34" s="3769"/>
      <c r="C34" s="403"/>
      <c r="D34" s="403"/>
      <c r="E34" s="403"/>
      <c r="F34" s="403"/>
      <c r="G34" s="408"/>
      <c r="H34" s="408"/>
      <c r="I34" s="408"/>
    </row>
    <row r="35" spans="1:249" ht="14.25" customHeight="1">
      <c r="A35" s="3769" t="s">
        <v>722</v>
      </c>
      <c r="B35" s="3770"/>
      <c r="C35" s="3770"/>
      <c r="D35" s="3770"/>
      <c r="E35" s="3770"/>
    </row>
    <row r="36" spans="1:249" ht="14.25" customHeight="1">
      <c r="A36" s="3775" t="s">
        <v>723</v>
      </c>
      <c r="B36" s="403"/>
      <c r="C36" s="403"/>
      <c r="D36" s="403"/>
      <c r="E36" s="403"/>
      <c r="F36" s="403"/>
      <c r="G36" s="408"/>
      <c r="H36" s="408"/>
      <c r="I36" s="408"/>
    </row>
    <row r="37" spans="1:249" ht="12" customHeight="1">
      <c r="A37" s="406"/>
      <c r="B37" s="462"/>
      <c r="C37" s="464"/>
      <c r="D37" s="464"/>
      <c r="E37" s="464"/>
      <c r="F37" s="408"/>
      <c r="G37" s="408"/>
    </row>
    <row r="38" spans="1:249" ht="12" customHeight="1">
      <c r="A38" s="403"/>
      <c r="B38" s="404"/>
      <c r="C38" s="403"/>
      <c r="D38" s="408"/>
      <c r="E38" s="408"/>
      <c r="F38" s="404"/>
      <c r="G38" s="403"/>
      <c r="H38" s="403"/>
      <c r="I38" s="403"/>
      <c r="J38" s="403"/>
      <c r="K38" s="408"/>
      <c r="L38" s="404"/>
      <c r="M38" s="403"/>
      <c r="N38" s="403"/>
      <c r="O38" s="403"/>
      <c r="P38" s="403"/>
      <c r="Q38" s="408"/>
      <c r="R38" s="403"/>
      <c r="S38" s="404"/>
      <c r="T38" s="404"/>
      <c r="U38" s="403"/>
      <c r="V38" s="403"/>
      <c r="W38" s="403"/>
      <c r="X38" s="403"/>
      <c r="Y38" s="408"/>
      <c r="Z38" s="403"/>
      <c r="AA38" s="404"/>
      <c r="AB38" s="404"/>
      <c r="AC38" s="403"/>
      <c r="AD38" s="403"/>
      <c r="AE38" s="403"/>
      <c r="AF38" s="403"/>
      <c r="AG38" s="408"/>
      <c r="AH38" s="403"/>
      <c r="AI38" s="404"/>
      <c r="AJ38" s="404"/>
      <c r="AK38" s="403"/>
      <c r="AL38" s="403"/>
      <c r="AM38" s="403"/>
      <c r="AN38" s="403"/>
      <c r="AO38" s="408"/>
      <c r="AP38" s="403"/>
      <c r="AQ38" s="404"/>
      <c r="AR38" s="404"/>
      <c r="AS38" s="403"/>
      <c r="AT38" s="403"/>
      <c r="AU38" s="403"/>
      <c r="AV38" s="403"/>
      <c r="AW38" s="408"/>
      <c r="AX38" s="403"/>
      <c r="AY38" s="404"/>
      <c r="AZ38" s="404"/>
      <c r="BA38" s="403"/>
      <c r="BB38" s="403"/>
      <c r="BC38" s="403"/>
      <c r="BD38" s="403"/>
      <c r="BE38" s="408"/>
      <c r="BF38" s="403"/>
      <c r="BG38" s="404"/>
      <c r="BH38" s="404"/>
      <c r="BI38" s="403"/>
      <c r="BJ38" s="403"/>
      <c r="BK38" s="403"/>
      <c r="BL38" s="403"/>
      <c r="BM38" s="408"/>
      <c r="BN38" s="403"/>
      <c r="BO38" s="404"/>
      <c r="BP38" s="404"/>
      <c r="BQ38" s="403"/>
      <c r="BR38" s="403"/>
      <c r="BS38" s="403"/>
      <c r="BT38" s="403"/>
      <c r="BU38" s="408"/>
      <c r="BV38" s="403"/>
      <c r="BW38" s="404"/>
      <c r="BX38" s="404"/>
      <c r="BY38" s="403"/>
      <c r="BZ38" s="403"/>
      <c r="CA38" s="403"/>
      <c r="CB38" s="403"/>
      <c r="CC38" s="408"/>
      <c r="CD38" s="403"/>
      <c r="CE38" s="404"/>
      <c r="CF38" s="404"/>
      <c r="CG38" s="403"/>
      <c r="CH38" s="403"/>
      <c r="CI38" s="403"/>
      <c r="CJ38" s="403"/>
      <c r="CK38" s="408"/>
      <c r="CL38" s="403"/>
      <c r="CM38" s="404"/>
      <c r="CN38" s="404"/>
      <c r="CO38" s="403"/>
      <c r="CP38" s="403"/>
      <c r="CQ38" s="403"/>
      <c r="CR38" s="403"/>
      <c r="CS38" s="408"/>
      <c r="CT38" s="403"/>
      <c r="CU38" s="404"/>
      <c r="CV38" s="404"/>
      <c r="CW38" s="403"/>
      <c r="CX38" s="403"/>
      <c r="CY38" s="403"/>
      <c r="CZ38" s="403"/>
      <c r="DA38" s="408"/>
      <c r="DB38" s="403"/>
      <c r="DC38" s="404"/>
      <c r="DD38" s="404"/>
      <c r="DE38" s="403"/>
      <c r="DF38" s="403"/>
      <c r="DG38" s="403"/>
      <c r="DH38" s="403"/>
      <c r="DI38" s="408"/>
      <c r="DJ38" s="403"/>
      <c r="DK38" s="404"/>
      <c r="DL38" s="404"/>
      <c r="DM38" s="403"/>
      <c r="DN38" s="403"/>
      <c r="DO38" s="403"/>
      <c r="DP38" s="403"/>
      <c r="DQ38" s="408"/>
      <c r="DR38" s="403"/>
      <c r="DS38" s="404"/>
      <c r="DT38" s="404"/>
      <c r="DU38" s="403"/>
      <c r="DV38" s="403"/>
      <c r="DW38" s="403"/>
      <c r="DX38" s="403"/>
      <c r="DY38" s="408"/>
      <c r="DZ38" s="403"/>
      <c r="EA38" s="404"/>
      <c r="EB38" s="404"/>
      <c r="EC38" s="403"/>
      <c r="ED38" s="403"/>
      <c r="EE38" s="403"/>
      <c r="EF38" s="403"/>
      <c r="EG38" s="408"/>
      <c r="EH38" s="403"/>
      <c r="EI38" s="404"/>
      <c r="EJ38" s="404"/>
      <c r="EK38" s="403"/>
      <c r="EL38" s="403"/>
      <c r="EM38" s="403"/>
      <c r="EN38" s="403"/>
      <c r="EO38" s="408"/>
      <c r="EP38" s="403"/>
      <c r="EQ38" s="404"/>
      <c r="ER38" s="404"/>
      <c r="ES38" s="403"/>
      <c r="ET38" s="403"/>
      <c r="EU38" s="403"/>
      <c r="EV38" s="403"/>
      <c r="EW38" s="408"/>
      <c r="EX38" s="403"/>
      <c r="EY38" s="404"/>
      <c r="EZ38" s="404"/>
      <c r="FA38" s="403"/>
      <c r="FB38" s="403"/>
      <c r="FC38" s="403"/>
      <c r="FD38" s="403"/>
      <c r="FE38" s="408"/>
      <c r="FF38" s="403"/>
      <c r="FG38" s="404"/>
      <c r="FH38" s="404"/>
      <c r="FI38" s="403"/>
      <c r="FJ38" s="403"/>
      <c r="FK38" s="403"/>
      <c r="FL38" s="403"/>
      <c r="FM38" s="408"/>
      <c r="FN38" s="403"/>
      <c r="FO38" s="404"/>
      <c r="FP38" s="404"/>
      <c r="FQ38" s="403"/>
      <c r="FR38" s="403"/>
      <c r="FS38" s="403"/>
      <c r="FT38" s="403"/>
      <c r="FU38" s="408"/>
      <c r="FV38" s="403"/>
      <c r="FW38" s="404"/>
      <c r="FX38" s="404"/>
      <c r="FY38" s="403"/>
      <c r="FZ38" s="403"/>
      <c r="GA38" s="403"/>
      <c r="GB38" s="403"/>
      <c r="GC38" s="408"/>
      <c r="GD38" s="403"/>
      <c r="GE38" s="404"/>
      <c r="GF38" s="404"/>
      <c r="GG38" s="403"/>
      <c r="GH38" s="403"/>
      <c r="GI38" s="403"/>
      <c r="GJ38" s="403"/>
      <c r="GK38" s="408"/>
      <c r="GL38" s="403"/>
      <c r="GM38" s="404"/>
      <c r="GN38" s="404"/>
      <c r="GO38" s="403"/>
      <c r="GP38" s="403"/>
      <c r="GQ38" s="403"/>
      <c r="GR38" s="403"/>
      <c r="GS38" s="408"/>
      <c r="GT38" s="403"/>
      <c r="GU38" s="404"/>
      <c r="GV38" s="404"/>
      <c r="GW38" s="403"/>
      <c r="GX38" s="403"/>
      <c r="GY38" s="403"/>
      <c r="GZ38" s="403"/>
      <c r="HA38" s="408"/>
      <c r="HB38" s="403"/>
      <c r="HC38" s="404"/>
      <c r="HD38" s="404"/>
      <c r="HE38" s="403"/>
      <c r="HF38" s="403"/>
      <c r="HG38" s="403"/>
      <c r="HH38" s="403"/>
      <c r="HI38" s="408"/>
      <c r="HJ38" s="403"/>
      <c r="HK38" s="404"/>
      <c r="HL38" s="404"/>
      <c r="HM38" s="403"/>
      <c r="HN38" s="403"/>
      <c r="HO38" s="403"/>
      <c r="HP38" s="403"/>
      <c r="HQ38" s="408"/>
      <c r="HR38" s="403"/>
      <c r="HS38" s="404"/>
      <c r="HT38" s="404"/>
      <c r="HU38" s="403"/>
      <c r="HV38" s="403"/>
      <c r="HW38" s="403"/>
      <c r="HX38" s="403"/>
      <c r="HY38" s="408"/>
      <c r="HZ38" s="403"/>
      <c r="IA38" s="404"/>
      <c r="IB38" s="404"/>
      <c r="IC38" s="403"/>
      <c r="ID38" s="403"/>
      <c r="IE38" s="403"/>
      <c r="IF38" s="403"/>
      <c r="IG38" s="408"/>
      <c r="IH38" s="403"/>
      <c r="II38" s="404"/>
      <c r="IJ38" s="404"/>
      <c r="IK38" s="403"/>
      <c r="IL38" s="403"/>
      <c r="IM38" s="403"/>
      <c r="IN38" s="403"/>
      <c r="IO38" s="408"/>
    </row>
    <row r="39" spans="1:249" ht="12.6" customHeight="1">
      <c r="A39" s="403"/>
      <c r="B39" s="404"/>
      <c r="C39" s="411" t="s">
        <v>1213</v>
      </c>
      <c r="D39" s="411" t="s">
        <v>1213</v>
      </c>
      <c r="E39" s="411" t="s">
        <v>1213</v>
      </c>
      <c r="F39" s="408"/>
      <c r="G39" s="408"/>
    </row>
    <row r="40" spans="1:249" ht="12.6" customHeight="1">
      <c r="A40" s="403"/>
      <c r="B40" s="414" t="s">
        <v>1045</v>
      </c>
      <c r="C40" s="416" t="str">
        <f>C6</f>
        <v>2014-2015</v>
      </c>
      <c r="D40" s="416" t="str">
        <f>D6</f>
        <v>2015-2016</v>
      </c>
      <c r="E40" s="416" t="str">
        <f>E6</f>
        <v>2016-2017</v>
      </c>
      <c r="F40" s="408"/>
      <c r="G40" s="408"/>
    </row>
    <row r="41" spans="1:249" ht="12.6" customHeight="1">
      <c r="A41" s="420" t="s">
        <v>938</v>
      </c>
      <c r="B41" s="422">
        <v>35</v>
      </c>
      <c r="C41" s="424" t="s">
        <v>1139</v>
      </c>
      <c r="D41" s="424" t="s">
        <v>1139</v>
      </c>
      <c r="E41" s="424" t="s">
        <v>1215</v>
      </c>
      <c r="F41" s="408"/>
      <c r="G41" s="408"/>
    </row>
    <row r="42" spans="1:249" ht="12.6" customHeight="1">
      <c r="A42" s="427" t="s">
        <v>1368</v>
      </c>
      <c r="B42" s="429" t="s">
        <v>1051</v>
      </c>
      <c r="C42" s="431">
        <v>1</v>
      </c>
      <c r="D42" s="431">
        <v>2</v>
      </c>
      <c r="E42" s="431">
        <v>3</v>
      </c>
      <c r="F42" s="408"/>
      <c r="G42" s="408"/>
    </row>
    <row r="43" spans="1:249" ht="12.6" customHeight="1">
      <c r="A43" s="465" t="s">
        <v>1267</v>
      </c>
      <c r="B43" s="413"/>
      <c r="C43" s="467"/>
      <c r="D43" s="467"/>
      <c r="E43" s="467"/>
      <c r="F43" s="408"/>
      <c r="G43" s="408"/>
    </row>
    <row r="44" spans="1:249" ht="12.6" customHeight="1">
      <c r="A44" s="468" t="s">
        <v>1268</v>
      </c>
      <c r="B44" s="421"/>
      <c r="C44" s="470"/>
      <c r="D44" s="470"/>
      <c r="E44" s="470"/>
      <c r="F44" s="408"/>
      <c r="G44" s="408"/>
    </row>
    <row r="45" spans="1:249" ht="12.6" customHeight="1">
      <c r="A45" s="471" t="s">
        <v>1269</v>
      </c>
      <c r="B45" s="428">
        <v>210</v>
      </c>
      <c r="C45" s="473"/>
      <c r="D45" s="473"/>
      <c r="E45" s="473"/>
      <c r="F45" s="408"/>
      <c r="G45" s="408"/>
    </row>
    <row r="46" spans="1:249" ht="12.6" customHeight="1">
      <c r="A46" s="474" t="s">
        <v>1270</v>
      </c>
      <c r="B46" s="475">
        <v>215</v>
      </c>
      <c r="C46" s="477"/>
      <c r="D46" s="477"/>
      <c r="E46" s="477"/>
      <c r="F46" s="408"/>
      <c r="G46" s="408"/>
    </row>
    <row r="47" spans="1:249" ht="12.6" customHeight="1">
      <c r="A47" s="465" t="s">
        <v>1271</v>
      </c>
      <c r="B47" s="413"/>
      <c r="C47" s="467"/>
      <c r="D47" s="467"/>
      <c r="E47" s="466"/>
      <c r="F47" s="408"/>
      <c r="G47" s="408"/>
    </row>
    <row r="48" spans="1:249" ht="12.6" customHeight="1">
      <c r="A48" s="471" t="s">
        <v>1272</v>
      </c>
      <c r="B48" s="428">
        <v>220</v>
      </c>
      <c r="C48" s="473"/>
      <c r="D48" s="473"/>
      <c r="E48" s="472"/>
      <c r="F48" s="408"/>
      <c r="G48" s="408"/>
    </row>
    <row r="49" spans="1:7" ht="12.6" customHeight="1">
      <c r="A49" s="474" t="s">
        <v>1273</v>
      </c>
      <c r="B49" s="475">
        <v>225</v>
      </c>
      <c r="C49" s="477"/>
      <c r="D49" s="477"/>
      <c r="E49" s="476"/>
      <c r="F49" s="408"/>
      <c r="G49" s="408"/>
    </row>
    <row r="50" spans="1:7" ht="12.6" customHeight="1">
      <c r="A50" s="474" t="s">
        <v>1276</v>
      </c>
      <c r="B50" s="475">
        <v>230</v>
      </c>
      <c r="C50" s="477"/>
      <c r="D50" s="477"/>
      <c r="E50" s="476"/>
      <c r="F50" s="408"/>
      <c r="G50" s="408"/>
    </row>
    <row r="51" spans="1:7" ht="12.6" customHeight="1">
      <c r="A51" s="465" t="s">
        <v>1281</v>
      </c>
      <c r="B51" s="428">
        <v>235</v>
      </c>
      <c r="C51" s="2435"/>
      <c r="D51" s="2435"/>
      <c r="E51" s="482"/>
      <c r="F51" s="408"/>
      <c r="G51" s="408"/>
    </row>
    <row r="52" spans="1:7" ht="12.6" customHeight="1">
      <c r="A52" s="2906" t="s">
        <v>711</v>
      </c>
      <c r="B52" s="496">
        <v>237</v>
      </c>
      <c r="C52" s="2435"/>
      <c r="D52" s="2435"/>
      <c r="E52" s="482"/>
      <c r="F52" s="408"/>
      <c r="G52" s="408"/>
    </row>
    <row r="53" spans="1:7" ht="12.6" customHeight="1">
      <c r="A53" s="465" t="s">
        <v>1282</v>
      </c>
      <c r="B53" s="413"/>
      <c r="C53" s="467"/>
      <c r="D53" s="467"/>
      <c r="E53" s="466"/>
      <c r="F53" s="408"/>
      <c r="G53" s="408"/>
    </row>
    <row r="54" spans="1:7" ht="12.6" customHeight="1">
      <c r="A54" s="468" t="s">
        <v>1283</v>
      </c>
      <c r="B54" s="421"/>
      <c r="C54" s="470"/>
      <c r="D54" s="470"/>
      <c r="E54" s="469"/>
      <c r="F54" s="408"/>
      <c r="G54" s="408"/>
    </row>
    <row r="55" spans="1:7" ht="12.6" customHeight="1">
      <c r="A55" s="471" t="s">
        <v>1284</v>
      </c>
      <c r="B55" s="428">
        <v>240</v>
      </c>
      <c r="C55" s="473"/>
      <c r="D55" s="473"/>
      <c r="E55" s="472"/>
      <c r="F55" s="408"/>
      <c r="G55" s="408"/>
    </row>
    <row r="56" spans="1:7" ht="12.6" customHeight="1">
      <c r="A56" s="465" t="s">
        <v>1285</v>
      </c>
      <c r="B56" s="413">
        <v>245</v>
      </c>
      <c r="C56" s="2435"/>
      <c r="D56" s="2435"/>
      <c r="E56" s="482"/>
      <c r="F56" s="408"/>
      <c r="G56" s="408"/>
    </row>
    <row r="57" spans="1:7" ht="12.6" customHeight="1">
      <c r="A57" s="474" t="s">
        <v>1286</v>
      </c>
      <c r="B57" s="475">
        <v>250</v>
      </c>
      <c r="C57" s="477"/>
      <c r="D57" s="477"/>
      <c r="E57" s="476"/>
      <c r="F57" s="408"/>
      <c r="G57" s="408"/>
    </row>
    <row r="58" spans="1:7" ht="12.6" customHeight="1">
      <c r="A58" s="474" t="s">
        <v>1287</v>
      </c>
      <c r="B58" s="475">
        <v>255</v>
      </c>
      <c r="C58" s="477"/>
      <c r="D58" s="477"/>
      <c r="E58" s="476"/>
      <c r="F58" s="408"/>
      <c r="G58" s="408"/>
    </row>
    <row r="59" spans="1:7" ht="12.6" customHeight="1">
      <c r="A59" s="403"/>
      <c r="B59" s="404" t="s">
        <v>1019</v>
      </c>
      <c r="C59" s="502">
        <f>C1</f>
        <v>270</v>
      </c>
      <c r="D59" s="407"/>
      <c r="E59" s="407" t="s">
        <v>1020</v>
      </c>
      <c r="F59" s="408"/>
      <c r="G59" s="408"/>
    </row>
    <row r="60" spans="1:7" ht="12.6" customHeight="1">
      <c r="A60" s="403"/>
      <c r="B60" s="404"/>
      <c r="C60" s="409"/>
      <c r="D60" s="407"/>
      <c r="E60" s="407" t="s">
        <v>1212</v>
      </c>
      <c r="F60" s="408"/>
      <c r="G60" s="408"/>
    </row>
    <row r="61" spans="1:7" ht="12.6" customHeight="1">
      <c r="A61" s="403"/>
      <c r="B61" s="404"/>
      <c r="C61" s="403"/>
      <c r="D61" s="410"/>
      <c r="E61" s="407" t="str">
        <f>E3</f>
        <v>2016-2017</v>
      </c>
      <c r="F61" s="408"/>
      <c r="G61" s="408"/>
    </row>
    <row r="62" spans="1:7" ht="12.6" customHeight="1">
      <c r="A62" s="403"/>
      <c r="B62" s="404"/>
      <c r="C62" s="403"/>
      <c r="D62" s="408"/>
      <c r="E62" s="408"/>
      <c r="F62" s="408"/>
      <c r="G62" s="408"/>
    </row>
    <row r="63" spans="1:7" ht="12.6" customHeight="1">
      <c r="A63" s="403"/>
      <c r="B63" s="404"/>
      <c r="C63" s="411" t="s">
        <v>1213</v>
      </c>
      <c r="D63" s="411" t="s">
        <v>1213</v>
      </c>
      <c r="E63" s="411" t="s">
        <v>1213</v>
      </c>
      <c r="F63" s="408"/>
      <c r="G63" s="408"/>
    </row>
    <row r="64" spans="1:7" ht="12.6" customHeight="1">
      <c r="A64" s="403"/>
      <c r="B64" s="414" t="s">
        <v>1045</v>
      </c>
      <c r="C64" s="416" t="str">
        <f>C6</f>
        <v>2014-2015</v>
      </c>
      <c r="D64" s="416" t="str">
        <f>D6</f>
        <v>2015-2016</v>
      </c>
      <c r="E64" s="416" t="str">
        <f>E6</f>
        <v>2016-2017</v>
      </c>
      <c r="F64" s="408"/>
      <c r="G64" s="408"/>
    </row>
    <row r="65" spans="1:7" ht="12.6" customHeight="1">
      <c r="A65" s="420" t="s">
        <v>938</v>
      </c>
      <c r="B65" s="422">
        <v>35</v>
      </c>
      <c r="C65" s="424" t="s">
        <v>1139</v>
      </c>
      <c r="D65" s="424" t="s">
        <v>1139</v>
      </c>
      <c r="E65" s="424" t="s">
        <v>1215</v>
      </c>
      <c r="F65" s="408"/>
      <c r="G65" s="408"/>
    </row>
    <row r="66" spans="1:7" ht="12.6" customHeight="1">
      <c r="A66" s="427" t="s">
        <v>1368</v>
      </c>
      <c r="B66" s="429" t="s">
        <v>1051</v>
      </c>
      <c r="C66" s="431">
        <v>1</v>
      </c>
      <c r="D66" s="431">
        <v>2</v>
      </c>
      <c r="E66" s="431">
        <v>3</v>
      </c>
      <c r="F66" s="408"/>
      <c r="G66" s="408"/>
    </row>
    <row r="67" spans="1:7" ht="12.6" customHeight="1">
      <c r="A67" s="468" t="s">
        <v>1288</v>
      </c>
      <c r="B67" s="421"/>
      <c r="C67" s="470"/>
      <c r="D67" s="470"/>
      <c r="E67" s="469"/>
      <c r="F67" s="408"/>
      <c r="G67" s="408"/>
    </row>
    <row r="68" spans="1:7" ht="12.6" customHeight="1">
      <c r="A68" s="471" t="s">
        <v>1289</v>
      </c>
      <c r="B68" s="428">
        <v>260</v>
      </c>
      <c r="C68" s="473">
        <v>59477</v>
      </c>
      <c r="D68" s="473">
        <v>53720</v>
      </c>
      <c r="E68" s="472">
        <v>20000</v>
      </c>
      <c r="F68" s="408"/>
      <c r="G68" s="408"/>
    </row>
    <row r="69" spans="1:7" ht="12.6" customHeight="1">
      <c r="A69" s="474" t="s">
        <v>1290</v>
      </c>
      <c r="B69" s="475">
        <v>265</v>
      </c>
      <c r="C69" s="477"/>
      <c r="D69" s="477"/>
      <c r="E69" s="476"/>
      <c r="F69" s="408"/>
      <c r="G69" s="408"/>
    </row>
    <row r="70" spans="1:7" ht="12.6" customHeight="1">
      <c r="A70" s="2907" t="s">
        <v>1256</v>
      </c>
      <c r="B70" s="500">
        <v>267</v>
      </c>
      <c r="C70" s="477"/>
      <c r="D70" s="477"/>
      <c r="E70" s="476"/>
      <c r="F70" s="408"/>
      <c r="G70" s="408"/>
    </row>
    <row r="71" spans="1:7" ht="12.6" customHeight="1">
      <c r="A71" s="474" t="s">
        <v>1291</v>
      </c>
      <c r="B71" s="475">
        <v>270</v>
      </c>
      <c r="C71" s="477"/>
      <c r="D71" s="477"/>
      <c r="E71" s="476"/>
      <c r="F71" s="408"/>
      <c r="G71" s="408"/>
    </row>
    <row r="72" spans="1:7" ht="12.6" customHeight="1">
      <c r="A72" s="471" t="s">
        <v>1292</v>
      </c>
      <c r="B72" s="428">
        <v>275</v>
      </c>
      <c r="C72" s="473"/>
      <c r="D72" s="473">
        <v>650</v>
      </c>
      <c r="E72" s="472">
        <v>30000</v>
      </c>
      <c r="F72" s="408"/>
      <c r="G72" s="408"/>
    </row>
    <row r="73" spans="1:7" ht="12.6" customHeight="1">
      <c r="A73" s="474" t="s">
        <v>1293</v>
      </c>
      <c r="B73" s="475">
        <v>280</v>
      </c>
      <c r="C73" s="477">
        <v>1898</v>
      </c>
      <c r="D73" s="477"/>
      <c r="E73" s="476"/>
      <c r="F73" s="408"/>
      <c r="G73" s="408"/>
    </row>
    <row r="74" spans="1:7" ht="12.6" customHeight="1">
      <c r="A74" s="468" t="s">
        <v>1294</v>
      </c>
      <c r="B74" s="421"/>
      <c r="C74" s="470"/>
      <c r="D74" s="470"/>
      <c r="E74" s="469"/>
      <c r="F74" s="408"/>
      <c r="G74" s="408"/>
    </row>
    <row r="75" spans="1:7" ht="12.6" customHeight="1">
      <c r="A75" s="468" t="s">
        <v>1295</v>
      </c>
      <c r="B75" s="421"/>
      <c r="C75" s="470"/>
      <c r="D75" s="470"/>
      <c r="E75" s="469"/>
      <c r="F75" s="408"/>
      <c r="G75" s="408"/>
    </row>
    <row r="76" spans="1:7" ht="12.6" customHeight="1">
      <c r="A76" s="468" t="s">
        <v>1268</v>
      </c>
      <c r="B76" s="421"/>
      <c r="C76" s="470"/>
      <c r="D76" s="470"/>
      <c r="E76" s="469"/>
      <c r="F76" s="408"/>
      <c r="G76" s="408"/>
    </row>
    <row r="77" spans="1:7" ht="12.6" customHeight="1">
      <c r="A77" s="471" t="s">
        <v>1269</v>
      </c>
      <c r="B77" s="428">
        <v>285</v>
      </c>
      <c r="C77" s="473"/>
      <c r="D77" s="473"/>
      <c r="E77" s="472"/>
      <c r="F77" s="408"/>
      <c r="G77" s="408"/>
    </row>
    <row r="78" spans="1:7" ht="12.6" customHeight="1">
      <c r="A78" s="474" t="s">
        <v>1270</v>
      </c>
      <c r="B78" s="475">
        <v>290</v>
      </c>
      <c r="C78" s="477"/>
      <c r="D78" s="477"/>
      <c r="E78" s="477"/>
      <c r="F78" s="408"/>
      <c r="G78" s="408"/>
    </row>
    <row r="79" spans="1:7" s="418" customFormat="1" ht="12.6" customHeight="1">
      <c r="A79" s="465" t="s">
        <v>1271</v>
      </c>
      <c r="B79" s="413"/>
      <c r="C79" s="467"/>
      <c r="D79" s="467"/>
      <c r="E79" s="466"/>
      <c r="F79" s="403"/>
      <c r="G79" s="403"/>
    </row>
    <row r="80" spans="1:7" s="418" customFormat="1" ht="12.6" customHeight="1">
      <c r="A80" s="471" t="s">
        <v>1272</v>
      </c>
      <c r="B80" s="428">
        <v>295</v>
      </c>
      <c r="C80" s="473"/>
      <c r="D80" s="473"/>
      <c r="E80" s="472"/>
      <c r="F80" s="403"/>
      <c r="G80" s="403"/>
    </row>
    <row r="81" spans="1:7" s="418" customFormat="1" ht="12.6" customHeight="1">
      <c r="A81" s="471" t="s">
        <v>1273</v>
      </c>
      <c r="B81" s="428">
        <v>300</v>
      </c>
      <c r="C81" s="473"/>
      <c r="D81" s="473"/>
      <c r="E81" s="472"/>
      <c r="F81" s="403"/>
      <c r="G81" s="403"/>
    </row>
    <row r="82" spans="1:7" s="418" customFormat="1" ht="12.6" customHeight="1">
      <c r="A82" s="474" t="s">
        <v>1276</v>
      </c>
      <c r="B82" s="475">
        <v>305</v>
      </c>
      <c r="C82" s="477"/>
      <c r="D82" s="477"/>
      <c r="E82" s="476"/>
      <c r="F82" s="403"/>
      <c r="G82" s="403"/>
    </row>
    <row r="83" spans="1:7" s="418" customFormat="1" ht="12.6" customHeight="1">
      <c r="A83" s="465" t="s">
        <v>1281</v>
      </c>
      <c r="B83" s="428">
        <v>310</v>
      </c>
      <c r="C83" s="2435"/>
      <c r="D83" s="2435"/>
      <c r="E83" s="482"/>
      <c r="F83" s="403"/>
      <c r="G83" s="403"/>
    </row>
    <row r="84" spans="1:7" s="418" customFormat="1" ht="12.6" customHeight="1">
      <c r="A84" s="2906" t="s">
        <v>711</v>
      </c>
      <c r="B84" s="504">
        <v>313</v>
      </c>
      <c r="C84" s="2435"/>
      <c r="D84" s="2435"/>
      <c r="E84" s="482"/>
      <c r="F84" s="403"/>
      <c r="G84" s="403"/>
    </row>
    <row r="85" spans="1:7" s="418" customFormat="1" ht="12.6" customHeight="1">
      <c r="A85" s="474" t="s">
        <v>1282</v>
      </c>
      <c r="B85" s="475">
        <v>315</v>
      </c>
      <c r="C85" s="477"/>
      <c r="D85" s="477"/>
      <c r="E85" s="476"/>
      <c r="F85" s="403"/>
      <c r="G85" s="403"/>
    </row>
    <row r="86" spans="1:7" s="418" customFormat="1" ht="12.6" customHeight="1">
      <c r="A86" s="471" t="s">
        <v>1288</v>
      </c>
      <c r="B86" s="428">
        <v>320</v>
      </c>
      <c r="C86" s="473"/>
      <c r="D86" s="473"/>
      <c r="E86" s="472"/>
      <c r="F86" s="403"/>
      <c r="G86" s="403"/>
    </row>
    <row r="87" spans="1:7" s="418" customFormat="1" ht="12.6" customHeight="1">
      <c r="A87" s="465" t="s">
        <v>1292</v>
      </c>
      <c r="B87" s="413">
        <v>325</v>
      </c>
      <c r="C87" s="2435"/>
      <c r="D87" s="2435"/>
      <c r="E87" s="482"/>
      <c r="F87" s="403"/>
      <c r="G87" s="403"/>
    </row>
    <row r="88" spans="1:7" s="418" customFormat="1" ht="12.6" customHeight="1">
      <c r="A88" s="474" t="s">
        <v>1293</v>
      </c>
      <c r="B88" s="475">
        <v>330</v>
      </c>
      <c r="C88" s="477"/>
      <c r="D88" s="477"/>
      <c r="E88" s="476"/>
      <c r="F88" s="403"/>
      <c r="G88" s="403"/>
    </row>
    <row r="89" spans="1:7" s="418" customFormat="1" ht="12.6" customHeight="1">
      <c r="A89" s="465" t="s">
        <v>1296</v>
      </c>
      <c r="B89" s="413"/>
      <c r="C89" s="467"/>
      <c r="D89" s="467"/>
      <c r="E89" s="466"/>
      <c r="F89" s="403"/>
      <c r="G89" s="403"/>
    </row>
    <row r="90" spans="1:7" s="418" customFormat="1" ht="12.6" customHeight="1">
      <c r="A90" s="468" t="s">
        <v>1268</v>
      </c>
      <c r="B90" s="421"/>
      <c r="C90" s="470"/>
      <c r="D90" s="470"/>
      <c r="E90" s="469"/>
      <c r="F90" s="403"/>
      <c r="G90" s="403"/>
    </row>
    <row r="91" spans="1:7" s="418" customFormat="1" ht="12.6" customHeight="1">
      <c r="A91" s="471" t="s">
        <v>1269</v>
      </c>
      <c r="B91" s="428">
        <v>335</v>
      </c>
      <c r="C91" s="473"/>
      <c r="D91" s="473"/>
      <c r="E91" s="472"/>
      <c r="F91" s="403"/>
      <c r="G91" s="403"/>
    </row>
    <row r="92" spans="1:7" s="418" customFormat="1" ht="12.6" customHeight="1">
      <c r="A92" s="474" t="s">
        <v>1270</v>
      </c>
      <c r="B92" s="475">
        <v>340</v>
      </c>
      <c r="C92" s="477"/>
      <c r="D92" s="477"/>
      <c r="E92" s="477"/>
      <c r="F92" s="403"/>
      <c r="G92" s="403"/>
    </row>
    <row r="93" spans="1:7" s="418" customFormat="1" ht="12.6" customHeight="1">
      <c r="A93" s="465" t="s">
        <v>1271</v>
      </c>
      <c r="B93" s="413"/>
      <c r="C93" s="467"/>
      <c r="D93" s="467"/>
      <c r="E93" s="466"/>
      <c r="F93" s="403"/>
      <c r="G93" s="403"/>
    </row>
    <row r="94" spans="1:7" s="418" customFormat="1" ht="12.6" customHeight="1">
      <c r="A94" s="471" t="s">
        <v>1272</v>
      </c>
      <c r="B94" s="428">
        <v>345</v>
      </c>
      <c r="C94" s="473"/>
      <c r="D94" s="473"/>
      <c r="E94" s="472"/>
      <c r="F94" s="403"/>
      <c r="G94" s="403"/>
    </row>
    <row r="95" spans="1:7" ht="12.6" customHeight="1">
      <c r="A95" s="474" t="s">
        <v>1273</v>
      </c>
      <c r="B95" s="475">
        <v>350</v>
      </c>
      <c r="C95" s="477"/>
      <c r="D95" s="477"/>
      <c r="E95" s="476"/>
      <c r="F95" s="408"/>
      <c r="G95" s="408"/>
    </row>
    <row r="96" spans="1:7" ht="12.6" customHeight="1">
      <c r="A96" s="474" t="s">
        <v>1276</v>
      </c>
      <c r="B96" s="475">
        <v>355</v>
      </c>
      <c r="C96" s="477"/>
      <c r="D96" s="477"/>
      <c r="E96" s="476"/>
      <c r="F96" s="408"/>
      <c r="G96" s="408"/>
    </row>
    <row r="97" spans="1:7" ht="12.6" customHeight="1">
      <c r="A97" s="471" t="s">
        <v>279</v>
      </c>
      <c r="B97" s="428">
        <v>360</v>
      </c>
      <c r="C97" s="473"/>
      <c r="D97" s="473"/>
      <c r="E97" s="472"/>
      <c r="F97" s="408"/>
      <c r="G97" s="408"/>
    </row>
    <row r="98" spans="1:7" ht="12.6" customHeight="1">
      <c r="A98" s="2908" t="s">
        <v>711</v>
      </c>
      <c r="B98" s="504">
        <v>363</v>
      </c>
      <c r="C98" s="473"/>
      <c r="D98" s="473"/>
      <c r="E98" s="472"/>
      <c r="F98" s="408"/>
      <c r="G98" s="408"/>
    </row>
    <row r="99" spans="1:7" ht="12.6" customHeight="1">
      <c r="A99" s="474" t="s">
        <v>1282</v>
      </c>
      <c r="B99" s="475">
        <v>365</v>
      </c>
      <c r="C99" s="477"/>
      <c r="D99" s="477"/>
      <c r="E99" s="476"/>
      <c r="F99" s="408"/>
      <c r="G99" s="408"/>
    </row>
    <row r="100" spans="1:7" ht="12.6" customHeight="1">
      <c r="A100" s="465" t="s">
        <v>1288</v>
      </c>
      <c r="B100" s="413"/>
      <c r="C100" s="467"/>
      <c r="D100" s="467"/>
      <c r="E100" s="466"/>
      <c r="F100" s="408"/>
      <c r="G100" s="408"/>
    </row>
    <row r="101" spans="1:7" ht="12.6" customHeight="1">
      <c r="A101" s="471" t="s">
        <v>1279</v>
      </c>
      <c r="B101" s="428">
        <v>370</v>
      </c>
      <c r="C101" s="473"/>
      <c r="D101" s="473"/>
      <c r="E101" s="472"/>
      <c r="F101" s="408"/>
      <c r="G101" s="408"/>
    </row>
    <row r="102" spans="1:7" ht="12.6" customHeight="1">
      <c r="A102" s="471" t="s">
        <v>790</v>
      </c>
      <c r="B102" s="428">
        <v>375</v>
      </c>
      <c r="C102" s="473"/>
      <c r="D102" s="473"/>
      <c r="E102" s="472"/>
      <c r="F102" s="408"/>
      <c r="G102" s="408"/>
    </row>
    <row r="103" spans="1:7" ht="12.6" customHeight="1">
      <c r="A103" s="474" t="s">
        <v>1291</v>
      </c>
      <c r="B103" s="475">
        <v>380</v>
      </c>
      <c r="C103" s="477"/>
      <c r="D103" s="477"/>
      <c r="E103" s="476"/>
      <c r="F103" s="408"/>
      <c r="G103" s="408"/>
    </row>
    <row r="104" spans="1:7" ht="12.6" customHeight="1">
      <c r="A104" s="474" t="s">
        <v>1292</v>
      </c>
      <c r="B104" s="475">
        <v>385</v>
      </c>
      <c r="C104" s="477"/>
      <c r="D104" s="477"/>
      <c r="E104" s="476"/>
      <c r="F104" s="408"/>
      <c r="G104" s="408"/>
    </row>
    <row r="105" spans="1:7" ht="12.6" customHeight="1">
      <c r="A105" s="474" t="s">
        <v>1293</v>
      </c>
      <c r="B105" s="475">
        <v>390</v>
      </c>
      <c r="C105" s="477"/>
      <c r="D105" s="477"/>
      <c r="E105" s="476"/>
      <c r="F105" s="408"/>
      <c r="G105" s="408"/>
    </row>
    <row r="106" spans="1:7" ht="12.6" customHeight="1">
      <c r="A106" s="465" t="s">
        <v>1302</v>
      </c>
      <c r="B106" s="413"/>
      <c r="C106" s="467"/>
      <c r="D106" s="467"/>
      <c r="E106" s="466"/>
      <c r="F106" s="408"/>
      <c r="G106" s="408"/>
    </row>
    <row r="107" spans="1:7" ht="12.6" customHeight="1">
      <c r="A107" s="468" t="s">
        <v>1268</v>
      </c>
      <c r="B107" s="421"/>
      <c r="C107" s="470"/>
      <c r="D107" s="470"/>
      <c r="E107" s="469"/>
      <c r="F107" s="408"/>
      <c r="G107" s="408"/>
    </row>
    <row r="108" spans="1:7" ht="12.6" customHeight="1">
      <c r="A108" s="471" t="s">
        <v>1269</v>
      </c>
      <c r="B108" s="428">
        <v>395</v>
      </c>
      <c r="C108" s="473"/>
      <c r="D108" s="473"/>
      <c r="E108" s="472"/>
      <c r="F108" s="408"/>
      <c r="G108" s="408"/>
    </row>
    <row r="109" spans="1:7" ht="12.6" customHeight="1">
      <c r="A109" s="474" t="s">
        <v>1270</v>
      </c>
      <c r="B109" s="475">
        <v>400</v>
      </c>
      <c r="C109" s="477"/>
      <c r="D109" s="477"/>
      <c r="E109" s="477"/>
      <c r="F109" s="408"/>
      <c r="G109" s="408"/>
    </row>
    <row r="110" spans="1:7" ht="12.6" customHeight="1">
      <c r="A110" s="465" t="s">
        <v>1271</v>
      </c>
      <c r="B110" s="413"/>
      <c r="C110" s="467"/>
      <c r="D110" s="467"/>
      <c r="E110" s="466"/>
      <c r="F110" s="408"/>
      <c r="G110" s="408"/>
    </row>
    <row r="111" spans="1:7" ht="12.6" customHeight="1">
      <c r="A111" s="471" t="s">
        <v>1272</v>
      </c>
      <c r="B111" s="428">
        <v>405</v>
      </c>
      <c r="C111" s="473"/>
      <c r="D111" s="473"/>
      <c r="E111" s="472"/>
      <c r="F111" s="408"/>
      <c r="G111" s="408"/>
    </row>
    <row r="112" spans="1:7" ht="12.6" customHeight="1">
      <c r="A112" s="474" t="s">
        <v>1273</v>
      </c>
      <c r="B112" s="475">
        <v>410</v>
      </c>
      <c r="C112" s="477"/>
      <c r="D112" s="477"/>
      <c r="E112" s="476"/>
      <c r="F112" s="408"/>
      <c r="G112" s="408"/>
    </row>
    <row r="113" spans="1:7" ht="12.6" customHeight="1">
      <c r="A113" s="474" t="s">
        <v>1276</v>
      </c>
      <c r="B113" s="475">
        <v>415</v>
      </c>
      <c r="C113" s="477"/>
      <c r="D113" s="477"/>
      <c r="E113" s="476"/>
      <c r="F113" s="408"/>
      <c r="G113" s="408"/>
    </row>
    <row r="114" spans="1:7" ht="12.6" customHeight="1">
      <c r="A114" s="471" t="s">
        <v>1280</v>
      </c>
      <c r="B114" s="428">
        <v>420</v>
      </c>
      <c r="C114" s="473"/>
      <c r="D114" s="473"/>
      <c r="E114" s="472"/>
      <c r="F114" s="408"/>
      <c r="G114" s="408"/>
    </row>
    <row r="115" spans="1:7" ht="12.6" customHeight="1">
      <c r="A115" s="474" t="s">
        <v>1303</v>
      </c>
      <c r="B115" s="475">
        <v>425</v>
      </c>
      <c r="C115" s="477"/>
      <c r="D115" s="477"/>
      <c r="E115" s="476"/>
      <c r="F115" s="408"/>
      <c r="G115" s="408"/>
    </row>
    <row r="116" spans="1:7" ht="12.6" customHeight="1">
      <c r="A116" s="468" t="s">
        <v>1282</v>
      </c>
      <c r="B116" s="421"/>
      <c r="C116" s="470"/>
      <c r="D116" s="470"/>
      <c r="E116" s="469"/>
      <c r="F116" s="408"/>
      <c r="G116" s="408"/>
    </row>
    <row r="117" spans="1:7" ht="12.6" customHeight="1">
      <c r="A117" s="471" t="s">
        <v>1304</v>
      </c>
      <c r="B117" s="428">
        <v>430</v>
      </c>
      <c r="C117" s="473"/>
      <c r="D117" s="473"/>
      <c r="E117" s="472"/>
      <c r="F117" s="408"/>
      <c r="G117" s="408"/>
    </row>
    <row r="118" spans="1:7" ht="12.6" customHeight="1">
      <c r="A118" s="471" t="s">
        <v>675</v>
      </c>
      <c r="B118" s="428">
        <v>435</v>
      </c>
      <c r="C118" s="473"/>
      <c r="D118" s="473"/>
      <c r="E118" s="472"/>
      <c r="F118" s="408"/>
      <c r="G118" s="408"/>
    </row>
    <row r="119" spans="1:7" ht="12.6" customHeight="1">
      <c r="A119" s="474" t="s">
        <v>1287</v>
      </c>
      <c r="B119" s="475">
        <v>440</v>
      </c>
      <c r="C119" s="477"/>
      <c r="D119" s="477"/>
      <c r="E119" s="476"/>
      <c r="F119" s="408"/>
      <c r="G119" s="408"/>
    </row>
    <row r="120" spans="1:7" s="418" customFormat="1" ht="12.6" customHeight="1">
      <c r="A120" s="474" t="s">
        <v>1288</v>
      </c>
      <c r="B120" s="475">
        <v>445</v>
      </c>
      <c r="C120" s="477"/>
      <c r="D120" s="477"/>
      <c r="E120" s="476"/>
      <c r="F120" s="403"/>
      <c r="G120" s="403"/>
    </row>
    <row r="121" spans="1:7" s="418" customFormat="1" ht="12.6" customHeight="1">
      <c r="A121" s="474" t="s">
        <v>1292</v>
      </c>
      <c r="B121" s="475">
        <v>450</v>
      </c>
      <c r="C121" s="477"/>
      <c r="D121" s="477"/>
      <c r="E121" s="476"/>
      <c r="F121" s="403"/>
      <c r="G121" s="403"/>
    </row>
    <row r="122" spans="1:7" s="418" customFormat="1" ht="12.6" customHeight="1">
      <c r="A122" s="474" t="s">
        <v>1293</v>
      </c>
      <c r="B122" s="475">
        <v>455</v>
      </c>
      <c r="C122" s="477"/>
      <c r="D122" s="477"/>
      <c r="E122" s="476"/>
      <c r="F122" s="403"/>
      <c r="G122" s="403"/>
    </row>
    <row r="123" spans="1:7" s="418" customFormat="1" ht="12.6" customHeight="1">
      <c r="A123" s="403"/>
      <c r="B123" s="404" t="s">
        <v>1019</v>
      </c>
      <c r="C123" s="502">
        <f>C1</f>
        <v>270</v>
      </c>
      <c r="D123" s="407"/>
      <c r="E123" s="407" t="s">
        <v>1020</v>
      </c>
      <c r="F123" s="403"/>
      <c r="G123" s="403"/>
    </row>
    <row r="124" spans="1:7" s="418" customFormat="1" ht="12.6" customHeight="1">
      <c r="A124" s="403"/>
      <c r="B124" s="404"/>
      <c r="C124" s="409"/>
      <c r="D124" s="407"/>
      <c r="E124" s="407" t="s">
        <v>1212</v>
      </c>
      <c r="F124" s="403"/>
      <c r="G124" s="403"/>
    </row>
    <row r="125" spans="1:7" s="418" customFormat="1" ht="12.6" customHeight="1">
      <c r="A125" s="403"/>
      <c r="B125" s="404"/>
      <c r="C125" s="403"/>
      <c r="D125" s="410"/>
      <c r="E125" s="407" t="str">
        <f>E3</f>
        <v>2016-2017</v>
      </c>
      <c r="F125" s="403"/>
      <c r="G125" s="403"/>
    </row>
    <row r="126" spans="1:7" s="418" customFormat="1" ht="12.6" customHeight="1">
      <c r="A126" s="403"/>
      <c r="B126" s="404"/>
      <c r="C126" s="403"/>
      <c r="D126" s="408"/>
      <c r="E126" s="408"/>
      <c r="F126" s="403"/>
      <c r="G126" s="403"/>
    </row>
    <row r="127" spans="1:7" s="418" customFormat="1" ht="12.6" customHeight="1">
      <c r="A127" s="403"/>
      <c r="B127" s="404"/>
      <c r="C127" s="411" t="s">
        <v>1213</v>
      </c>
      <c r="D127" s="411" t="s">
        <v>1213</v>
      </c>
      <c r="E127" s="411" t="s">
        <v>1213</v>
      </c>
      <c r="F127" s="403"/>
      <c r="G127" s="403"/>
    </row>
    <row r="128" spans="1:7" s="418" customFormat="1" ht="12.6" customHeight="1">
      <c r="A128" s="403"/>
      <c r="B128" s="414" t="s">
        <v>1045</v>
      </c>
      <c r="C128" s="416" t="str">
        <f>C6</f>
        <v>2014-2015</v>
      </c>
      <c r="D128" s="416" t="str">
        <f t="shared" ref="D128:E128" si="0">D6</f>
        <v>2015-2016</v>
      </c>
      <c r="E128" s="416" t="str">
        <f t="shared" si="0"/>
        <v>2016-2017</v>
      </c>
      <c r="F128" s="403"/>
      <c r="G128" s="403"/>
    </row>
    <row r="129" spans="1:7" s="418" customFormat="1" ht="12.6" customHeight="1">
      <c r="A129" s="420" t="s">
        <v>938</v>
      </c>
      <c r="B129" s="422">
        <v>35</v>
      </c>
      <c r="C129" s="424" t="s">
        <v>1139</v>
      </c>
      <c r="D129" s="424" t="s">
        <v>1139</v>
      </c>
      <c r="E129" s="424" t="s">
        <v>1215</v>
      </c>
      <c r="F129" s="403"/>
      <c r="G129" s="403"/>
    </row>
    <row r="130" spans="1:7" s="418" customFormat="1" ht="12.6" customHeight="1">
      <c r="A130" s="427" t="s">
        <v>1368</v>
      </c>
      <c r="B130" s="429" t="s">
        <v>1051</v>
      </c>
      <c r="C130" s="431">
        <v>1</v>
      </c>
      <c r="D130" s="431">
        <v>2</v>
      </c>
      <c r="E130" s="431">
        <v>3</v>
      </c>
      <c r="F130" s="403"/>
      <c r="G130" s="403"/>
    </row>
    <row r="131" spans="1:7" s="418" customFormat="1" ht="11.25" customHeight="1">
      <c r="A131" s="465" t="s">
        <v>1307</v>
      </c>
      <c r="B131" s="413"/>
      <c r="C131" s="467"/>
      <c r="D131" s="467"/>
      <c r="E131" s="466"/>
      <c r="F131" s="403"/>
      <c r="G131" s="403"/>
    </row>
    <row r="132" spans="1:7" s="418" customFormat="1" ht="12.6" customHeight="1">
      <c r="A132" s="468" t="s">
        <v>1268</v>
      </c>
      <c r="B132" s="421"/>
      <c r="C132" s="470"/>
      <c r="D132" s="470"/>
      <c r="E132" s="469"/>
      <c r="F132" s="403"/>
      <c r="G132" s="403"/>
    </row>
    <row r="133" spans="1:7" s="418" customFormat="1" ht="12.6" customHeight="1">
      <c r="A133" s="471" t="s">
        <v>1269</v>
      </c>
      <c r="B133" s="428">
        <v>460</v>
      </c>
      <c r="C133" s="473"/>
      <c r="D133" s="473"/>
      <c r="E133" s="472"/>
      <c r="F133" s="403"/>
      <c r="G133" s="403"/>
    </row>
    <row r="134" spans="1:7" s="418" customFormat="1" ht="12.6" customHeight="1">
      <c r="A134" s="474" t="s">
        <v>1270</v>
      </c>
      <c r="B134" s="475">
        <v>465</v>
      </c>
      <c r="C134" s="477"/>
      <c r="D134" s="477"/>
      <c r="E134" s="477"/>
      <c r="F134" s="403"/>
      <c r="G134" s="403"/>
    </row>
    <row r="135" spans="1:7" s="418" customFormat="1" ht="12.6" customHeight="1">
      <c r="A135" s="465" t="s">
        <v>1271</v>
      </c>
      <c r="B135" s="413"/>
      <c r="C135" s="467"/>
      <c r="D135" s="467"/>
      <c r="E135" s="466"/>
      <c r="F135" s="403"/>
      <c r="G135" s="403"/>
    </row>
    <row r="136" spans="1:7" s="418" customFormat="1" ht="12.6" customHeight="1">
      <c r="A136" s="471" t="s">
        <v>1272</v>
      </c>
      <c r="B136" s="428">
        <v>470</v>
      </c>
      <c r="C136" s="473"/>
      <c r="D136" s="473"/>
      <c r="E136" s="472"/>
      <c r="F136" s="403"/>
      <c r="G136" s="403"/>
    </row>
    <row r="137" spans="1:7" s="418" customFormat="1" ht="12.6" customHeight="1">
      <c r="A137" s="474" t="s">
        <v>1273</v>
      </c>
      <c r="B137" s="475">
        <v>475</v>
      </c>
      <c r="C137" s="477"/>
      <c r="D137" s="477"/>
      <c r="E137" s="476"/>
      <c r="F137" s="403"/>
      <c r="G137" s="403"/>
    </row>
    <row r="138" spans="1:7" s="418" customFormat="1" ht="12.6" customHeight="1">
      <c r="A138" s="474" t="s">
        <v>1276</v>
      </c>
      <c r="B138" s="475">
        <v>480</v>
      </c>
      <c r="C138" s="477"/>
      <c r="D138" s="477"/>
      <c r="E138" s="476"/>
      <c r="F138" s="403"/>
      <c r="G138" s="403"/>
    </row>
    <row r="139" spans="1:7" s="418" customFormat="1" ht="12.6" customHeight="1">
      <c r="A139" s="471" t="s">
        <v>1280</v>
      </c>
      <c r="B139" s="428">
        <v>485</v>
      </c>
      <c r="C139" s="473"/>
      <c r="D139" s="473"/>
      <c r="E139" s="472"/>
      <c r="F139" s="403"/>
      <c r="G139" s="403"/>
    </row>
    <row r="140" spans="1:7" ht="12.6" customHeight="1">
      <c r="A140" s="474" t="s">
        <v>1303</v>
      </c>
      <c r="B140" s="475">
        <v>490</v>
      </c>
      <c r="C140" s="477"/>
      <c r="D140" s="477"/>
      <c r="E140" s="476"/>
      <c r="F140" s="408"/>
      <c r="G140" s="408"/>
    </row>
    <row r="141" spans="1:7" ht="12.6" customHeight="1">
      <c r="A141" s="465" t="s">
        <v>1282</v>
      </c>
      <c r="B141" s="413"/>
      <c r="C141" s="467"/>
      <c r="D141" s="467"/>
      <c r="E141" s="466"/>
      <c r="F141" s="408"/>
      <c r="G141" s="408"/>
    </row>
    <row r="142" spans="1:7" ht="12.6" customHeight="1">
      <c r="A142" s="471" t="s">
        <v>675</v>
      </c>
      <c r="B142" s="428">
        <v>495</v>
      </c>
      <c r="C142" s="473"/>
      <c r="D142" s="473"/>
      <c r="E142" s="472"/>
      <c r="F142" s="408"/>
      <c r="G142" s="408"/>
    </row>
    <row r="143" spans="1:7" ht="12.6" customHeight="1">
      <c r="A143" s="474" t="s">
        <v>1287</v>
      </c>
      <c r="B143" s="475">
        <v>500</v>
      </c>
      <c r="C143" s="477"/>
      <c r="D143" s="477"/>
      <c r="E143" s="476"/>
      <c r="F143" s="408"/>
      <c r="G143" s="408"/>
    </row>
    <row r="144" spans="1:7" ht="12.6" customHeight="1">
      <c r="A144" s="474" t="s">
        <v>1288</v>
      </c>
      <c r="B144" s="475">
        <v>505</v>
      </c>
      <c r="C144" s="477"/>
      <c r="D144" s="477"/>
      <c r="E144" s="476"/>
      <c r="F144" s="408"/>
      <c r="G144" s="408"/>
    </row>
    <row r="145" spans="1:7" ht="12.6" customHeight="1">
      <c r="A145" s="474" t="s">
        <v>1292</v>
      </c>
      <c r="B145" s="475">
        <v>510</v>
      </c>
      <c r="C145" s="477"/>
      <c r="D145" s="477"/>
      <c r="E145" s="476"/>
      <c r="F145" s="408"/>
      <c r="G145" s="408"/>
    </row>
    <row r="146" spans="1:7" ht="12.6" customHeight="1">
      <c r="A146" s="474" t="s">
        <v>1293</v>
      </c>
      <c r="B146" s="475">
        <v>515</v>
      </c>
      <c r="C146" s="477"/>
      <c r="D146" s="477"/>
      <c r="E146" s="476"/>
      <c r="F146" s="408"/>
      <c r="G146" s="408"/>
    </row>
    <row r="147" spans="1:7" ht="12.6" customHeight="1">
      <c r="A147" s="1151" t="s">
        <v>1745</v>
      </c>
      <c r="B147" s="1152"/>
      <c r="C147" s="1142"/>
      <c r="D147" s="1153"/>
      <c r="E147" s="1142"/>
      <c r="F147" s="408"/>
      <c r="G147" s="408"/>
    </row>
    <row r="148" spans="1:7" ht="12.6" customHeight="1">
      <c r="A148" s="1146" t="s">
        <v>1268</v>
      </c>
      <c r="B148" s="1147"/>
      <c r="C148" s="1145"/>
      <c r="D148" s="1163"/>
      <c r="E148" s="1145"/>
      <c r="F148" s="408"/>
      <c r="G148" s="408"/>
    </row>
    <row r="149" spans="1:7" ht="12.6" customHeight="1">
      <c r="A149" s="1148" t="s">
        <v>1269</v>
      </c>
      <c r="B149" s="3994">
        <v>680</v>
      </c>
      <c r="C149" s="1150"/>
      <c r="D149" s="1154"/>
      <c r="E149" s="1150"/>
      <c r="F149" s="408"/>
      <c r="G149" s="408"/>
    </row>
    <row r="150" spans="1:7" ht="12.6" customHeight="1">
      <c r="A150" s="1148" t="s">
        <v>375</v>
      </c>
      <c r="B150" s="3994">
        <v>685</v>
      </c>
      <c r="C150" s="1150"/>
      <c r="D150" s="1154"/>
      <c r="E150" s="1150"/>
      <c r="F150" s="408"/>
      <c r="G150" s="408"/>
    </row>
    <row r="151" spans="1:7" ht="12.6" customHeight="1">
      <c r="A151" s="1151" t="s">
        <v>1271</v>
      </c>
      <c r="B151" s="2994"/>
      <c r="C151" s="1142"/>
      <c r="D151" s="1153"/>
      <c r="E151" s="1142"/>
      <c r="F151" s="408"/>
      <c r="G151" s="408"/>
    </row>
    <row r="152" spans="1:7" customFormat="1" ht="12.6" customHeight="1">
      <c r="A152" s="1148" t="s">
        <v>353</v>
      </c>
      <c r="B152" s="3994">
        <v>690</v>
      </c>
      <c r="C152" s="1150"/>
      <c r="D152" s="1154"/>
      <c r="E152" s="1150"/>
    </row>
    <row r="153" spans="1:7" customFormat="1" ht="12.6" customHeight="1">
      <c r="A153" s="1155" t="s">
        <v>1273</v>
      </c>
      <c r="B153" s="3995">
        <v>695</v>
      </c>
      <c r="C153" s="1162"/>
      <c r="D153" s="1157"/>
      <c r="E153" s="1162"/>
    </row>
    <row r="154" spans="1:7" customFormat="1" ht="12.6" customHeight="1">
      <c r="A154" s="1155" t="s">
        <v>1276</v>
      </c>
      <c r="B154" s="3995">
        <v>700</v>
      </c>
      <c r="C154" s="1162"/>
      <c r="D154" s="1157"/>
      <c r="E154" s="1162"/>
    </row>
    <row r="155" spans="1:7" customFormat="1" ht="12.6" customHeight="1">
      <c r="A155" s="1151" t="s">
        <v>1753</v>
      </c>
      <c r="B155" s="2994">
        <v>705</v>
      </c>
      <c r="C155" s="2512"/>
      <c r="D155" s="1158"/>
      <c r="E155" s="2512"/>
    </row>
    <row r="156" spans="1:7" customFormat="1" ht="12.6" customHeight="1">
      <c r="A156" s="1155" t="s">
        <v>1303</v>
      </c>
      <c r="B156" s="3995">
        <v>710</v>
      </c>
      <c r="C156" s="1162"/>
      <c r="D156" s="1157"/>
      <c r="E156" s="1162"/>
    </row>
    <row r="157" spans="1:7" customFormat="1" ht="12.6" customHeight="1">
      <c r="A157" s="1155" t="s">
        <v>1282</v>
      </c>
      <c r="B157" s="3995">
        <v>715</v>
      </c>
      <c r="C157" s="1162"/>
      <c r="D157" s="1157"/>
      <c r="E157" s="1162"/>
    </row>
    <row r="158" spans="1:7" customFormat="1" ht="12.6" customHeight="1">
      <c r="A158" s="1155" t="s">
        <v>1288</v>
      </c>
      <c r="B158" s="3995">
        <v>720</v>
      </c>
      <c r="C158" s="1162"/>
      <c r="D158" s="1157"/>
      <c r="E158" s="1162"/>
    </row>
    <row r="159" spans="1:7" customFormat="1" ht="12.6" customHeight="1">
      <c r="A159" s="1155" t="s">
        <v>1292</v>
      </c>
      <c r="B159" s="3995">
        <v>725</v>
      </c>
      <c r="C159" s="1162"/>
      <c r="D159" s="1157"/>
      <c r="E159" s="1162"/>
    </row>
    <row r="160" spans="1:7" customFormat="1" ht="12.6" customHeight="1">
      <c r="A160" s="1155" t="s">
        <v>1293</v>
      </c>
      <c r="B160" s="3995">
        <v>730</v>
      </c>
      <c r="C160" s="1162"/>
      <c r="D160" s="1157"/>
      <c r="E160" s="1162"/>
    </row>
    <row r="161" spans="1:7" ht="12.6" customHeight="1">
      <c r="A161" s="484" t="s">
        <v>1308</v>
      </c>
      <c r="B161" s="413"/>
      <c r="C161" s="467"/>
      <c r="D161" s="467"/>
      <c r="E161" s="466"/>
      <c r="F161" s="408"/>
      <c r="G161" s="408"/>
    </row>
    <row r="162" spans="1:7" ht="12.6" customHeight="1">
      <c r="A162" s="485" t="s">
        <v>1309</v>
      </c>
      <c r="B162" s="421"/>
      <c r="C162" s="470"/>
      <c r="D162" s="470"/>
      <c r="E162" s="469"/>
      <c r="F162" s="408"/>
      <c r="G162" s="408"/>
    </row>
    <row r="163" spans="1:7" ht="12.6" customHeight="1">
      <c r="A163" s="486" t="s">
        <v>1270</v>
      </c>
      <c r="B163" s="428">
        <v>520</v>
      </c>
      <c r="C163" s="473"/>
      <c r="D163" s="473"/>
      <c r="E163" s="472"/>
      <c r="F163" s="408"/>
      <c r="G163" s="408"/>
    </row>
    <row r="164" spans="1:7" ht="12.6" customHeight="1">
      <c r="A164" s="484" t="s">
        <v>1310</v>
      </c>
      <c r="B164" s="413"/>
      <c r="C164" s="467"/>
      <c r="D164" s="467"/>
      <c r="E164" s="466"/>
      <c r="F164" s="408"/>
      <c r="G164" s="408"/>
    </row>
    <row r="165" spans="1:7" ht="12.6" customHeight="1">
      <c r="A165" s="486" t="s">
        <v>1311</v>
      </c>
      <c r="B165" s="428">
        <v>525</v>
      </c>
      <c r="C165" s="473"/>
      <c r="D165" s="473"/>
      <c r="E165" s="472"/>
      <c r="F165" s="408"/>
      <c r="G165" s="408"/>
    </row>
    <row r="166" spans="1:7" ht="12.6" customHeight="1">
      <c r="A166" s="487" t="s">
        <v>1314</v>
      </c>
      <c r="B166" s="475">
        <v>530</v>
      </c>
      <c r="C166" s="477"/>
      <c r="D166" s="477"/>
      <c r="E166" s="476"/>
      <c r="F166" s="408"/>
      <c r="G166" s="408"/>
    </row>
    <row r="167" spans="1:7" ht="12.6" customHeight="1">
      <c r="A167" s="487" t="s">
        <v>1315</v>
      </c>
      <c r="B167" s="475">
        <v>535</v>
      </c>
      <c r="C167" s="477"/>
      <c r="D167" s="477"/>
      <c r="E167" s="476"/>
      <c r="F167" s="408"/>
      <c r="G167" s="408"/>
    </row>
    <row r="168" spans="1:7" ht="12.6" customHeight="1">
      <c r="A168" s="486" t="s">
        <v>1277</v>
      </c>
      <c r="B168" s="428">
        <v>540</v>
      </c>
      <c r="C168" s="473"/>
      <c r="D168" s="473"/>
      <c r="E168" s="472"/>
      <c r="F168" s="408"/>
      <c r="G168" s="408"/>
    </row>
    <row r="169" spans="1:7" ht="12.6" customHeight="1">
      <c r="A169" s="484" t="s">
        <v>1318</v>
      </c>
      <c r="B169" s="413"/>
      <c r="C169" s="467"/>
      <c r="D169" s="467"/>
      <c r="E169" s="466"/>
      <c r="F169" s="408"/>
      <c r="G169" s="408"/>
    </row>
    <row r="170" spans="1:7" ht="12.6" customHeight="1">
      <c r="A170" s="486" t="s">
        <v>1319</v>
      </c>
      <c r="B170" s="428">
        <v>545</v>
      </c>
      <c r="C170" s="473"/>
      <c r="D170" s="473"/>
      <c r="E170" s="472"/>
      <c r="F170" s="408"/>
      <c r="G170" s="408"/>
    </row>
    <row r="171" spans="1:7" ht="12.6" customHeight="1">
      <c r="A171" s="487" t="s">
        <v>1320</v>
      </c>
      <c r="B171" s="475">
        <v>550</v>
      </c>
      <c r="C171" s="477"/>
      <c r="D171" s="477"/>
      <c r="E171" s="476"/>
      <c r="F171" s="408"/>
      <c r="G171" s="408"/>
    </row>
    <row r="172" spans="1:7" ht="12.6" customHeight="1">
      <c r="A172" s="487" t="s">
        <v>1321</v>
      </c>
      <c r="B172" s="475">
        <v>555</v>
      </c>
      <c r="C172" s="477"/>
      <c r="D172" s="477"/>
      <c r="E172" s="476"/>
      <c r="F172" s="408"/>
      <c r="G172" s="408"/>
    </row>
    <row r="173" spans="1:7" ht="12.6" customHeight="1">
      <c r="A173" s="487" t="s">
        <v>1322</v>
      </c>
      <c r="B173" s="475">
        <v>560</v>
      </c>
      <c r="C173" s="477"/>
      <c r="D173" s="477"/>
      <c r="E173" s="476"/>
      <c r="F173" s="408"/>
      <c r="G173" s="408"/>
    </row>
    <row r="174" spans="1:7" ht="12.6" customHeight="1">
      <c r="A174" s="487" t="s">
        <v>1323</v>
      </c>
      <c r="B174" s="475">
        <v>565</v>
      </c>
      <c r="C174" s="477"/>
      <c r="D174" s="477"/>
      <c r="E174" s="476"/>
      <c r="F174" s="408"/>
      <c r="G174" s="408"/>
    </row>
    <row r="175" spans="1:7" ht="12.6" customHeight="1">
      <c r="A175" s="487" t="s">
        <v>1326</v>
      </c>
      <c r="B175" s="475">
        <v>570</v>
      </c>
      <c r="C175" s="477"/>
      <c r="D175" s="477"/>
      <c r="E175" s="476"/>
      <c r="F175" s="408"/>
      <c r="G175" s="408"/>
    </row>
    <row r="176" spans="1:7" ht="12.6" customHeight="1">
      <c r="A176" s="484" t="s">
        <v>1327</v>
      </c>
      <c r="B176" s="413"/>
      <c r="C176" s="467"/>
      <c r="D176" s="467"/>
      <c r="E176" s="466"/>
      <c r="F176" s="408"/>
      <c r="G176" s="408"/>
    </row>
    <row r="177" spans="1:7" ht="12.6" customHeight="1">
      <c r="A177" s="486" t="s">
        <v>1335</v>
      </c>
      <c r="B177" s="428">
        <v>575</v>
      </c>
      <c r="C177" s="473"/>
      <c r="D177" s="473"/>
      <c r="E177" s="472"/>
      <c r="F177" s="408"/>
      <c r="G177" s="408"/>
    </row>
    <row r="178" spans="1:7" ht="12.6" customHeight="1">
      <c r="A178" s="487" t="s">
        <v>1336</v>
      </c>
      <c r="B178" s="475">
        <v>580</v>
      </c>
      <c r="C178" s="477"/>
      <c r="D178" s="477"/>
      <c r="E178" s="476"/>
      <c r="F178" s="408"/>
      <c r="G178" s="408"/>
    </row>
    <row r="179" spans="1:7" ht="12.6" customHeight="1">
      <c r="A179" s="485" t="s">
        <v>1337</v>
      </c>
      <c r="B179" s="421"/>
      <c r="C179" s="470"/>
      <c r="D179" s="470"/>
      <c r="E179" s="469"/>
      <c r="F179" s="408"/>
      <c r="G179" s="408"/>
    </row>
    <row r="180" spans="1:7" ht="12.6" customHeight="1">
      <c r="A180" s="486" t="s">
        <v>1338</v>
      </c>
      <c r="B180" s="428">
        <v>585</v>
      </c>
      <c r="C180" s="473"/>
      <c r="D180" s="473"/>
      <c r="E180" s="472"/>
      <c r="F180" s="408"/>
      <c r="G180" s="408"/>
    </row>
    <row r="181" spans="1:7" ht="12.6" customHeight="1">
      <c r="A181" s="484" t="s">
        <v>1339</v>
      </c>
      <c r="B181" s="413"/>
      <c r="C181" s="467"/>
      <c r="D181" s="467"/>
      <c r="E181" s="466"/>
      <c r="F181" s="408"/>
      <c r="G181" s="408"/>
    </row>
    <row r="182" spans="1:7" ht="12.6" customHeight="1">
      <c r="A182" s="486" t="s">
        <v>1340</v>
      </c>
      <c r="B182" s="428">
        <v>590</v>
      </c>
      <c r="C182" s="473"/>
      <c r="D182" s="473"/>
      <c r="E182" s="472"/>
      <c r="F182" s="408"/>
      <c r="G182" s="408"/>
    </row>
    <row r="183" spans="1:7" ht="12.6" customHeight="1">
      <c r="A183" s="487" t="s">
        <v>1341</v>
      </c>
      <c r="B183" s="475">
        <v>595</v>
      </c>
      <c r="C183" s="477"/>
      <c r="D183" s="477"/>
      <c r="E183" s="476"/>
      <c r="F183" s="408"/>
      <c r="G183" s="408"/>
    </row>
    <row r="184" spans="1:7" ht="12.6" customHeight="1">
      <c r="A184" s="487" t="s">
        <v>1342</v>
      </c>
      <c r="B184" s="475">
        <v>600</v>
      </c>
      <c r="C184" s="477"/>
      <c r="D184" s="477"/>
      <c r="E184" s="476"/>
      <c r="F184" s="408"/>
      <c r="G184" s="408"/>
    </row>
    <row r="185" spans="1:7" s="488" customFormat="1" ht="12.6" customHeight="1">
      <c r="A185" s="487" t="s">
        <v>1343</v>
      </c>
      <c r="B185" s="475">
        <v>605</v>
      </c>
      <c r="C185" s="477"/>
      <c r="D185" s="477"/>
      <c r="E185" s="476"/>
      <c r="F185" s="409"/>
      <c r="G185" s="409"/>
    </row>
    <row r="186" spans="1:7" s="488" customFormat="1" ht="12.6" customHeight="1">
      <c r="A186" s="403"/>
      <c r="B186" s="404" t="s">
        <v>1019</v>
      </c>
      <c r="C186" s="502">
        <f>C1</f>
        <v>270</v>
      </c>
      <c r="D186" s="407"/>
      <c r="E186" s="407" t="s">
        <v>1020</v>
      </c>
      <c r="F186" s="409"/>
      <c r="G186" s="409"/>
    </row>
    <row r="187" spans="1:7" s="488" customFormat="1" ht="12.6" customHeight="1">
      <c r="A187" s="403"/>
      <c r="B187" s="404"/>
      <c r="C187" s="409"/>
      <c r="D187" s="407"/>
      <c r="E187" s="407" t="s">
        <v>1212</v>
      </c>
      <c r="F187" s="409"/>
      <c r="G187" s="409"/>
    </row>
    <row r="188" spans="1:7" s="488" customFormat="1" ht="12.6" customHeight="1">
      <c r="A188" s="403"/>
      <c r="B188" s="404"/>
      <c r="C188" s="403"/>
      <c r="D188" s="503"/>
      <c r="E188" s="503" t="str">
        <f>E3</f>
        <v>2016-2017</v>
      </c>
      <c r="F188" s="409"/>
      <c r="G188" s="409"/>
    </row>
    <row r="189" spans="1:7" s="488" customFormat="1" ht="12.6" customHeight="1">
      <c r="A189" s="403"/>
      <c r="B189" s="404"/>
      <c r="C189" s="403"/>
      <c r="D189" s="403"/>
      <c r="E189" s="403"/>
      <c r="F189" s="409"/>
      <c r="G189" s="409"/>
    </row>
    <row r="190" spans="1:7" s="488" customFormat="1" ht="12.6" customHeight="1">
      <c r="A190" s="403"/>
      <c r="B190" s="404"/>
      <c r="C190" s="411" t="s">
        <v>1213</v>
      </c>
      <c r="D190" s="411" t="s">
        <v>1213</v>
      </c>
      <c r="E190" s="411" t="s">
        <v>1213</v>
      </c>
      <c r="F190" s="409"/>
      <c r="G190" s="409"/>
    </row>
    <row r="191" spans="1:7" s="488" customFormat="1" ht="12.6" customHeight="1">
      <c r="A191" s="403"/>
      <c r="B191" s="414" t="s">
        <v>1045</v>
      </c>
      <c r="C191" s="416" t="str">
        <f>C6</f>
        <v>2014-2015</v>
      </c>
      <c r="D191" s="416" t="str">
        <f t="shared" ref="D191:E191" si="1">D6</f>
        <v>2015-2016</v>
      </c>
      <c r="E191" s="416" t="str">
        <f t="shared" si="1"/>
        <v>2016-2017</v>
      </c>
      <c r="F191" s="409"/>
      <c r="G191" s="409"/>
    </row>
    <row r="192" spans="1:7" s="488" customFormat="1" ht="12.6" customHeight="1">
      <c r="A192" s="420" t="s">
        <v>938</v>
      </c>
      <c r="B192" s="422">
        <v>35</v>
      </c>
      <c r="C192" s="424" t="s">
        <v>1139</v>
      </c>
      <c r="D192" s="424" t="s">
        <v>1139</v>
      </c>
      <c r="E192" s="424" t="s">
        <v>1215</v>
      </c>
      <c r="F192" s="409"/>
      <c r="G192" s="409"/>
    </row>
    <row r="193" spans="1:7" s="488" customFormat="1" ht="12.6" customHeight="1">
      <c r="A193" s="427" t="s">
        <v>1368</v>
      </c>
      <c r="B193" s="429" t="s">
        <v>1051</v>
      </c>
      <c r="C193" s="431">
        <v>1</v>
      </c>
      <c r="D193" s="431">
        <v>2</v>
      </c>
      <c r="E193" s="431">
        <v>3</v>
      </c>
      <c r="F193" s="409"/>
      <c r="G193" s="409"/>
    </row>
    <row r="194" spans="1:7" s="488" customFormat="1" ht="12.6" customHeight="1">
      <c r="A194" s="487" t="s">
        <v>1344</v>
      </c>
      <c r="B194" s="475">
        <v>610</v>
      </c>
      <c r="C194" s="477"/>
      <c r="D194" s="477"/>
      <c r="E194" s="476"/>
      <c r="F194" s="409"/>
      <c r="G194" s="409"/>
    </row>
    <row r="195" spans="1:7" s="488" customFormat="1" ht="12.6" customHeight="1">
      <c r="A195" s="487" t="s">
        <v>1345</v>
      </c>
      <c r="B195" s="475">
        <v>615</v>
      </c>
      <c r="C195" s="477"/>
      <c r="D195" s="477"/>
      <c r="E195" s="476"/>
      <c r="F195" s="409"/>
      <c r="G195" s="409"/>
    </row>
    <row r="196" spans="1:7" s="488" customFormat="1" ht="12.6" customHeight="1">
      <c r="A196" s="484" t="s">
        <v>1346</v>
      </c>
      <c r="B196" s="413">
        <v>620</v>
      </c>
      <c r="C196" s="2435"/>
      <c r="D196" s="2435"/>
      <c r="E196" s="482"/>
      <c r="F196" s="409"/>
      <c r="G196" s="409"/>
    </row>
    <row r="197" spans="1:7" s="488" customFormat="1" ht="12.6" customHeight="1">
      <c r="A197" s="484" t="s">
        <v>1385</v>
      </c>
      <c r="B197" s="489"/>
      <c r="C197" s="491"/>
      <c r="D197" s="491"/>
      <c r="E197" s="491"/>
      <c r="F197" s="409"/>
      <c r="G197" s="409"/>
    </row>
    <row r="198" spans="1:7" s="488" customFormat="1" ht="12.6" customHeight="1">
      <c r="A198" s="485" t="s">
        <v>794</v>
      </c>
      <c r="B198" s="492"/>
      <c r="C198" s="493"/>
      <c r="D198" s="493"/>
      <c r="E198" s="493"/>
      <c r="F198" s="409"/>
      <c r="G198" s="409"/>
    </row>
    <row r="199" spans="1:7" s="488" customFormat="1" ht="12.6" customHeight="1">
      <c r="A199" s="485" t="s">
        <v>1309</v>
      </c>
      <c r="B199" s="492"/>
      <c r="C199" s="493"/>
      <c r="D199" s="493"/>
      <c r="E199" s="493"/>
      <c r="F199" s="409"/>
      <c r="G199" s="409"/>
    </row>
    <row r="200" spans="1:7" s="488" customFormat="1" ht="12.6" customHeight="1">
      <c r="A200" s="486" t="s">
        <v>1386</v>
      </c>
      <c r="B200" s="492">
        <v>625</v>
      </c>
      <c r="C200" s="495"/>
      <c r="D200" s="495"/>
      <c r="E200" s="495"/>
      <c r="F200" s="409"/>
      <c r="G200" s="409"/>
    </row>
    <row r="201" spans="1:7" s="488" customFormat="1" ht="12.6" customHeight="1">
      <c r="A201" s="485" t="s">
        <v>1310</v>
      </c>
      <c r="B201" s="489"/>
      <c r="C201" s="491"/>
      <c r="D201" s="491"/>
      <c r="E201" s="490"/>
      <c r="F201" s="409"/>
      <c r="G201" s="409"/>
    </row>
    <row r="202" spans="1:7" s="488" customFormat="1" ht="12.6" customHeight="1">
      <c r="A202" s="486" t="s">
        <v>1387</v>
      </c>
      <c r="B202" s="499">
        <v>630</v>
      </c>
      <c r="C202" s="473"/>
      <c r="D202" s="473"/>
      <c r="E202" s="472"/>
      <c r="F202" s="409"/>
      <c r="G202" s="409"/>
    </row>
    <row r="203" spans="1:7" s="488" customFormat="1" ht="12.6" customHeight="1">
      <c r="A203" s="485" t="s">
        <v>1314</v>
      </c>
      <c r="B203" s="496">
        <v>635</v>
      </c>
      <c r="C203" s="495"/>
      <c r="D203" s="495"/>
      <c r="E203" s="494"/>
      <c r="F203" s="409"/>
      <c r="G203" s="409"/>
    </row>
    <row r="204" spans="1:7" s="488" customFormat="1" ht="12.6" customHeight="1">
      <c r="A204" s="484" t="s">
        <v>1315</v>
      </c>
      <c r="B204" s="498">
        <v>640</v>
      </c>
      <c r="C204" s="2435"/>
      <c r="D204" s="2435"/>
      <c r="E204" s="482"/>
      <c r="F204" s="409"/>
      <c r="G204" s="409"/>
    </row>
    <row r="205" spans="1:7" s="488" customFormat="1" ht="12.6" customHeight="1">
      <c r="A205" s="484" t="s">
        <v>1388</v>
      </c>
      <c r="B205" s="498">
        <v>645</v>
      </c>
      <c r="C205" s="2435"/>
      <c r="D205" s="2435"/>
      <c r="E205" s="482"/>
      <c r="F205" s="409"/>
      <c r="G205" s="409"/>
    </row>
    <row r="206" spans="1:7" s="488" customFormat="1" ht="12.6" customHeight="1">
      <c r="A206" s="484" t="s">
        <v>1327</v>
      </c>
      <c r="B206" s="489"/>
      <c r="C206" s="491"/>
      <c r="D206" s="491"/>
      <c r="E206" s="490"/>
      <c r="F206" s="409"/>
      <c r="G206" s="409"/>
    </row>
    <row r="207" spans="1:7" s="488" customFormat="1" ht="12.6" customHeight="1">
      <c r="A207" s="486" t="s">
        <v>1389</v>
      </c>
      <c r="B207" s="499">
        <v>650</v>
      </c>
      <c r="C207" s="473"/>
      <c r="D207" s="473"/>
      <c r="E207" s="472"/>
      <c r="F207" s="409"/>
      <c r="G207" s="409"/>
    </row>
    <row r="208" spans="1:7" s="488" customFormat="1" ht="12.6" customHeight="1">
      <c r="A208" s="485" t="s">
        <v>1390</v>
      </c>
      <c r="B208" s="496">
        <v>655</v>
      </c>
      <c r="C208" s="495"/>
      <c r="D208" s="495"/>
      <c r="E208" s="494"/>
      <c r="F208" s="409"/>
      <c r="G208" s="409"/>
    </row>
    <row r="209" spans="1:7" s="488" customFormat="1" ht="12.6" customHeight="1">
      <c r="A209" s="484" t="s">
        <v>1335</v>
      </c>
      <c r="B209" s="498">
        <v>660</v>
      </c>
      <c r="C209" s="2435"/>
      <c r="D209" s="2435"/>
      <c r="E209" s="482"/>
      <c r="F209" s="409"/>
      <c r="G209" s="409"/>
    </row>
    <row r="210" spans="1:7" s="488" customFormat="1" ht="12.6" customHeight="1">
      <c r="A210" s="484" t="s">
        <v>1391</v>
      </c>
      <c r="B210" s="498">
        <v>665</v>
      </c>
      <c r="C210" s="2435"/>
      <c r="D210" s="2435"/>
      <c r="E210" s="482"/>
      <c r="F210" s="409"/>
      <c r="G210" s="409"/>
    </row>
    <row r="211" spans="1:7" s="488" customFormat="1" ht="12.6" customHeight="1">
      <c r="A211" s="484" t="s">
        <v>1392</v>
      </c>
      <c r="B211" s="498">
        <v>670</v>
      </c>
      <c r="C211" s="2435"/>
      <c r="D211" s="2435"/>
      <c r="E211" s="482"/>
      <c r="F211" s="409"/>
      <c r="G211" s="409"/>
    </row>
    <row r="212" spans="1:7" s="488" customFormat="1" ht="12.6" customHeight="1">
      <c r="A212" s="487" t="s">
        <v>1346</v>
      </c>
      <c r="B212" s="500">
        <v>675</v>
      </c>
      <c r="C212" s="2435"/>
      <c r="D212" s="477"/>
      <c r="E212" s="476"/>
      <c r="F212" s="409"/>
      <c r="G212" s="409"/>
    </row>
    <row r="213" spans="1:7" s="418" customFormat="1" ht="12.6" customHeight="1">
      <c r="A213" s="3858" t="s">
        <v>1751</v>
      </c>
      <c r="B213" s="413"/>
      <c r="C213" s="491"/>
      <c r="D213" s="466"/>
      <c r="E213" s="466"/>
      <c r="F213" s="403"/>
      <c r="G213" s="403"/>
    </row>
    <row r="214" spans="1:7" ht="12.6" customHeight="1">
      <c r="A214" s="485" t="s">
        <v>1309</v>
      </c>
      <c r="B214" s="421"/>
      <c r="C214" s="493"/>
      <c r="D214" s="469"/>
      <c r="E214" s="469"/>
      <c r="F214" s="408"/>
      <c r="G214" s="408"/>
    </row>
    <row r="215" spans="1:7" ht="12.6" customHeight="1">
      <c r="A215" s="486" t="s">
        <v>1347</v>
      </c>
      <c r="B215" s="504">
        <v>805</v>
      </c>
      <c r="C215" s="4030"/>
      <c r="D215" s="472"/>
      <c r="E215" s="472"/>
      <c r="F215" s="408"/>
      <c r="G215" s="408"/>
    </row>
    <row r="216" spans="1:7" ht="12.6" customHeight="1">
      <c r="A216" s="487" t="s">
        <v>1270</v>
      </c>
      <c r="B216" s="500">
        <v>810</v>
      </c>
      <c r="C216" s="4030"/>
      <c r="D216" s="476"/>
      <c r="E216" s="477"/>
      <c r="F216" s="408"/>
      <c r="G216" s="408"/>
    </row>
    <row r="217" spans="1:7" ht="12.6" customHeight="1">
      <c r="A217" s="484" t="s">
        <v>1310</v>
      </c>
      <c r="B217" s="498"/>
      <c r="C217" s="493"/>
      <c r="D217" s="466"/>
      <c r="E217" s="466"/>
      <c r="F217" s="408"/>
      <c r="G217" s="408"/>
    </row>
    <row r="218" spans="1:7" ht="12.6" customHeight="1">
      <c r="A218" s="486" t="s">
        <v>1348</v>
      </c>
      <c r="B218" s="504">
        <v>815</v>
      </c>
      <c r="C218" s="4030"/>
      <c r="D218" s="472"/>
      <c r="E218" s="472"/>
      <c r="F218" s="408"/>
      <c r="G218" s="408"/>
    </row>
    <row r="219" spans="1:7" ht="12.6" customHeight="1">
      <c r="A219" s="487" t="s">
        <v>1314</v>
      </c>
      <c r="B219" s="500">
        <v>820</v>
      </c>
      <c r="C219" s="4030"/>
      <c r="D219" s="476"/>
      <c r="E219" s="476"/>
      <c r="F219" s="408"/>
      <c r="G219" s="408"/>
    </row>
    <row r="220" spans="1:7" ht="12.6" customHeight="1">
      <c r="A220" s="487" t="s">
        <v>1315</v>
      </c>
      <c r="B220" s="500">
        <v>825</v>
      </c>
      <c r="C220" s="4030"/>
      <c r="D220" s="476"/>
      <c r="E220" s="476"/>
      <c r="F220" s="408"/>
      <c r="G220" s="408"/>
    </row>
    <row r="221" spans="1:7" ht="12.6" customHeight="1">
      <c r="A221" s="465" t="s">
        <v>1281</v>
      </c>
      <c r="B221" s="498">
        <v>830</v>
      </c>
      <c r="C221" s="4030"/>
      <c r="D221" s="482"/>
      <c r="E221" s="482"/>
      <c r="F221" s="408"/>
      <c r="G221" s="408"/>
    </row>
    <row r="222" spans="1:7" ht="12.6" customHeight="1">
      <c r="A222" s="487" t="s">
        <v>1318</v>
      </c>
      <c r="B222" s="500">
        <v>835</v>
      </c>
      <c r="C222" s="4030"/>
      <c r="D222" s="476"/>
      <c r="E222" s="476"/>
      <c r="F222" s="408"/>
      <c r="G222" s="408"/>
    </row>
    <row r="223" spans="1:7" ht="12.6" customHeight="1">
      <c r="A223" s="487" t="s">
        <v>1327</v>
      </c>
      <c r="B223" s="500">
        <v>840</v>
      </c>
      <c r="C223" s="4030"/>
      <c r="D223" s="476"/>
      <c r="E223" s="476"/>
      <c r="F223" s="408"/>
      <c r="G223" s="408"/>
    </row>
    <row r="224" spans="1:7" ht="12.6" customHeight="1">
      <c r="A224" s="487" t="s">
        <v>1337</v>
      </c>
      <c r="B224" s="500">
        <v>845</v>
      </c>
      <c r="C224" s="4030"/>
      <c r="D224" s="476"/>
      <c r="E224" s="476"/>
      <c r="F224" s="408"/>
      <c r="G224" s="408"/>
    </row>
    <row r="225" spans="1:7" ht="12.6" customHeight="1">
      <c r="A225" s="487" t="s">
        <v>1345</v>
      </c>
      <c r="B225" s="500">
        <v>850</v>
      </c>
      <c r="C225" s="4030"/>
      <c r="D225" s="476"/>
      <c r="E225" s="476"/>
      <c r="F225" s="408"/>
      <c r="G225" s="408"/>
    </row>
    <row r="226" spans="1:7" ht="12.6" customHeight="1">
      <c r="A226" s="484" t="s">
        <v>1346</v>
      </c>
      <c r="B226" s="498">
        <v>855</v>
      </c>
      <c r="C226" s="4030"/>
      <c r="D226" s="482"/>
      <c r="E226" s="482"/>
      <c r="F226" s="408"/>
      <c r="G226" s="408"/>
    </row>
    <row r="227" spans="1:7" ht="12.6" customHeight="1">
      <c r="A227" s="484" t="s">
        <v>1393</v>
      </c>
      <c r="B227" s="489"/>
      <c r="C227" s="493"/>
      <c r="D227" s="490"/>
      <c r="E227" s="491"/>
      <c r="F227" s="408"/>
      <c r="G227" s="408"/>
    </row>
    <row r="228" spans="1:7" ht="12.6" customHeight="1">
      <c r="A228" s="485" t="s">
        <v>1394</v>
      </c>
      <c r="B228" s="492"/>
      <c r="C228" s="493"/>
      <c r="D228" s="3909"/>
      <c r="E228" s="493"/>
      <c r="F228" s="408"/>
      <c r="G228" s="408"/>
    </row>
    <row r="229" spans="1:7" ht="12.6" customHeight="1">
      <c r="A229" s="485" t="s">
        <v>1309</v>
      </c>
      <c r="B229" s="492"/>
      <c r="C229" s="493"/>
      <c r="D229" s="3909"/>
      <c r="E229" s="493"/>
      <c r="F229" s="408"/>
      <c r="G229" s="408"/>
    </row>
    <row r="230" spans="1:7" ht="12.6" customHeight="1">
      <c r="A230" s="486" t="s">
        <v>1347</v>
      </c>
      <c r="B230" s="499">
        <v>735</v>
      </c>
      <c r="C230" s="473"/>
      <c r="D230" s="472"/>
      <c r="E230" s="473"/>
      <c r="F230" s="408"/>
      <c r="G230" s="408"/>
    </row>
    <row r="231" spans="1:7" ht="12.6" customHeight="1">
      <c r="A231" s="485" t="s">
        <v>1270</v>
      </c>
      <c r="B231" s="496">
        <v>740</v>
      </c>
      <c r="C231" s="495"/>
      <c r="D231" s="495"/>
      <c r="E231" s="494"/>
      <c r="F231" s="408"/>
      <c r="G231" s="408"/>
    </row>
    <row r="232" spans="1:7" ht="12.6" customHeight="1">
      <c r="A232" s="484" t="s">
        <v>1310</v>
      </c>
      <c r="B232" s="489"/>
      <c r="C232" s="491"/>
      <c r="D232" s="491"/>
      <c r="E232" s="491"/>
      <c r="F232" s="408"/>
      <c r="G232" s="408"/>
    </row>
    <row r="233" spans="1:7" ht="12.6" customHeight="1">
      <c r="A233" s="486" t="s">
        <v>1348</v>
      </c>
      <c r="B233" s="499">
        <v>745</v>
      </c>
      <c r="C233" s="473"/>
      <c r="D233" s="473"/>
      <c r="E233" s="473"/>
      <c r="F233" s="408"/>
      <c r="G233" s="408"/>
    </row>
    <row r="234" spans="1:7" ht="12.6" customHeight="1">
      <c r="A234" s="486" t="s">
        <v>1314</v>
      </c>
      <c r="B234" s="504">
        <v>750</v>
      </c>
      <c r="C234" s="473"/>
      <c r="D234" s="473"/>
      <c r="E234" s="472"/>
      <c r="F234" s="408"/>
      <c r="G234" s="408"/>
    </row>
    <row r="235" spans="1:7" ht="12.6" customHeight="1">
      <c r="A235" s="484" t="s">
        <v>1315</v>
      </c>
      <c r="B235" s="498">
        <v>755</v>
      </c>
      <c r="C235" s="2435"/>
      <c r="D235" s="2435"/>
      <c r="E235" s="482"/>
      <c r="F235" s="408"/>
      <c r="G235" s="408"/>
    </row>
    <row r="236" spans="1:7" ht="12.6" customHeight="1">
      <c r="A236" s="484" t="s">
        <v>1327</v>
      </c>
      <c r="B236" s="489"/>
      <c r="C236" s="491"/>
      <c r="D236" s="491"/>
      <c r="E236" s="491"/>
      <c r="F236" s="408"/>
      <c r="G236" s="408"/>
    </row>
    <row r="237" spans="1:7" ht="12.6" customHeight="1">
      <c r="A237" s="486" t="s">
        <v>1395</v>
      </c>
      <c r="B237" s="499">
        <v>760</v>
      </c>
      <c r="C237" s="473"/>
      <c r="D237" s="473"/>
      <c r="E237" s="473"/>
      <c r="F237" s="408"/>
      <c r="G237" s="408"/>
    </row>
    <row r="238" spans="1:7" ht="12.6" customHeight="1">
      <c r="A238" s="486" t="s">
        <v>1396</v>
      </c>
      <c r="B238" s="504">
        <v>765</v>
      </c>
      <c r="C238" s="473"/>
      <c r="D238" s="473"/>
      <c r="E238" s="472"/>
      <c r="F238" s="408"/>
      <c r="G238" s="408"/>
    </row>
    <row r="239" spans="1:7" ht="12.6" customHeight="1">
      <c r="A239" s="484" t="s">
        <v>1397</v>
      </c>
      <c r="B239" s="498">
        <v>770</v>
      </c>
      <c r="C239" s="2435"/>
      <c r="D239" s="2435"/>
      <c r="E239" s="482"/>
      <c r="F239" s="408"/>
      <c r="G239" s="408"/>
    </row>
    <row r="240" spans="1:7" ht="12.6" customHeight="1">
      <c r="A240" s="484" t="s">
        <v>1337</v>
      </c>
      <c r="B240" s="489"/>
      <c r="C240" s="491"/>
      <c r="D240" s="491"/>
      <c r="E240" s="491"/>
      <c r="F240" s="408"/>
      <c r="G240" s="408"/>
    </row>
    <row r="241" spans="1:7" ht="12.6" customHeight="1">
      <c r="A241" s="486" t="s">
        <v>1398</v>
      </c>
      <c r="B241" s="499">
        <v>775</v>
      </c>
      <c r="C241" s="473"/>
      <c r="D241" s="473"/>
      <c r="E241" s="473"/>
      <c r="F241" s="408"/>
      <c r="G241" s="408"/>
    </row>
    <row r="242" spans="1:7" ht="12.6" customHeight="1">
      <c r="A242" s="486" t="s">
        <v>1399</v>
      </c>
      <c r="B242" s="504">
        <v>780</v>
      </c>
      <c r="C242" s="473"/>
      <c r="D242" s="473"/>
      <c r="E242" s="472"/>
      <c r="F242" s="408"/>
      <c r="G242" s="408"/>
    </row>
    <row r="243" spans="1:7" ht="12.6" customHeight="1">
      <c r="A243" s="487" t="s">
        <v>1345</v>
      </c>
      <c r="B243" s="500">
        <v>785</v>
      </c>
      <c r="C243" s="477"/>
      <c r="D243" s="477"/>
      <c r="E243" s="476"/>
      <c r="F243" s="408"/>
      <c r="G243" s="408"/>
    </row>
    <row r="244" spans="1:7" ht="12.6" customHeight="1">
      <c r="A244" s="487" t="s">
        <v>1346</v>
      </c>
      <c r="B244" s="500">
        <v>790</v>
      </c>
      <c r="C244" s="477"/>
      <c r="D244" s="477"/>
      <c r="E244" s="476"/>
      <c r="F244" s="408"/>
      <c r="G244" s="408"/>
    </row>
    <row r="245" spans="1:7" ht="12.6" customHeight="1">
      <c r="A245" s="487" t="s">
        <v>1349</v>
      </c>
      <c r="B245" s="475">
        <v>795</v>
      </c>
      <c r="C245" s="477"/>
      <c r="D245" s="477"/>
      <c r="E245" s="476"/>
      <c r="F245" s="408"/>
      <c r="G245" s="408"/>
    </row>
    <row r="246" spans="1:7" ht="12.6" customHeight="1">
      <c r="A246" s="484" t="s">
        <v>1350</v>
      </c>
      <c r="B246" s="475">
        <v>800</v>
      </c>
      <c r="C246" s="2435"/>
      <c r="D246" s="2435"/>
      <c r="E246" s="482"/>
      <c r="F246" s="408"/>
      <c r="G246" s="408"/>
    </row>
    <row r="247" spans="1:7" ht="12.6" customHeight="1">
      <c r="A247" s="487" t="s">
        <v>1363</v>
      </c>
      <c r="B247" s="505" t="s">
        <v>1364</v>
      </c>
      <c r="C247" s="2436">
        <f>SUM(C45:C58,C67:C122,C131:C185,C194:C246)</f>
        <v>61375</v>
      </c>
      <c r="D247" s="2436">
        <f t="shared" ref="D247:E247" si="2">SUM(D45:D58,D67:D122,D131:D185,D194:D246)</f>
        <v>54370</v>
      </c>
      <c r="E247" s="2436">
        <f t="shared" si="2"/>
        <v>50000</v>
      </c>
      <c r="F247" s="408"/>
      <c r="G247" s="408"/>
    </row>
    <row r="248" spans="1:7" ht="12.6" customHeight="1">
      <c r="A248" s="403"/>
      <c r="B248" s="404"/>
      <c r="C248" s="403"/>
      <c r="D248" s="403"/>
      <c r="E248" s="403"/>
      <c r="F248" s="408"/>
      <c r="G248" s="408"/>
    </row>
    <row r="249" spans="1:7" ht="12.6" customHeight="1">
      <c r="A249" s="403"/>
      <c r="B249" s="404"/>
      <c r="C249" s="403"/>
      <c r="D249" s="403"/>
      <c r="E249" s="403"/>
      <c r="F249" s="408"/>
      <c r="G249" s="408"/>
    </row>
    <row r="250" spans="1:7" ht="12.6" customHeight="1">
      <c r="A250" s="403"/>
      <c r="B250" s="404"/>
      <c r="C250" s="403"/>
      <c r="D250" s="403"/>
      <c r="E250" s="403"/>
      <c r="F250" s="408"/>
      <c r="G250" s="408"/>
    </row>
    <row r="251" spans="1:7" ht="12.6" customHeight="1">
      <c r="A251" s="403"/>
      <c r="B251" s="404"/>
      <c r="C251" s="403"/>
      <c r="D251" s="403"/>
      <c r="E251" s="403"/>
      <c r="F251" s="408"/>
      <c r="G251" s="408"/>
    </row>
    <row r="252" spans="1:7" ht="12.6" customHeight="1">
      <c r="A252" s="403"/>
      <c r="B252" s="404"/>
      <c r="C252" s="403"/>
      <c r="D252" s="408"/>
      <c r="E252" s="408"/>
      <c r="F252" s="408"/>
      <c r="G252" s="408"/>
    </row>
    <row r="253" spans="1:7" ht="12.6" customHeight="1">
      <c r="A253" s="403"/>
      <c r="B253" s="404"/>
      <c r="C253" s="403"/>
      <c r="D253" s="408"/>
      <c r="E253" s="408"/>
      <c r="F253" s="408"/>
      <c r="G253" s="408"/>
    </row>
    <row r="254" spans="1:7" ht="12.6" customHeight="1">
      <c r="A254" s="403"/>
      <c r="B254" s="404"/>
      <c r="C254" s="403"/>
      <c r="D254" s="408"/>
      <c r="E254" s="408"/>
      <c r="F254" s="408"/>
      <c r="G254" s="408"/>
    </row>
    <row r="255" spans="1:7" ht="12.6" customHeight="1">
      <c r="A255" s="403"/>
      <c r="B255" s="404"/>
      <c r="C255" s="403"/>
      <c r="D255" s="408"/>
      <c r="E255" s="408"/>
      <c r="F255" s="408"/>
      <c r="G255" s="408"/>
    </row>
    <row r="256" spans="1:7" ht="12.6" customHeight="1">
      <c r="A256" s="403"/>
      <c r="B256" s="404"/>
      <c r="C256" s="403"/>
      <c r="D256" s="408"/>
      <c r="E256" s="408"/>
      <c r="F256" s="408"/>
      <c r="G256" s="408"/>
    </row>
    <row r="257" spans="1:7" ht="12.6" customHeight="1">
      <c r="A257" s="403"/>
      <c r="B257" s="404"/>
      <c r="C257" s="403"/>
      <c r="D257" s="408"/>
      <c r="E257" s="408"/>
      <c r="F257" s="408"/>
      <c r="G257" s="408"/>
    </row>
    <row r="258" spans="1:7" ht="12.6" customHeight="1">
      <c r="A258" s="403"/>
      <c r="B258" s="404"/>
      <c r="C258" s="403"/>
      <c r="D258" s="408"/>
      <c r="E258" s="408"/>
      <c r="F258" s="408"/>
      <c r="G258" s="408"/>
    </row>
    <row r="259" spans="1:7" ht="12.6" customHeight="1">
      <c r="A259" s="403"/>
      <c r="B259" s="404"/>
      <c r="C259" s="403"/>
      <c r="D259" s="408"/>
      <c r="E259" s="408"/>
      <c r="F259" s="408"/>
      <c r="G259" s="408"/>
    </row>
    <row r="260" spans="1:7" ht="12.6" customHeight="1">
      <c r="A260" s="411"/>
      <c r="B260" s="506"/>
      <c r="C260" s="506"/>
      <c r="D260" s="408"/>
      <c r="E260" s="408"/>
      <c r="F260" s="408"/>
      <c r="G260" s="408"/>
    </row>
    <row r="261" spans="1:7" ht="12.6" customHeight="1">
      <c r="A261" s="403"/>
      <c r="B261" s="507"/>
      <c r="C261" s="403"/>
      <c r="D261" s="408"/>
      <c r="E261" s="408"/>
      <c r="F261" s="408"/>
      <c r="G261" s="408"/>
    </row>
    <row r="262" spans="1:7" ht="12.6" customHeight="1">
      <c r="A262" s="464"/>
      <c r="B262" s="463"/>
      <c r="C262" s="464"/>
      <c r="D262" s="508"/>
      <c r="E262" s="508"/>
      <c r="F262" s="408"/>
      <c r="G262" s="408"/>
    </row>
    <row r="263" spans="1:7" ht="12.6" customHeight="1">
      <c r="A263" s="403"/>
      <c r="B263" s="463"/>
      <c r="C263" s="508"/>
      <c r="D263" s="508"/>
      <c r="E263" s="508"/>
      <c r="F263" s="408"/>
      <c r="G263" s="408"/>
    </row>
    <row r="264" spans="1:7" s="418" customFormat="1" ht="12.6" customHeight="1">
      <c r="B264" s="509"/>
      <c r="C264" s="406"/>
      <c r="D264" s="406"/>
      <c r="E264" s="406"/>
      <c r="F264" s="403"/>
      <c r="G264" s="403"/>
    </row>
    <row r="265" spans="1:7" s="418" customFormat="1" ht="12" customHeight="1">
      <c r="B265" s="509"/>
      <c r="C265" s="406"/>
      <c r="D265" s="406"/>
      <c r="E265" s="406"/>
      <c r="F265" s="403"/>
      <c r="G265" s="403"/>
    </row>
    <row r="266" spans="1:7" s="418" customFormat="1" ht="12" customHeight="1">
      <c r="B266" s="509"/>
      <c r="C266" s="406"/>
      <c r="D266" s="406"/>
      <c r="E266" s="406"/>
      <c r="F266" s="403"/>
      <c r="G266" s="403"/>
    </row>
    <row r="267" spans="1:7" s="418" customFormat="1" ht="12" customHeight="1">
      <c r="B267" s="509"/>
      <c r="C267" s="406"/>
      <c r="D267" s="406"/>
      <c r="E267" s="406"/>
      <c r="F267" s="403"/>
      <c r="G267" s="403"/>
    </row>
    <row r="268" spans="1:7" s="418" customFormat="1" ht="12" customHeight="1">
      <c r="B268" s="509"/>
      <c r="C268" s="406"/>
      <c r="D268" s="406"/>
      <c r="E268" s="406"/>
      <c r="F268" s="403"/>
      <c r="G268" s="403"/>
    </row>
    <row r="269" spans="1:7" ht="12" customHeight="1">
      <c r="F269" s="408"/>
      <c r="G269" s="408"/>
    </row>
    <row r="270" spans="1:7" ht="12" customHeight="1">
      <c r="F270" s="408"/>
      <c r="G270" s="408"/>
    </row>
    <row r="271" spans="1:7" ht="12" customHeight="1">
      <c r="F271" s="408"/>
      <c r="G271" s="408"/>
    </row>
    <row r="272" spans="1:7" ht="12" customHeight="1">
      <c r="F272" s="408"/>
      <c r="G272" s="408"/>
    </row>
    <row r="273" spans="6:7" ht="12" customHeight="1">
      <c r="F273" s="408"/>
      <c r="G273" s="408"/>
    </row>
    <row r="274" spans="6:7" ht="12" customHeight="1">
      <c r="F274" s="408"/>
      <c r="G274" s="408"/>
    </row>
    <row r="275" spans="6:7" ht="12" customHeight="1">
      <c r="F275" s="408"/>
      <c r="G275" s="408"/>
    </row>
    <row r="276" spans="6:7" ht="12" customHeight="1">
      <c r="F276" s="408"/>
      <c r="G276" s="408"/>
    </row>
    <row r="277" spans="6:7" ht="12.6" customHeight="1">
      <c r="F277" s="408"/>
      <c r="G277" s="408"/>
    </row>
    <row r="278" spans="6:7" ht="12.6" customHeight="1">
      <c r="F278" s="408"/>
      <c r="G278" s="408"/>
    </row>
    <row r="279" spans="6:7" ht="12.95" customHeight="1">
      <c r="F279" s="408"/>
      <c r="G279" s="408"/>
    </row>
    <row r="280" spans="6:7" ht="12.6" customHeight="1">
      <c r="F280" s="408"/>
      <c r="G280" s="408"/>
    </row>
  </sheetData>
  <sheetProtection algorithmName="SHA-512" hashValue="U7FgrZcX0m6nDkhzogqjLII0aFuq7+ozIlacDgouW3+q95uX+zZKsnbhq3v2gkZy1CcavlLWz/W70eFnh5m3Ig==" saltValue="KR2SK6sK0R+3RLUB4XTVxA==" spinCount="100000" sheet="1" objects="1" scenarios="1"/>
  <mergeCells count="2">
    <mergeCell ref="A24:E24"/>
    <mergeCell ref="A26:E26"/>
  </mergeCells>
  <phoneticPr fontId="0" type="noConversion"/>
  <dataValidations count="2">
    <dataValidation type="whole" operator="greaterThanOrEqual" showInputMessage="1" showErrorMessage="1" errorTitle="Invalid Data Entry" error="Please enter a positive number or press the delete key or enter zero." sqref="C180:E180 C177:E178 C218:E246 C215:E216 C149:E150 C55:E58 C101:E105 C85:E88 C82:E82 D80:E84 C94:E99 C68:E73 C117:E122 C48:E52 C17:E19 C10:E10 C13:E15 C45:E46 C77:E78 C91:E92 C83:C84 C80:C81 C107:E109 C111:E115 C133:E134 C136:E140 C163:E175 C142:E146 C152:E160 C182:E185 C194:E212">
      <formula1>0</formula1>
    </dataValidation>
    <dataValidation type="whole" operator="greaterThanOrEqual" showInputMessage="1" showErrorMessage="1" errorTitle="Invalid beginning cash balance" error="Please enter a number or press the delete key or enter zero." sqref="C9">
      <formula1>-1000000000</formula1>
    </dataValidation>
  </dataValidations>
  <hyperlinks>
    <hyperlink ref="G1" location="Contents!F1" display="Return to Contents page"/>
  </hyperlinks>
  <printOptions horizontalCentered="1"/>
  <pageMargins left="0.5" right="0.5" top="0.5" bottom="0.5" header="0.5" footer="0.5"/>
  <pageSetup scale="89" orientation="portrait" blackAndWhite="1" r:id="rId1"/>
  <headerFooter alignWithMargins="0">
    <oddFooter>&amp;L&amp;D    &amp;T &amp;CCode No. 35&amp;RPage &amp;P</oddFooter>
  </headerFooter>
  <rowBreaks count="4" manualBreakCount="4">
    <brk id="58" max="4" man="1"/>
    <brk id="122" max="4" man="1"/>
    <brk id="185" max="4" man="1"/>
    <brk id="247" max="4"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4" tint="0.39997558519241921"/>
  </sheetPr>
  <dimension ref="A1:M315"/>
  <sheetViews>
    <sheetView workbookViewId="0">
      <selection activeCell="C9" sqref="C9"/>
    </sheetView>
  </sheetViews>
  <sheetFormatPr defaultColWidth="10.7109375" defaultRowHeight="12" customHeight="1"/>
  <cols>
    <col min="1" max="1" width="40.42578125" style="1489" customWidth="1"/>
    <col min="2" max="2" width="4.85546875" style="1526" customWidth="1"/>
    <col min="3" max="3" width="15.28515625" style="1483" customWidth="1"/>
    <col min="4" max="4" width="15.5703125" style="1483" customWidth="1"/>
    <col min="5" max="5" width="15" style="1483" customWidth="1"/>
    <col min="6" max="6" width="16" style="1483" customWidth="1"/>
    <col min="7" max="7" width="2.7109375" style="1483" customWidth="1"/>
    <col min="8" max="8" width="21" style="1483" customWidth="1"/>
    <col min="9" max="16384" width="10.7109375" style="1483"/>
  </cols>
  <sheetData>
    <row r="1" spans="1:13" ht="12" customHeight="1">
      <c r="A1" s="1480" t="s">
        <v>1019</v>
      </c>
      <c r="B1" s="1481">
        <f>OPEN!$B$4</f>
        <v>270</v>
      </c>
      <c r="C1" s="1482"/>
      <c r="D1" s="1482"/>
      <c r="E1" s="1482"/>
      <c r="F1" s="1480" t="s">
        <v>1020</v>
      </c>
      <c r="H1" s="3013" t="s">
        <v>866</v>
      </c>
    </row>
    <row r="2" spans="1:13" ht="12" customHeight="1">
      <c r="A2" s="1482"/>
      <c r="B2" s="1484"/>
      <c r="C2" s="1482"/>
      <c r="D2" s="1482"/>
      <c r="E2" s="1482"/>
      <c r="F2" s="1480" t="s">
        <v>1212</v>
      </c>
    </row>
    <row r="3" spans="1:13" ht="12" customHeight="1">
      <c r="A3" s="1482"/>
      <c r="B3" s="1484"/>
      <c r="C3" s="1482"/>
      <c r="D3" s="1482"/>
      <c r="E3" s="1482"/>
      <c r="F3" s="1480" t="str">
        <f>OPEN!N2</f>
        <v>2016-2017</v>
      </c>
    </row>
    <row r="4" spans="1:13" ht="5.0999999999999996" customHeight="1">
      <c r="A4" s="1482"/>
      <c r="B4" s="1484"/>
      <c r="C4" s="1482"/>
      <c r="D4" s="1482"/>
      <c r="E4" s="1482"/>
      <c r="F4" s="1482"/>
    </row>
    <row r="5" spans="1:13" ht="12" customHeight="1">
      <c r="A5" s="1482"/>
      <c r="B5" s="1484"/>
      <c r="C5" s="1485" t="s">
        <v>1213</v>
      </c>
      <c r="D5" s="1485" t="s">
        <v>1213</v>
      </c>
      <c r="E5" s="1485" t="s">
        <v>1213</v>
      </c>
      <c r="F5" s="1485" t="s">
        <v>10</v>
      </c>
    </row>
    <row r="6" spans="1:13" ht="12" customHeight="1">
      <c r="A6" s="1486"/>
      <c r="B6" s="1487" t="s">
        <v>1045</v>
      </c>
      <c r="C6" s="1488" t="str">
        <f>OPEN!N4</f>
        <v>2014-2015</v>
      </c>
      <c r="D6" s="1488" t="str">
        <f>OPEN!O4</f>
        <v>2015-2016</v>
      </c>
      <c r="E6" s="1488" t="str">
        <f>OPEN!P4</f>
        <v>2016-2017</v>
      </c>
      <c r="F6" s="1488" t="s">
        <v>758</v>
      </c>
      <c r="K6" s="1489"/>
      <c r="L6" s="1489"/>
      <c r="M6" s="1489"/>
    </row>
    <row r="7" spans="1:13" ht="12" customHeight="1">
      <c r="A7" s="1486" t="s">
        <v>764</v>
      </c>
      <c r="B7" s="1490">
        <v>42</v>
      </c>
      <c r="C7" s="1491" t="s">
        <v>1139</v>
      </c>
      <c r="D7" s="1491" t="s">
        <v>1139</v>
      </c>
      <c r="E7" s="1491" t="s">
        <v>1215</v>
      </c>
      <c r="F7" s="1491" t="s">
        <v>16</v>
      </c>
    </row>
    <row r="8" spans="1:13" ht="12" customHeight="1">
      <c r="A8" s="1492"/>
      <c r="B8" s="1493" t="s">
        <v>1051</v>
      </c>
      <c r="C8" s="1494">
        <v>1</v>
      </c>
      <c r="D8" s="1494">
        <v>2</v>
      </c>
      <c r="E8" s="1494">
        <v>3</v>
      </c>
      <c r="F8" s="1494">
        <v>4</v>
      </c>
    </row>
    <row r="9" spans="1:13" ht="12" customHeight="1">
      <c r="A9" s="1495" t="s">
        <v>1402</v>
      </c>
      <c r="B9" s="1493">
        <v>1</v>
      </c>
      <c r="C9" s="1496"/>
      <c r="D9" s="1497">
        <f>C49</f>
        <v>0</v>
      </c>
      <c r="E9" s="1497">
        <f>D49</f>
        <v>0</v>
      </c>
      <c r="F9" s="1498">
        <f>E9</f>
        <v>0</v>
      </c>
    </row>
    <row r="10" spans="1:13" ht="12" customHeight="1">
      <c r="A10" s="1499" t="s">
        <v>1403</v>
      </c>
      <c r="B10" s="1490">
        <v>3</v>
      </c>
      <c r="C10" s="1500"/>
      <c r="D10" s="1500"/>
      <c r="E10" s="1501"/>
      <c r="F10" s="1501"/>
    </row>
    <row r="11" spans="1:13" ht="12" customHeight="1">
      <c r="A11" s="1502" t="s">
        <v>19</v>
      </c>
      <c r="B11" s="1487"/>
      <c r="C11" s="1503"/>
      <c r="D11" s="1503"/>
      <c r="E11" s="1501"/>
      <c r="F11" s="1501"/>
    </row>
    <row r="12" spans="1:13" ht="12" customHeight="1">
      <c r="A12" s="1499" t="s">
        <v>20</v>
      </c>
      <c r="B12" s="1490"/>
      <c r="C12" s="1501"/>
      <c r="D12" s="1501"/>
      <c r="E12" s="1501"/>
      <c r="F12" s="1501"/>
    </row>
    <row r="13" spans="1:13" ht="12" customHeight="1">
      <c r="A13" s="1499" t="s">
        <v>21</v>
      </c>
      <c r="B13" s="1490"/>
      <c r="C13" s="1501"/>
      <c r="D13" s="1501"/>
      <c r="E13" s="1501"/>
      <c r="F13" s="1501"/>
    </row>
    <row r="14" spans="1:13" ht="12" customHeight="1">
      <c r="A14" s="1495" t="str">
        <f>OPEN!N8</f>
        <v xml:space="preserve">    2013  $</v>
      </c>
      <c r="B14" s="1493">
        <v>5</v>
      </c>
      <c r="C14" s="1496"/>
      <c r="D14" s="1501"/>
      <c r="E14" s="1501"/>
      <c r="F14" s="1501"/>
      <c r="H14" s="1504"/>
    </row>
    <row r="15" spans="1:13" ht="12" customHeight="1">
      <c r="A15" s="1505" t="str">
        <f>OPEN!N9</f>
        <v xml:space="preserve">    2014  $</v>
      </c>
      <c r="B15" s="1506">
        <v>10</v>
      </c>
      <c r="C15" s="1507"/>
      <c r="D15" s="1496"/>
      <c r="E15" s="1501"/>
      <c r="F15" s="1501"/>
    </row>
    <row r="16" spans="1:13" ht="12" customHeight="1">
      <c r="A16" s="1495" t="str">
        <f>OPEN!N10</f>
        <v xml:space="preserve">    2015  $</v>
      </c>
      <c r="B16" s="1493">
        <v>15</v>
      </c>
      <c r="C16" s="1503"/>
      <c r="D16" s="1497">
        <f>'C04'!E18</f>
        <v>0</v>
      </c>
      <c r="E16" s="1497">
        <f>'F110'!G81</f>
        <v>0</v>
      </c>
      <c r="F16" s="1497">
        <f>E16</f>
        <v>0</v>
      </c>
    </row>
    <row r="17" spans="1:9" ht="12" customHeight="1">
      <c r="A17" s="1505" t="str">
        <f>OPEN!N11</f>
        <v xml:space="preserve">    2016  $</v>
      </c>
      <c r="B17" s="1506">
        <v>20</v>
      </c>
      <c r="C17" s="1501"/>
      <c r="D17" s="1503"/>
      <c r="E17" s="1498">
        <f>'C04'!L18</f>
        <v>0</v>
      </c>
      <c r="F17" s="1503"/>
    </row>
    <row r="18" spans="1:9" ht="12" customHeight="1">
      <c r="A18" s="1505" t="s">
        <v>1875</v>
      </c>
      <c r="B18" s="1506">
        <v>25</v>
      </c>
      <c r="C18" s="1496"/>
      <c r="D18" s="2601"/>
      <c r="E18" s="1497">
        <f>0.667*F18</f>
        <v>0</v>
      </c>
      <c r="F18" s="2604">
        <f>'F110'!G85</f>
        <v>0</v>
      </c>
    </row>
    <row r="19" spans="1:9" ht="12" customHeight="1">
      <c r="A19" s="5129" t="s">
        <v>399</v>
      </c>
      <c r="B19" s="5130">
        <v>27</v>
      </c>
      <c r="C19" s="1496"/>
      <c r="D19" s="2601"/>
      <c r="E19" s="4230"/>
      <c r="F19" s="4231"/>
      <c r="I19" s="4232"/>
    </row>
    <row r="20" spans="1:9" ht="12" customHeight="1">
      <c r="A20" s="1505" t="s">
        <v>25</v>
      </c>
      <c r="B20" s="1506">
        <v>30</v>
      </c>
      <c r="C20" s="1507"/>
      <c r="D20" s="1507"/>
      <c r="E20" s="1496"/>
      <c r="F20" s="1498">
        <f>E20</f>
        <v>0</v>
      </c>
    </row>
    <row r="21" spans="1:9" ht="12" customHeight="1">
      <c r="A21" s="1495" t="s">
        <v>30</v>
      </c>
      <c r="B21" s="1493">
        <v>35</v>
      </c>
      <c r="C21" s="1503"/>
      <c r="D21" s="1503"/>
      <c r="E21" s="1503"/>
      <c r="F21" s="1496"/>
    </row>
    <row r="22" spans="1:9" ht="12" customHeight="1">
      <c r="A22" s="1502" t="s">
        <v>28</v>
      </c>
      <c r="B22" s="1487"/>
      <c r="C22" s="1501"/>
      <c r="D22" s="1501"/>
      <c r="E22" s="1501"/>
      <c r="F22" s="1503"/>
    </row>
    <row r="23" spans="1:9" ht="12" customHeight="1">
      <c r="A23" s="1495" t="s">
        <v>286</v>
      </c>
      <c r="B23" s="1493">
        <v>40</v>
      </c>
      <c r="C23" s="1496"/>
      <c r="D23" s="1496"/>
      <c r="E23" s="1497">
        <f>IF(ISERROR('F194'!H86+'F194'!H28+'F194'!$P$86+'F194'!$P$28),0,('F194'!H28+'F194'!H86+'F194'!$P$86+'F194'!$P$28))</f>
        <v>0</v>
      </c>
      <c r="F23" s="1497">
        <f>E23</f>
        <v>0</v>
      </c>
    </row>
    <row r="24" spans="1:9" ht="12" customHeight="1">
      <c r="A24" s="1505" t="s">
        <v>30</v>
      </c>
      <c r="B24" s="1506">
        <v>45</v>
      </c>
      <c r="C24" s="1503"/>
      <c r="D24" s="1503"/>
      <c r="E24" s="1503"/>
      <c r="F24" s="1498">
        <f>F23*0.5</f>
        <v>0</v>
      </c>
    </row>
    <row r="25" spans="1:9" ht="12" customHeight="1">
      <c r="A25" s="1495" t="s">
        <v>31</v>
      </c>
      <c r="B25" s="1493">
        <v>50</v>
      </c>
      <c r="C25" s="1496"/>
      <c r="D25" s="1496"/>
      <c r="E25" s="1497">
        <f>IF(ISERROR('F194'!$L$86+'F194'!$L$28),0,('F194'!$L$86+'F194'!$L$28))</f>
        <v>0</v>
      </c>
      <c r="F25" s="1498">
        <f>E25</f>
        <v>0</v>
      </c>
    </row>
    <row r="26" spans="1:9" ht="12" customHeight="1">
      <c r="A26" s="1495" t="s">
        <v>32</v>
      </c>
      <c r="B26" s="1493">
        <v>55</v>
      </c>
      <c r="C26" s="1501"/>
      <c r="D26" s="1501"/>
      <c r="E26" s="1501"/>
      <c r="F26" s="1498">
        <f>F25*0.5</f>
        <v>0</v>
      </c>
    </row>
    <row r="27" spans="1:9" ht="12" customHeight="1">
      <c r="A27" s="5131" t="s">
        <v>1870</v>
      </c>
      <c r="B27" s="5132">
        <v>56</v>
      </c>
      <c r="C27" s="4230"/>
      <c r="D27" s="4230"/>
      <c r="E27" s="1497">
        <f>IF(ISERROR('F194'!R86+'F194'!R28),0,('F194'!R86+'F194'!R28))</f>
        <v>0</v>
      </c>
      <c r="F27" s="1498">
        <f>E27</f>
        <v>0</v>
      </c>
    </row>
    <row r="28" spans="1:9" ht="12" customHeight="1">
      <c r="A28" s="5131" t="s">
        <v>32</v>
      </c>
      <c r="B28" s="5132">
        <v>57</v>
      </c>
      <c r="C28" s="1501"/>
      <c r="D28" s="1501"/>
      <c r="E28" s="5133"/>
      <c r="F28" s="1498">
        <f>F27*0.5</f>
        <v>0</v>
      </c>
    </row>
    <row r="29" spans="1:9" ht="12" customHeight="1">
      <c r="A29" s="1495" t="s">
        <v>1938</v>
      </c>
      <c r="B29" s="1493">
        <v>60</v>
      </c>
      <c r="C29" s="1500"/>
      <c r="D29" s="1500"/>
      <c r="E29" s="1497">
        <f>IF(ISERROR('F194'!N86+'F194'!N28),0,('F194'!N86+'F194'!N28))</f>
        <v>0</v>
      </c>
      <c r="F29" s="1498">
        <f>E29</f>
        <v>0</v>
      </c>
    </row>
    <row r="30" spans="1:9" ht="12" customHeight="1">
      <c r="A30" s="1508" t="s">
        <v>30</v>
      </c>
      <c r="B30" s="1509">
        <v>65</v>
      </c>
      <c r="C30" s="1503"/>
      <c r="D30" s="3353"/>
      <c r="E30" s="3353"/>
      <c r="F30" s="1517">
        <f>F29*0.5</f>
        <v>0</v>
      </c>
    </row>
    <row r="31" spans="1:9" ht="12" customHeight="1">
      <c r="A31" s="1499" t="s">
        <v>1420</v>
      </c>
      <c r="B31" s="3389"/>
      <c r="C31" s="1501"/>
      <c r="D31" s="2603"/>
      <c r="E31" s="2603"/>
      <c r="F31" s="1503"/>
    </row>
    <row r="32" spans="1:9" ht="12" customHeight="1">
      <c r="A32" s="1495" t="s">
        <v>1422</v>
      </c>
      <c r="B32" s="3390">
        <v>70</v>
      </c>
      <c r="C32" s="2685">
        <f>'C06'!C351</f>
        <v>0</v>
      </c>
      <c r="D32" s="3354">
        <f>'C06'!D351</f>
        <v>0</v>
      </c>
      <c r="E32" s="3354">
        <f>'C06'!E351</f>
        <v>0</v>
      </c>
      <c r="F32" s="2685">
        <f>E32</f>
        <v>0</v>
      </c>
      <c r="G32" s="2576"/>
    </row>
    <row r="33" spans="1:10" ht="12" customHeight="1">
      <c r="A33" s="2683" t="s">
        <v>30</v>
      </c>
      <c r="B33" s="2688">
        <v>75</v>
      </c>
      <c r="C33" s="2577"/>
      <c r="D33" s="2577"/>
      <c r="E33" s="1503"/>
      <c r="F33" s="1496"/>
      <c r="G33" s="2576"/>
    </row>
    <row r="34" spans="1:10" ht="12" customHeight="1">
      <c r="A34" s="1495" t="s">
        <v>1243</v>
      </c>
      <c r="B34" s="2687">
        <v>80</v>
      </c>
      <c r="C34" s="2685">
        <f>'C08'!C320</f>
        <v>0</v>
      </c>
      <c r="D34" s="2685">
        <f>'C08'!D320</f>
        <v>0</v>
      </c>
      <c r="E34" s="2685">
        <f>'C08'!E320</f>
        <v>0</v>
      </c>
      <c r="F34" s="2686">
        <f>E34</f>
        <v>0</v>
      </c>
      <c r="G34" s="2576"/>
    </row>
    <row r="35" spans="1:10" ht="12" customHeight="1">
      <c r="A35" s="2684" t="s">
        <v>32</v>
      </c>
      <c r="B35" s="2687">
        <v>85</v>
      </c>
      <c r="C35" s="2577"/>
      <c r="D35" s="2577"/>
      <c r="E35" s="1501"/>
      <c r="F35" s="1496"/>
      <c r="G35" s="2576"/>
    </row>
    <row r="36" spans="1:10" ht="12" customHeight="1">
      <c r="A36" s="1495" t="s">
        <v>1423</v>
      </c>
      <c r="B36" s="2687">
        <v>90</v>
      </c>
      <c r="C36" s="2685">
        <f>'C053'!C273</f>
        <v>0</v>
      </c>
      <c r="D36" s="2685">
        <f>'C053'!D273</f>
        <v>0</v>
      </c>
      <c r="E36" s="2574" t="s">
        <v>1251</v>
      </c>
      <c r="F36" s="2575" t="str">
        <f>E36</f>
        <v>xxxxxxxxxxx</v>
      </c>
    </row>
    <row r="37" spans="1:10" ht="12" customHeight="1">
      <c r="A37" s="1510" t="s">
        <v>52</v>
      </c>
      <c r="B37" s="1511">
        <v>100</v>
      </c>
      <c r="C37" s="1497">
        <f>SUM(C9:C36)</f>
        <v>0</v>
      </c>
      <c r="D37" s="1497">
        <f>SUM(D9:D36)</f>
        <v>0</v>
      </c>
      <c r="E37" s="1497">
        <f>SUM(E9:E36)</f>
        <v>0</v>
      </c>
      <c r="F37" s="1498">
        <f>SUM(F9:F35)</f>
        <v>0</v>
      </c>
    </row>
    <row r="38" spans="1:10" ht="12" customHeight="1">
      <c r="A38" s="1512" t="s">
        <v>111</v>
      </c>
      <c r="B38" s="1488"/>
      <c r="C38" s="1503"/>
      <c r="D38" s="1503"/>
      <c r="E38" s="1503"/>
      <c r="F38" s="1503"/>
    </row>
    <row r="39" spans="1:10" ht="12" customHeight="1">
      <c r="A39" s="1513" t="s">
        <v>759</v>
      </c>
      <c r="B39" s="1491"/>
      <c r="C39" s="1501"/>
      <c r="D39" s="1501"/>
      <c r="E39" s="1501"/>
      <c r="F39" s="1501"/>
    </row>
    <row r="40" spans="1:10" ht="12" customHeight="1">
      <c r="A40" s="1513" t="s">
        <v>1674</v>
      </c>
      <c r="B40" s="1491"/>
      <c r="C40" s="1501"/>
      <c r="D40" s="1501"/>
      <c r="E40" s="1501"/>
      <c r="F40" s="1501"/>
    </row>
    <row r="41" spans="1:10" ht="12" customHeight="1">
      <c r="A41" s="1514" t="s">
        <v>765</v>
      </c>
      <c r="B41" s="1515">
        <v>105</v>
      </c>
      <c r="C41" s="1496"/>
      <c r="D41" s="1496"/>
      <c r="E41" s="1496"/>
      <c r="F41" s="1501"/>
    </row>
    <row r="42" spans="1:10" ht="12" customHeight="1">
      <c r="A42" s="1508" t="s">
        <v>760</v>
      </c>
      <c r="B42" s="1509">
        <v>110</v>
      </c>
      <c r="C42" s="1507"/>
      <c r="D42" s="1507"/>
      <c r="E42" s="1507"/>
      <c r="F42" s="1501"/>
    </row>
    <row r="43" spans="1:10" ht="12" customHeight="1">
      <c r="A43" s="1514" t="s">
        <v>766</v>
      </c>
      <c r="B43" s="1515">
        <v>115</v>
      </c>
      <c r="C43" s="1516"/>
      <c r="D43" s="1507"/>
      <c r="E43" s="2605"/>
      <c r="F43" s="1501"/>
    </row>
    <row r="44" spans="1:10" ht="12" customHeight="1">
      <c r="A44" s="1512" t="s">
        <v>1351</v>
      </c>
      <c r="B44" s="1488"/>
      <c r="C44" s="1517"/>
      <c r="D44" s="2600"/>
      <c r="E44" s="1503"/>
      <c r="F44" s="2603"/>
    </row>
    <row r="45" spans="1:10" ht="12" customHeight="1">
      <c r="A45" s="1514" t="s">
        <v>153</v>
      </c>
      <c r="B45" s="1515">
        <v>120</v>
      </c>
      <c r="C45" s="1496">
        <v>0</v>
      </c>
      <c r="D45" s="2601">
        <v>0</v>
      </c>
      <c r="E45" s="1496">
        <v>0</v>
      </c>
      <c r="F45" s="2603"/>
      <c r="J45" s="1504"/>
    </row>
    <row r="46" spans="1:10" ht="12" customHeight="1">
      <c r="A46" s="1508" t="s">
        <v>761</v>
      </c>
      <c r="B46" s="1509">
        <v>175</v>
      </c>
      <c r="C46" s="1498">
        <f>SUM(C38:C45)</f>
        <v>0</v>
      </c>
      <c r="D46" s="2602">
        <f>SUM(D38:D45)</f>
        <v>0</v>
      </c>
      <c r="E46" s="1497">
        <f>SUM(E38:E45)</f>
        <v>0</v>
      </c>
      <c r="F46" s="2604">
        <f>E46</f>
        <v>0</v>
      </c>
    </row>
    <row r="47" spans="1:10" ht="12" customHeight="1">
      <c r="A47" s="1508" t="s">
        <v>767</v>
      </c>
      <c r="B47" s="1509">
        <v>180</v>
      </c>
      <c r="C47" s="1518" t="s">
        <v>1189</v>
      </c>
      <c r="D47" s="1518" t="s">
        <v>1189</v>
      </c>
      <c r="E47" s="2606" t="s">
        <v>1251</v>
      </c>
      <c r="F47" s="1507"/>
    </row>
    <row r="48" spans="1:10" ht="12" customHeight="1">
      <c r="A48" s="1508" t="s">
        <v>762</v>
      </c>
      <c r="B48" s="1511">
        <v>185</v>
      </c>
      <c r="C48" s="1518" t="s">
        <v>1189</v>
      </c>
      <c r="D48" s="1518" t="s">
        <v>1189</v>
      </c>
      <c r="E48" s="1518" t="s">
        <v>1251</v>
      </c>
      <c r="F48" s="1498">
        <f>SUM(F46+F47)</f>
        <v>0</v>
      </c>
    </row>
    <row r="49" spans="1:9" ht="12" customHeight="1">
      <c r="A49" s="1508" t="s">
        <v>290</v>
      </c>
      <c r="B49" s="1509">
        <v>190</v>
      </c>
      <c r="C49" s="1497">
        <f>SUM(C37-C46)</f>
        <v>0</v>
      </c>
      <c r="D49" s="1497">
        <f>SUM(D37-D46)</f>
        <v>0</v>
      </c>
      <c r="E49" s="1497">
        <f>SUM(E37-E46)</f>
        <v>0</v>
      </c>
      <c r="F49" s="1518" t="s">
        <v>1251</v>
      </c>
    </row>
    <row r="50" spans="1:9" ht="12" customHeight="1">
      <c r="A50" s="1519"/>
      <c r="B50" s="1509">
        <v>195</v>
      </c>
      <c r="C50" s="1520" t="s">
        <v>337</v>
      </c>
      <c r="D50" s="1521"/>
      <c r="E50" s="1522"/>
      <c r="F50" s="1498">
        <f>SUM(F48-F37)</f>
        <v>0</v>
      </c>
    </row>
    <row r="51" spans="1:9" ht="12" customHeight="1">
      <c r="A51" s="1519"/>
      <c r="B51" s="1509">
        <v>200</v>
      </c>
      <c r="C51" s="1520" t="s">
        <v>763</v>
      </c>
      <c r="D51" s="1521"/>
      <c r="E51" s="1522"/>
      <c r="F51" s="1498">
        <f>F50*'C01'!$F$119/100</f>
        <v>0</v>
      </c>
    </row>
    <row r="52" spans="1:9" ht="12" customHeight="1">
      <c r="A52" s="1519"/>
      <c r="B52" s="1509">
        <v>205</v>
      </c>
      <c r="C52" s="1520" t="str">
        <f>OPEN!N6</f>
        <v>Amount of 2016 Tax to be Levied</v>
      </c>
      <c r="D52" s="1521"/>
      <c r="E52" s="1523"/>
      <c r="F52" s="1498">
        <f>F50+F51</f>
        <v>0</v>
      </c>
      <c r="H52" s="3155" t="s">
        <v>384</v>
      </c>
      <c r="I52" s="3201">
        <f>IF(ISERROR(F52/OPEN!A14*1000),"Check errors below",F52/OPEN!A14*1000)</f>
        <v>0</v>
      </c>
    </row>
    <row r="53" spans="1:9" ht="12" customHeight="1">
      <c r="A53" s="1482"/>
      <c r="B53" s="2778" t="s">
        <v>1364</v>
      </c>
      <c r="C53" s="1482"/>
      <c r="D53" s="1482"/>
      <c r="E53" s="1482"/>
      <c r="F53" s="1482"/>
      <c r="H53" s="3156" t="str">
        <f>OPEN!N40</f>
        <v/>
      </c>
      <c r="I53" s="1489"/>
    </row>
    <row r="54" spans="1:9" ht="12" customHeight="1">
      <c r="A54" s="1482"/>
      <c r="B54" s="1485"/>
      <c r="C54" s="1482"/>
      <c r="D54" s="1482"/>
      <c r="E54" s="1482"/>
      <c r="F54" s="1482"/>
    </row>
    <row r="55" spans="1:9" ht="12" customHeight="1">
      <c r="A55" s="1482"/>
      <c r="B55" s="1485"/>
      <c r="C55" s="1482"/>
      <c r="D55" s="1482"/>
      <c r="E55" s="1482"/>
      <c r="F55" s="1482"/>
    </row>
    <row r="56" spans="1:9" ht="12" customHeight="1">
      <c r="A56" s="1482"/>
      <c r="B56" s="1485"/>
      <c r="C56" s="1482"/>
      <c r="D56" s="1482"/>
      <c r="E56" s="1482"/>
      <c r="F56" s="1482"/>
    </row>
    <row r="57" spans="1:9" ht="12" customHeight="1">
      <c r="A57" s="1482"/>
      <c r="B57" s="1485"/>
      <c r="C57" s="1482"/>
      <c r="D57" s="1482"/>
      <c r="E57" s="1482"/>
      <c r="F57" s="1482"/>
    </row>
    <row r="58" spans="1:9" ht="12" customHeight="1">
      <c r="A58" s="1482"/>
      <c r="B58" s="1485"/>
      <c r="C58" s="1482"/>
      <c r="D58" s="1482"/>
      <c r="E58" s="1482"/>
      <c r="F58" s="1482"/>
    </row>
    <row r="59" spans="1:9" ht="12" customHeight="1">
      <c r="A59" s="1482"/>
      <c r="B59" s="1485"/>
      <c r="C59" s="1482"/>
      <c r="D59" s="1482"/>
      <c r="E59" s="1482"/>
      <c r="F59" s="1482"/>
    </row>
    <row r="60" spans="1:9" ht="12" customHeight="1">
      <c r="A60" s="1482"/>
      <c r="B60" s="1485"/>
      <c r="C60" s="1482"/>
      <c r="D60" s="1482"/>
      <c r="E60" s="1482"/>
      <c r="F60" s="1482"/>
    </row>
    <row r="61" spans="1:9" ht="12" customHeight="1">
      <c r="A61" s="1482"/>
      <c r="B61" s="1485"/>
      <c r="C61" s="1482"/>
      <c r="D61" s="1482"/>
      <c r="E61" s="1482"/>
      <c r="F61" s="1482"/>
    </row>
    <row r="62" spans="1:9" ht="12" customHeight="1">
      <c r="A62" s="1482"/>
      <c r="B62" s="1485"/>
      <c r="C62" s="1482"/>
      <c r="D62" s="1482"/>
      <c r="E62" s="1482"/>
      <c r="F62" s="1482"/>
    </row>
    <row r="63" spans="1:9" ht="12" customHeight="1">
      <c r="A63" s="1482"/>
      <c r="B63" s="1485"/>
      <c r="C63" s="1482"/>
      <c r="D63" s="1482"/>
      <c r="E63" s="1482"/>
      <c r="F63" s="1482"/>
    </row>
    <row r="64" spans="1:9" ht="14.25" customHeight="1">
      <c r="A64" s="1482"/>
      <c r="B64" s="1485"/>
      <c r="C64" s="1482"/>
      <c r="D64" s="1482"/>
      <c r="E64" s="1482"/>
      <c r="F64" s="1482"/>
    </row>
    <row r="65" spans="1:6" ht="14.25" customHeight="1">
      <c r="A65" s="1482"/>
      <c r="B65" s="1485"/>
      <c r="C65" s="1482"/>
      <c r="D65" s="1482"/>
      <c r="E65" s="1482"/>
      <c r="F65" s="1482"/>
    </row>
    <row r="66" spans="1:6" ht="14.25" customHeight="1">
      <c r="A66" s="1482"/>
      <c r="B66" s="1485"/>
      <c r="C66" s="1482"/>
      <c r="D66" s="1482"/>
      <c r="E66" s="1482"/>
      <c r="F66" s="1482"/>
    </row>
    <row r="67" spans="1:6" ht="12" customHeight="1">
      <c r="A67" s="1524"/>
      <c r="B67" s="1524"/>
      <c r="C67" s="1524"/>
      <c r="D67" s="1524"/>
      <c r="E67" s="1524"/>
      <c r="F67" s="1524"/>
    </row>
    <row r="68" spans="1:6" ht="12" customHeight="1">
      <c r="A68" s="1482"/>
      <c r="B68" s="1485"/>
      <c r="C68" s="1525"/>
      <c r="D68" s="1525"/>
      <c r="E68" s="1525"/>
      <c r="F68" s="1525"/>
    </row>
    <row r="69" spans="1:6" ht="12" customHeight="1">
      <c r="A69" s="1482"/>
      <c r="B69" s="1485"/>
      <c r="C69" s="1525"/>
      <c r="D69" s="1525"/>
      <c r="E69" s="1525"/>
      <c r="F69" s="1525"/>
    </row>
    <row r="70" spans="1:6" ht="12" customHeight="1">
      <c r="A70" s="1482"/>
      <c r="B70" s="1485"/>
      <c r="C70" s="1525"/>
      <c r="D70" s="1525"/>
      <c r="E70" s="1525"/>
      <c r="F70" s="1525"/>
    </row>
    <row r="71" spans="1:6" ht="12" customHeight="1">
      <c r="A71" s="1482"/>
      <c r="B71" s="1485"/>
      <c r="C71" s="1525"/>
      <c r="D71" s="1525"/>
      <c r="E71" s="1525"/>
      <c r="F71" s="1525"/>
    </row>
    <row r="72" spans="1:6" ht="12" customHeight="1">
      <c r="A72" s="1482"/>
      <c r="B72" s="1485"/>
      <c r="C72" s="1525"/>
      <c r="D72" s="1525"/>
      <c r="E72" s="1525"/>
      <c r="F72" s="1525"/>
    </row>
    <row r="73" spans="1:6" ht="12" customHeight="1">
      <c r="A73" s="1482"/>
      <c r="B73" s="1485"/>
      <c r="C73" s="1525"/>
      <c r="D73" s="1525"/>
      <c r="E73" s="1525"/>
      <c r="F73" s="1525"/>
    </row>
    <row r="74" spans="1:6" ht="12" customHeight="1">
      <c r="A74" s="1482"/>
      <c r="B74" s="1485"/>
      <c r="C74" s="1525"/>
      <c r="D74" s="1525"/>
      <c r="E74" s="1525"/>
      <c r="F74" s="1525"/>
    </row>
    <row r="75" spans="1:6" ht="12" customHeight="1">
      <c r="A75" s="1482"/>
      <c r="B75" s="1485"/>
      <c r="C75" s="1525"/>
      <c r="D75" s="1525"/>
      <c r="E75" s="1525"/>
      <c r="F75" s="1525"/>
    </row>
    <row r="76" spans="1:6" ht="12" customHeight="1">
      <c r="A76" s="1482"/>
      <c r="B76" s="1485"/>
      <c r="C76" s="1525"/>
      <c r="D76" s="1525"/>
      <c r="E76" s="1525"/>
      <c r="F76" s="1525"/>
    </row>
    <row r="77" spans="1:6" ht="12" customHeight="1">
      <c r="A77" s="1482"/>
      <c r="B77" s="1485"/>
      <c r="C77" s="1525"/>
      <c r="D77" s="1525"/>
      <c r="E77" s="1525"/>
      <c r="F77" s="1525"/>
    </row>
    <row r="78" spans="1:6" ht="12" customHeight="1">
      <c r="A78" s="1482"/>
      <c r="B78" s="1485"/>
      <c r="C78" s="1525"/>
      <c r="D78" s="1525"/>
      <c r="E78" s="1525"/>
      <c r="F78" s="1525"/>
    </row>
    <row r="79" spans="1:6" ht="12" customHeight="1">
      <c r="A79" s="1482"/>
      <c r="B79" s="1485"/>
      <c r="C79" s="1525"/>
      <c r="D79" s="1525"/>
      <c r="E79" s="1525"/>
      <c r="F79" s="1525"/>
    </row>
    <row r="80" spans="1:6" ht="12" customHeight="1">
      <c r="A80" s="1482"/>
      <c r="B80" s="1485"/>
      <c r="C80" s="1525"/>
      <c r="D80" s="1525"/>
      <c r="E80" s="1525"/>
      <c r="F80" s="1525"/>
    </row>
    <row r="81" spans="1:6" ht="12" customHeight="1">
      <c r="A81" s="1482"/>
      <c r="B81" s="1485"/>
      <c r="C81" s="1525"/>
      <c r="D81" s="1525"/>
      <c r="E81" s="1525"/>
      <c r="F81" s="1525"/>
    </row>
    <row r="82" spans="1:6" ht="12" customHeight="1">
      <c r="A82" s="1482"/>
      <c r="B82" s="1485"/>
      <c r="C82" s="1525"/>
      <c r="D82" s="1525"/>
      <c r="E82" s="1525"/>
      <c r="F82" s="1525"/>
    </row>
    <row r="83" spans="1:6" ht="12" customHeight="1">
      <c r="A83" s="1482"/>
      <c r="B83" s="1485"/>
      <c r="C83" s="1525"/>
      <c r="D83" s="1525"/>
      <c r="E83" s="1525"/>
      <c r="F83" s="1525"/>
    </row>
    <row r="84" spans="1:6" ht="12" customHeight="1">
      <c r="A84" s="1482"/>
      <c r="B84" s="1485"/>
      <c r="C84" s="1525"/>
      <c r="D84" s="1525"/>
      <c r="E84" s="1525"/>
      <c r="F84" s="1525"/>
    </row>
    <row r="85" spans="1:6" ht="12" customHeight="1">
      <c r="A85" s="1482"/>
      <c r="B85" s="1485"/>
      <c r="C85" s="1525"/>
      <c r="D85" s="1525"/>
      <c r="E85" s="1525"/>
      <c r="F85" s="1525"/>
    </row>
    <row r="86" spans="1:6" ht="12" customHeight="1">
      <c r="A86" s="1482"/>
      <c r="B86" s="1485"/>
      <c r="C86" s="1525"/>
      <c r="D86" s="1525"/>
      <c r="E86" s="1525"/>
      <c r="F86" s="1525"/>
    </row>
    <row r="87" spans="1:6" ht="12" customHeight="1">
      <c r="A87" s="1482"/>
      <c r="B87" s="1485"/>
      <c r="C87" s="1525"/>
      <c r="D87" s="1525"/>
      <c r="E87" s="1525"/>
      <c r="F87" s="1525"/>
    </row>
    <row r="88" spans="1:6" ht="12" customHeight="1">
      <c r="A88" s="1482"/>
      <c r="B88" s="1485"/>
      <c r="C88" s="1525"/>
      <c r="D88" s="1525"/>
      <c r="E88" s="1525"/>
      <c r="F88" s="1525"/>
    </row>
    <row r="89" spans="1:6" ht="12" customHeight="1">
      <c r="A89" s="1482"/>
      <c r="B89" s="1485"/>
      <c r="C89" s="1525"/>
      <c r="D89" s="1525"/>
      <c r="E89" s="1525"/>
      <c r="F89" s="1525"/>
    </row>
    <row r="90" spans="1:6" ht="12" customHeight="1">
      <c r="A90" s="1482"/>
      <c r="B90" s="1485"/>
      <c r="C90" s="1525"/>
      <c r="D90" s="1525"/>
      <c r="E90" s="1525"/>
      <c r="F90" s="1525"/>
    </row>
    <row r="91" spans="1:6" ht="12" customHeight="1">
      <c r="A91" s="1482"/>
      <c r="B91" s="1485"/>
      <c r="C91" s="1525"/>
      <c r="D91" s="1525"/>
      <c r="E91" s="1525"/>
      <c r="F91" s="1525"/>
    </row>
    <row r="92" spans="1:6" ht="12" customHeight="1">
      <c r="A92" s="1482"/>
      <c r="B92" s="1485"/>
      <c r="C92" s="1525"/>
      <c r="D92" s="1525"/>
      <c r="E92" s="1525"/>
      <c r="F92" s="1525"/>
    </row>
    <row r="93" spans="1:6" ht="12" customHeight="1">
      <c r="A93" s="1482"/>
      <c r="B93" s="1485"/>
      <c r="C93" s="1525"/>
      <c r="D93" s="1525"/>
      <c r="E93" s="1525"/>
      <c r="F93" s="1525"/>
    </row>
    <row r="94" spans="1:6" ht="12" customHeight="1">
      <c r="A94" s="1482"/>
      <c r="B94" s="1485"/>
      <c r="C94" s="1525"/>
      <c r="D94" s="1525"/>
      <c r="E94" s="1525"/>
      <c r="F94" s="1525"/>
    </row>
    <row r="95" spans="1:6" ht="12" customHeight="1">
      <c r="A95" s="1482"/>
      <c r="B95" s="1485"/>
      <c r="C95" s="1525"/>
      <c r="D95" s="1525"/>
      <c r="E95" s="1525"/>
      <c r="F95" s="1525"/>
    </row>
    <row r="96" spans="1:6" ht="12" customHeight="1">
      <c r="A96" s="1482"/>
      <c r="B96" s="1485"/>
      <c r="C96" s="1525"/>
      <c r="D96" s="1525"/>
      <c r="E96" s="1525"/>
      <c r="F96" s="1525"/>
    </row>
    <row r="97" spans="1:6" ht="12" customHeight="1">
      <c r="A97" s="1482"/>
      <c r="B97" s="1485"/>
      <c r="C97" s="1525"/>
      <c r="D97" s="1525"/>
      <c r="E97" s="1525"/>
      <c r="F97" s="1525"/>
    </row>
    <row r="98" spans="1:6" ht="12" customHeight="1">
      <c r="A98" s="1482"/>
      <c r="B98" s="1485"/>
      <c r="C98" s="1525"/>
      <c r="D98" s="1525"/>
      <c r="E98" s="1525"/>
      <c r="F98" s="1525"/>
    </row>
    <row r="99" spans="1:6" ht="12" customHeight="1">
      <c r="A99" s="1482"/>
      <c r="B99" s="1485"/>
      <c r="C99" s="1525"/>
      <c r="D99" s="1525"/>
      <c r="E99" s="1525"/>
      <c r="F99" s="1525"/>
    </row>
    <row r="100" spans="1:6" ht="12" customHeight="1">
      <c r="A100" s="1482"/>
      <c r="B100" s="1485"/>
      <c r="C100" s="1525"/>
      <c r="D100" s="1525"/>
      <c r="E100" s="1525"/>
      <c r="F100" s="1525"/>
    </row>
    <row r="101" spans="1:6" ht="12" customHeight="1">
      <c r="A101" s="1482"/>
      <c r="B101" s="1485"/>
      <c r="C101" s="1525"/>
      <c r="D101" s="1525"/>
      <c r="E101" s="1525"/>
      <c r="F101" s="1525"/>
    </row>
    <row r="102" spans="1:6" ht="12" customHeight="1">
      <c r="A102" s="1482"/>
      <c r="B102" s="1485"/>
      <c r="C102" s="1525"/>
      <c r="D102" s="1525"/>
      <c r="E102" s="1525"/>
      <c r="F102" s="1525"/>
    </row>
    <row r="103" spans="1:6" ht="12" customHeight="1">
      <c r="A103" s="1482"/>
      <c r="B103" s="1485"/>
      <c r="C103" s="1525"/>
      <c r="D103" s="1525"/>
      <c r="E103" s="1525"/>
      <c r="F103" s="1525"/>
    </row>
    <row r="104" spans="1:6" ht="12" customHeight="1">
      <c r="A104" s="1482"/>
      <c r="B104" s="1485"/>
      <c r="C104" s="1525"/>
      <c r="D104" s="1525"/>
      <c r="E104" s="1525"/>
      <c r="F104" s="1525"/>
    </row>
    <row r="105" spans="1:6" ht="12" customHeight="1">
      <c r="A105" s="1482"/>
      <c r="B105" s="1485"/>
      <c r="C105" s="1525"/>
      <c r="D105" s="1525"/>
      <c r="E105" s="1525"/>
      <c r="F105" s="1525"/>
    </row>
    <row r="106" spans="1:6" ht="12" customHeight="1">
      <c r="A106" s="1482"/>
      <c r="B106" s="1485"/>
      <c r="C106" s="1525"/>
      <c r="D106" s="1525"/>
      <c r="E106" s="1525"/>
      <c r="F106" s="1525"/>
    </row>
    <row r="107" spans="1:6" ht="12" customHeight="1">
      <c r="A107" s="1482"/>
      <c r="B107" s="1485"/>
      <c r="C107" s="1525"/>
      <c r="D107" s="1525"/>
      <c r="E107" s="1525"/>
      <c r="F107" s="1525"/>
    </row>
    <row r="108" spans="1:6" ht="12" customHeight="1">
      <c r="A108" s="1482"/>
      <c r="B108" s="1485"/>
      <c r="C108" s="1525"/>
      <c r="D108" s="1525"/>
      <c r="E108" s="1525"/>
      <c r="F108" s="1525"/>
    </row>
    <row r="109" spans="1:6" ht="12" customHeight="1">
      <c r="A109" s="1482"/>
      <c r="B109" s="1485"/>
      <c r="C109" s="1525"/>
      <c r="D109" s="1525"/>
      <c r="E109" s="1525"/>
      <c r="F109" s="1525"/>
    </row>
    <row r="110" spans="1:6" ht="12" customHeight="1">
      <c r="A110" s="1482"/>
      <c r="B110" s="1485"/>
      <c r="C110" s="1525"/>
      <c r="D110" s="1525"/>
      <c r="E110" s="1525"/>
      <c r="F110" s="1525"/>
    </row>
    <row r="111" spans="1:6" ht="12" customHeight="1">
      <c r="A111" s="1482"/>
      <c r="B111" s="1485"/>
      <c r="C111" s="1525"/>
      <c r="D111" s="1525"/>
      <c r="E111" s="1525"/>
      <c r="F111" s="1525"/>
    </row>
    <row r="112" spans="1:6" ht="12" customHeight="1">
      <c r="A112" s="1482"/>
      <c r="B112" s="1485"/>
      <c r="C112" s="1525"/>
      <c r="D112" s="1525"/>
      <c r="E112" s="1525"/>
      <c r="F112" s="1525"/>
    </row>
    <row r="113" spans="1:6" ht="12" customHeight="1">
      <c r="A113" s="1482"/>
      <c r="B113" s="1485"/>
      <c r="C113" s="1525"/>
      <c r="D113" s="1525"/>
      <c r="E113" s="1525"/>
      <c r="F113" s="1525"/>
    </row>
    <row r="114" spans="1:6" ht="12" customHeight="1">
      <c r="A114" s="1482"/>
      <c r="B114" s="1485"/>
      <c r="C114" s="1525"/>
      <c r="D114" s="1525"/>
      <c r="E114" s="1525"/>
      <c r="F114" s="1525"/>
    </row>
    <row r="115" spans="1:6" ht="12" customHeight="1">
      <c r="A115" s="1482"/>
      <c r="B115" s="1485"/>
      <c r="C115" s="1525"/>
      <c r="D115" s="1525"/>
      <c r="E115" s="1525"/>
      <c r="F115" s="1525"/>
    </row>
    <row r="116" spans="1:6" ht="12" customHeight="1">
      <c r="A116" s="1482"/>
      <c r="B116" s="1485"/>
      <c r="C116" s="1525"/>
      <c r="D116" s="1525"/>
      <c r="E116" s="1525"/>
      <c r="F116" s="1525"/>
    </row>
    <row r="117" spans="1:6" ht="12" customHeight="1">
      <c r="A117" s="1482"/>
      <c r="B117" s="1485"/>
      <c r="C117" s="1525"/>
      <c r="D117" s="1525"/>
      <c r="E117" s="1525"/>
      <c r="F117" s="1525"/>
    </row>
    <row r="118" spans="1:6" ht="12" customHeight="1">
      <c r="A118" s="1482"/>
      <c r="B118" s="1485"/>
      <c r="C118" s="1525"/>
      <c r="D118" s="1525"/>
      <c r="E118" s="1525"/>
      <c r="F118" s="1525"/>
    </row>
    <row r="119" spans="1:6" ht="12" customHeight="1">
      <c r="A119" s="1482"/>
      <c r="B119" s="1485"/>
      <c r="C119" s="1525"/>
      <c r="D119" s="1525"/>
      <c r="E119" s="1525"/>
      <c r="F119" s="1525"/>
    </row>
    <row r="120" spans="1:6" ht="12" customHeight="1">
      <c r="A120" s="1482"/>
      <c r="B120" s="1485"/>
      <c r="C120" s="1525"/>
      <c r="D120" s="1525"/>
      <c r="E120" s="1525"/>
      <c r="F120" s="1525"/>
    </row>
    <row r="121" spans="1:6" ht="12" customHeight="1">
      <c r="A121" s="1482"/>
      <c r="B121" s="1485"/>
      <c r="C121" s="1525"/>
      <c r="D121" s="1525"/>
      <c r="E121" s="1525"/>
      <c r="F121" s="1525"/>
    </row>
    <row r="122" spans="1:6" ht="12" customHeight="1">
      <c r="A122" s="1482"/>
      <c r="B122" s="1485"/>
      <c r="C122" s="1525"/>
      <c r="D122" s="1525"/>
      <c r="E122" s="1525"/>
      <c r="F122" s="1525"/>
    </row>
    <row r="123" spans="1:6" ht="12" customHeight="1">
      <c r="A123" s="1482"/>
      <c r="B123" s="1485"/>
      <c r="C123" s="1525"/>
      <c r="D123" s="1525"/>
      <c r="E123" s="1525"/>
      <c r="F123" s="1525"/>
    </row>
    <row r="124" spans="1:6" ht="12" customHeight="1">
      <c r="A124" s="1482"/>
      <c r="B124" s="1485"/>
      <c r="C124" s="1525"/>
      <c r="D124" s="1525"/>
      <c r="E124" s="1525"/>
      <c r="F124" s="1525"/>
    </row>
    <row r="125" spans="1:6" ht="12" customHeight="1">
      <c r="A125" s="1482"/>
      <c r="B125" s="1485"/>
      <c r="C125" s="1525"/>
      <c r="D125" s="1525"/>
      <c r="E125" s="1525"/>
      <c r="F125" s="1525"/>
    </row>
    <row r="126" spans="1:6" ht="12" customHeight="1">
      <c r="A126" s="1482"/>
      <c r="B126" s="1485"/>
      <c r="C126" s="1525"/>
      <c r="D126" s="1525"/>
      <c r="E126" s="1525"/>
      <c r="F126" s="1525"/>
    </row>
    <row r="127" spans="1:6" ht="12" customHeight="1">
      <c r="A127" s="1482"/>
      <c r="B127" s="1485"/>
      <c r="C127" s="1525"/>
      <c r="D127" s="1525"/>
      <c r="E127" s="1525"/>
      <c r="F127" s="1525"/>
    </row>
    <row r="128" spans="1:6" ht="5.0999999999999996" customHeight="1">
      <c r="A128" s="1482"/>
      <c r="B128" s="1485"/>
      <c r="C128" s="1525"/>
      <c r="D128" s="1525"/>
      <c r="E128" s="1525"/>
      <c r="F128" s="1525"/>
    </row>
    <row r="129" spans="1:6" ht="12" customHeight="1">
      <c r="A129" s="1482"/>
      <c r="B129" s="1485"/>
      <c r="C129" s="1525"/>
      <c r="D129" s="1525"/>
      <c r="E129" s="1525"/>
      <c r="F129" s="1525"/>
    </row>
    <row r="130" spans="1:6" ht="12" customHeight="1">
      <c r="A130" s="1482"/>
      <c r="B130" s="1485"/>
      <c r="C130" s="1525"/>
      <c r="D130" s="1525"/>
      <c r="E130" s="1525"/>
      <c r="F130" s="1525"/>
    </row>
    <row r="131" spans="1:6" ht="12" customHeight="1">
      <c r="A131" s="1482"/>
      <c r="B131" s="1485"/>
      <c r="C131" s="1525"/>
      <c r="D131" s="1525"/>
      <c r="E131" s="1525"/>
      <c r="F131" s="1525"/>
    </row>
    <row r="132" spans="1:6" ht="12" customHeight="1">
      <c r="A132" s="1482"/>
      <c r="B132" s="1485"/>
      <c r="C132" s="1525"/>
      <c r="D132" s="1525"/>
      <c r="E132" s="1525"/>
      <c r="F132" s="1525"/>
    </row>
    <row r="133" spans="1:6" ht="12" customHeight="1">
      <c r="A133" s="1482"/>
      <c r="B133" s="1485"/>
      <c r="C133" s="1525"/>
      <c r="D133" s="1525"/>
      <c r="E133" s="1525"/>
      <c r="F133" s="1525"/>
    </row>
    <row r="134" spans="1:6" ht="12" customHeight="1">
      <c r="A134" s="1482"/>
      <c r="B134" s="1485"/>
      <c r="C134" s="1525"/>
      <c r="D134" s="1525"/>
      <c r="E134" s="1525"/>
      <c r="F134" s="1525"/>
    </row>
    <row r="135" spans="1:6" ht="12" customHeight="1">
      <c r="A135" s="1482"/>
      <c r="B135" s="1485"/>
      <c r="C135" s="1525"/>
      <c r="D135" s="1525"/>
      <c r="E135" s="1525"/>
      <c r="F135" s="1525"/>
    </row>
    <row r="136" spans="1:6" ht="12" customHeight="1">
      <c r="A136" s="1482"/>
      <c r="B136" s="1485"/>
      <c r="C136" s="1525"/>
      <c r="D136" s="1525"/>
      <c r="E136" s="1525"/>
      <c r="F136" s="1525"/>
    </row>
    <row r="137" spans="1:6" ht="12" customHeight="1">
      <c r="A137" s="1482"/>
      <c r="B137" s="1485"/>
      <c r="C137" s="1525"/>
      <c r="D137" s="1525"/>
      <c r="E137" s="1525"/>
      <c r="F137" s="1525"/>
    </row>
    <row r="138" spans="1:6" ht="12" customHeight="1">
      <c r="A138" s="1482"/>
      <c r="B138" s="1485"/>
      <c r="C138" s="1525"/>
      <c r="D138" s="1525"/>
      <c r="E138" s="1525"/>
      <c r="F138" s="1525"/>
    </row>
    <row r="139" spans="1:6" ht="12" customHeight="1">
      <c r="A139" s="1482"/>
      <c r="B139" s="1485"/>
      <c r="C139" s="1525"/>
      <c r="D139" s="1525"/>
      <c r="E139" s="1525"/>
      <c r="F139" s="1525"/>
    </row>
    <row r="140" spans="1:6" ht="12" customHeight="1">
      <c r="A140" s="1482"/>
      <c r="B140" s="1485"/>
      <c r="C140" s="1525"/>
      <c r="D140" s="1525"/>
      <c r="E140" s="1525"/>
      <c r="F140" s="1525"/>
    </row>
    <row r="141" spans="1:6" ht="12" customHeight="1">
      <c r="A141" s="1482"/>
      <c r="B141" s="1485"/>
      <c r="C141" s="1525"/>
      <c r="D141" s="1525"/>
      <c r="E141" s="1525"/>
      <c r="F141" s="1525"/>
    </row>
    <row r="142" spans="1:6" ht="12" customHeight="1">
      <c r="A142" s="1482"/>
      <c r="B142" s="1485"/>
      <c r="C142" s="1525"/>
      <c r="D142" s="1525"/>
      <c r="E142" s="1525"/>
      <c r="F142" s="1525"/>
    </row>
    <row r="143" spans="1:6" ht="12" customHeight="1">
      <c r="A143" s="1482"/>
      <c r="B143" s="1485"/>
      <c r="C143" s="1525"/>
      <c r="D143" s="1525"/>
      <c r="E143" s="1525"/>
      <c r="F143" s="1525"/>
    </row>
    <row r="144" spans="1:6" ht="12" customHeight="1">
      <c r="A144" s="1482"/>
      <c r="B144" s="1485"/>
      <c r="C144" s="1525"/>
      <c r="D144" s="1525"/>
      <c r="E144" s="1525"/>
      <c r="F144" s="1525"/>
    </row>
    <row r="145" spans="1:6" ht="12" customHeight="1">
      <c r="A145" s="1482"/>
      <c r="B145" s="1485"/>
      <c r="C145" s="1525"/>
      <c r="D145" s="1525"/>
      <c r="E145" s="1525"/>
      <c r="F145" s="1525"/>
    </row>
    <row r="146" spans="1:6" ht="12" customHeight="1">
      <c r="A146" s="1482"/>
      <c r="B146" s="1485"/>
      <c r="C146" s="1525"/>
      <c r="D146" s="1525"/>
      <c r="E146" s="1525"/>
      <c r="F146" s="1525"/>
    </row>
    <row r="147" spans="1:6" ht="12" customHeight="1">
      <c r="A147" s="1482"/>
      <c r="B147" s="1485"/>
      <c r="C147" s="1525"/>
      <c r="D147" s="1525"/>
      <c r="E147" s="1525"/>
      <c r="F147" s="1525"/>
    </row>
    <row r="148" spans="1:6" ht="12" customHeight="1">
      <c r="A148" s="1482"/>
      <c r="B148" s="1485"/>
      <c r="C148" s="1525"/>
      <c r="D148" s="1525"/>
      <c r="E148" s="1525"/>
      <c r="F148" s="1525"/>
    </row>
    <row r="149" spans="1:6" ht="12" customHeight="1">
      <c r="A149" s="1482"/>
      <c r="B149" s="1485"/>
      <c r="C149" s="1525"/>
      <c r="D149" s="1525"/>
      <c r="E149" s="1525"/>
      <c r="F149" s="1525"/>
    </row>
    <row r="150" spans="1:6" ht="12" customHeight="1">
      <c r="A150" s="1482"/>
      <c r="B150" s="1485"/>
      <c r="C150" s="1525"/>
      <c r="D150" s="1525"/>
      <c r="E150" s="1525"/>
      <c r="F150" s="1525"/>
    </row>
    <row r="151" spans="1:6" ht="12" customHeight="1">
      <c r="A151" s="1482"/>
      <c r="B151" s="1485"/>
      <c r="C151" s="1525"/>
      <c r="D151" s="1525"/>
      <c r="E151" s="1525"/>
      <c r="F151" s="1525"/>
    </row>
    <row r="152" spans="1:6" ht="12" customHeight="1">
      <c r="A152" s="1482"/>
      <c r="B152" s="1485"/>
      <c r="C152" s="1525"/>
      <c r="D152" s="1525"/>
      <c r="E152" s="1525"/>
      <c r="F152" s="1525"/>
    </row>
    <row r="153" spans="1:6" ht="12" customHeight="1">
      <c r="A153" s="1482"/>
      <c r="B153" s="1485"/>
      <c r="C153" s="1525"/>
      <c r="D153" s="1525"/>
      <c r="E153" s="1525"/>
      <c r="F153" s="1525"/>
    </row>
    <row r="154" spans="1:6" ht="12" customHeight="1">
      <c r="A154" s="1482"/>
      <c r="B154" s="1485"/>
      <c r="C154" s="1525"/>
      <c r="D154" s="1525"/>
      <c r="E154" s="1525"/>
      <c r="F154" s="1525"/>
    </row>
    <row r="155" spans="1:6" ht="12" customHeight="1">
      <c r="A155" s="1482"/>
      <c r="B155" s="1485"/>
      <c r="C155" s="1525"/>
      <c r="D155" s="1525"/>
      <c r="E155" s="1525"/>
      <c r="F155" s="1525"/>
    </row>
    <row r="156" spans="1:6" ht="12" customHeight="1">
      <c r="A156" s="1482"/>
      <c r="B156" s="1485"/>
      <c r="C156" s="1525"/>
      <c r="D156" s="1525"/>
      <c r="E156" s="1525"/>
      <c r="F156" s="1525"/>
    </row>
    <row r="157" spans="1:6" ht="12" customHeight="1">
      <c r="A157" s="1482"/>
      <c r="B157" s="1485"/>
      <c r="C157" s="1525"/>
      <c r="D157" s="1525"/>
      <c r="E157" s="1525"/>
      <c r="F157" s="1525"/>
    </row>
    <row r="158" spans="1:6" ht="12" customHeight="1">
      <c r="A158" s="1482"/>
      <c r="B158" s="1485"/>
      <c r="C158" s="1525"/>
      <c r="D158" s="1525"/>
      <c r="E158" s="1525"/>
      <c r="F158" s="1525"/>
    </row>
    <row r="159" spans="1:6" ht="12" customHeight="1">
      <c r="A159" s="1482"/>
      <c r="B159" s="1485"/>
      <c r="C159" s="1525"/>
      <c r="D159" s="1525"/>
      <c r="E159" s="1525"/>
      <c r="F159" s="1525"/>
    </row>
    <row r="160" spans="1:6" ht="12" customHeight="1">
      <c r="A160" s="1482"/>
      <c r="B160" s="1485"/>
      <c r="C160" s="1525"/>
      <c r="D160" s="1525"/>
      <c r="E160" s="1525"/>
      <c r="F160" s="1525"/>
    </row>
    <row r="161" spans="1:6" ht="12" customHeight="1">
      <c r="A161" s="1482"/>
      <c r="B161" s="1485"/>
      <c r="C161" s="1525"/>
      <c r="D161" s="1525"/>
      <c r="E161" s="1525"/>
      <c r="F161" s="1525"/>
    </row>
    <row r="162" spans="1:6" ht="12" customHeight="1">
      <c r="A162" s="1482"/>
      <c r="B162" s="1485"/>
      <c r="C162" s="1525"/>
      <c r="D162" s="1525"/>
      <c r="E162" s="1525"/>
      <c r="F162" s="1525"/>
    </row>
    <row r="163" spans="1:6" ht="12" customHeight="1">
      <c r="A163" s="1482"/>
      <c r="B163" s="1485"/>
      <c r="C163" s="1525"/>
      <c r="D163" s="1525"/>
      <c r="E163" s="1525"/>
      <c r="F163" s="1525"/>
    </row>
    <row r="164" spans="1:6" ht="12" customHeight="1">
      <c r="A164" s="1482"/>
      <c r="B164" s="1485"/>
      <c r="C164" s="1525"/>
      <c r="D164" s="1525"/>
      <c r="E164" s="1525"/>
      <c r="F164" s="1525"/>
    </row>
    <row r="165" spans="1:6" ht="12" customHeight="1">
      <c r="A165" s="1482"/>
      <c r="B165" s="1485"/>
      <c r="C165" s="1525"/>
      <c r="D165" s="1525"/>
      <c r="E165" s="1525"/>
      <c r="F165" s="1525"/>
    </row>
    <row r="166" spans="1:6" ht="12" customHeight="1">
      <c r="A166" s="1482"/>
      <c r="B166" s="1485"/>
      <c r="C166" s="1525"/>
      <c r="D166" s="1525"/>
      <c r="E166" s="1525"/>
      <c r="F166" s="1525"/>
    </row>
    <row r="167" spans="1:6" ht="12" customHeight="1">
      <c r="A167" s="1482"/>
      <c r="B167" s="1485"/>
      <c r="C167" s="1525"/>
      <c r="D167" s="1525"/>
      <c r="E167" s="1525"/>
      <c r="F167" s="1525"/>
    </row>
    <row r="168" spans="1:6" ht="12" customHeight="1">
      <c r="A168" s="1482"/>
      <c r="B168" s="1485"/>
      <c r="C168" s="1525"/>
      <c r="D168" s="1525"/>
      <c r="E168" s="1525"/>
      <c r="F168" s="1525"/>
    </row>
    <row r="169" spans="1:6" ht="12" customHeight="1">
      <c r="A169" s="1482"/>
      <c r="B169" s="1485"/>
      <c r="C169" s="1525"/>
      <c r="D169" s="1525"/>
      <c r="E169" s="1525"/>
      <c r="F169" s="1525"/>
    </row>
    <row r="170" spans="1:6" ht="12" customHeight="1">
      <c r="A170" s="1482"/>
      <c r="B170" s="1485"/>
      <c r="C170" s="1525"/>
      <c r="D170" s="1525"/>
      <c r="E170" s="1525"/>
      <c r="F170" s="1525"/>
    </row>
    <row r="171" spans="1:6" ht="12" customHeight="1">
      <c r="A171" s="1482"/>
      <c r="B171" s="1485"/>
      <c r="C171" s="1525"/>
      <c r="D171" s="1525"/>
      <c r="E171" s="1525"/>
      <c r="F171" s="1525"/>
    </row>
    <row r="172" spans="1:6" ht="12" customHeight="1">
      <c r="A172" s="1482"/>
      <c r="B172" s="1485"/>
      <c r="C172" s="1525"/>
      <c r="D172" s="1525"/>
      <c r="E172" s="1525"/>
      <c r="F172" s="1525"/>
    </row>
    <row r="173" spans="1:6" ht="12" customHeight="1">
      <c r="A173" s="1482"/>
      <c r="B173" s="1485"/>
      <c r="C173" s="1525"/>
      <c r="D173" s="1525"/>
      <c r="E173" s="1525"/>
      <c r="F173" s="1525"/>
    </row>
    <row r="174" spans="1:6" ht="12" customHeight="1">
      <c r="A174" s="1482"/>
      <c r="B174" s="1485"/>
      <c r="C174" s="1525"/>
      <c r="D174" s="1525"/>
      <c r="E174" s="1525"/>
      <c r="F174" s="1525"/>
    </row>
    <row r="175" spans="1:6" ht="12" customHeight="1">
      <c r="A175" s="1482"/>
      <c r="B175" s="1485"/>
      <c r="C175" s="1525"/>
      <c r="D175" s="1525"/>
      <c r="E175" s="1525"/>
      <c r="F175" s="1525"/>
    </row>
    <row r="176" spans="1:6" ht="12" customHeight="1">
      <c r="A176" s="1482"/>
      <c r="B176" s="1485"/>
      <c r="C176" s="1525"/>
      <c r="D176" s="1525"/>
      <c r="E176" s="1525"/>
      <c r="F176" s="1525"/>
    </row>
    <row r="177" spans="1:6" ht="12" customHeight="1">
      <c r="A177" s="1482"/>
      <c r="B177" s="1485"/>
      <c r="C177" s="1525"/>
      <c r="D177" s="1525"/>
      <c r="E177" s="1525"/>
      <c r="F177" s="1525"/>
    </row>
    <row r="178" spans="1:6" ht="12" customHeight="1">
      <c r="A178" s="1482"/>
      <c r="B178" s="1485"/>
      <c r="C178" s="1525"/>
      <c r="D178" s="1525"/>
      <c r="E178" s="1525"/>
      <c r="F178" s="1525"/>
    </row>
    <row r="179" spans="1:6" ht="12" customHeight="1">
      <c r="A179" s="1482"/>
      <c r="B179" s="1485"/>
      <c r="C179" s="1525"/>
      <c r="D179" s="1525"/>
      <c r="E179" s="1525"/>
      <c r="F179" s="1525"/>
    </row>
    <row r="180" spans="1:6" ht="12" customHeight="1">
      <c r="A180" s="1482"/>
      <c r="B180" s="1485"/>
      <c r="C180" s="1525"/>
      <c r="D180" s="1525"/>
      <c r="E180" s="1525"/>
      <c r="F180" s="1525"/>
    </row>
    <row r="181" spans="1:6" ht="12" customHeight="1">
      <c r="A181" s="1482"/>
      <c r="B181" s="1485"/>
      <c r="C181" s="1525"/>
      <c r="D181" s="1525"/>
      <c r="E181" s="1525"/>
      <c r="F181" s="1525"/>
    </row>
    <row r="182" spans="1:6" ht="12" customHeight="1">
      <c r="A182" s="1482"/>
      <c r="B182" s="1485"/>
      <c r="C182" s="1525"/>
      <c r="D182" s="1525"/>
      <c r="E182" s="1525"/>
      <c r="F182" s="1525"/>
    </row>
    <row r="183" spans="1:6" ht="12" customHeight="1">
      <c r="A183" s="1482"/>
      <c r="B183" s="1485"/>
      <c r="C183" s="1525"/>
      <c r="D183" s="1525"/>
      <c r="E183" s="1525"/>
      <c r="F183" s="1525"/>
    </row>
    <row r="184" spans="1:6" ht="12" customHeight="1">
      <c r="A184" s="1482"/>
      <c r="B184" s="1485"/>
      <c r="C184" s="1525"/>
      <c r="D184" s="1525"/>
      <c r="E184" s="1525"/>
      <c r="F184" s="1525"/>
    </row>
    <row r="185" spans="1:6" ht="12" customHeight="1">
      <c r="A185" s="1482"/>
      <c r="B185" s="1485"/>
      <c r="C185" s="1525"/>
      <c r="D185" s="1525"/>
      <c r="E185" s="1525"/>
      <c r="F185" s="1525"/>
    </row>
    <row r="186" spans="1:6" ht="12" customHeight="1">
      <c r="A186" s="1482"/>
      <c r="B186" s="1485"/>
      <c r="C186" s="1525"/>
      <c r="D186" s="1525"/>
      <c r="E186" s="1525"/>
      <c r="F186" s="1525"/>
    </row>
    <row r="187" spans="1:6" ht="12" customHeight="1">
      <c r="A187" s="1482"/>
      <c r="B187" s="1485"/>
      <c r="C187" s="1525"/>
      <c r="D187" s="1525"/>
      <c r="E187" s="1525"/>
      <c r="F187" s="1525"/>
    </row>
    <row r="188" spans="1:6" ht="12" customHeight="1">
      <c r="A188" s="1482"/>
      <c r="B188" s="1485"/>
      <c r="C188" s="1525"/>
      <c r="D188" s="1525"/>
      <c r="E188" s="1525"/>
      <c r="F188" s="1525"/>
    </row>
    <row r="189" spans="1:6" ht="12" customHeight="1">
      <c r="A189" s="1482"/>
      <c r="B189" s="1485"/>
      <c r="C189" s="1525"/>
      <c r="D189" s="1525"/>
      <c r="E189" s="1525"/>
      <c r="F189" s="1525"/>
    </row>
    <row r="190" spans="1:6" ht="12" customHeight="1">
      <c r="A190" s="1482"/>
      <c r="B190" s="1485"/>
      <c r="C190" s="1525"/>
      <c r="D190" s="1525"/>
      <c r="E190" s="1525"/>
      <c r="F190" s="1525"/>
    </row>
    <row r="191" spans="1:6" ht="12" customHeight="1">
      <c r="A191" s="1482"/>
      <c r="B191" s="1485"/>
      <c r="C191" s="1525"/>
      <c r="D191" s="1525"/>
      <c r="E191" s="1525"/>
      <c r="F191" s="1525"/>
    </row>
    <row r="192" spans="1:6" ht="12" customHeight="1">
      <c r="A192" s="1482"/>
      <c r="B192" s="1485"/>
      <c r="C192" s="1525"/>
      <c r="D192" s="1525"/>
      <c r="E192" s="1525"/>
      <c r="F192" s="1525"/>
    </row>
    <row r="193" spans="1:6" ht="12" customHeight="1">
      <c r="A193" s="1482"/>
      <c r="B193" s="1485"/>
      <c r="C193" s="1525"/>
      <c r="D193" s="1525"/>
      <c r="E193" s="1525"/>
      <c r="F193" s="1525"/>
    </row>
    <row r="194" spans="1:6" ht="12" customHeight="1">
      <c r="A194" s="1482"/>
      <c r="B194" s="1485"/>
      <c r="C194" s="1525"/>
      <c r="D194" s="1525"/>
      <c r="E194" s="1525"/>
      <c r="F194" s="1525"/>
    </row>
    <row r="195" spans="1:6" ht="12" customHeight="1">
      <c r="A195" s="1482"/>
      <c r="B195" s="1485"/>
      <c r="C195" s="1525"/>
      <c r="D195" s="1525"/>
      <c r="E195" s="1525"/>
      <c r="F195" s="1525"/>
    </row>
    <row r="196" spans="1:6" ht="12" customHeight="1">
      <c r="A196" s="1482"/>
      <c r="B196" s="1485"/>
      <c r="C196" s="1525"/>
      <c r="D196" s="1525"/>
      <c r="E196" s="1525"/>
      <c r="F196" s="1525"/>
    </row>
    <row r="197" spans="1:6" ht="12" customHeight="1">
      <c r="A197" s="1482"/>
      <c r="B197" s="1485"/>
      <c r="C197" s="1525"/>
      <c r="D197" s="1525"/>
      <c r="E197" s="1525"/>
      <c r="F197" s="1525"/>
    </row>
    <row r="198" spans="1:6" ht="12" customHeight="1">
      <c r="A198" s="1482"/>
      <c r="B198" s="1485"/>
      <c r="C198" s="1525"/>
      <c r="D198" s="1525"/>
      <c r="E198" s="1525"/>
      <c r="F198" s="1525"/>
    </row>
    <row r="199" spans="1:6" ht="12" customHeight="1">
      <c r="A199" s="1482"/>
      <c r="B199" s="1485"/>
      <c r="C199" s="1525"/>
      <c r="D199" s="1525"/>
      <c r="E199" s="1525"/>
      <c r="F199" s="1525"/>
    </row>
    <row r="200" spans="1:6" ht="12" customHeight="1">
      <c r="A200" s="1482"/>
      <c r="B200" s="1485"/>
      <c r="C200" s="1525"/>
      <c r="D200" s="1525"/>
      <c r="E200" s="1525"/>
      <c r="F200" s="1525"/>
    </row>
    <row r="201" spans="1:6" ht="12" customHeight="1">
      <c r="A201" s="1482"/>
      <c r="B201" s="1485"/>
      <c r="C201" s="1525"/>
      <c r="D201" s="1525"/>
      <c r="E201" s="1525"/>
      <c r="F201" s="1525"/>
    </row>
    <row r="202" spans="1:6" ht="12" customHeight="1">
      <c r="A202" s="1482"/>
      <c r="B202" s="1485"/>
      <c r="C202" s="1525"/>
      <c r="D202" s="1525"/>
      <c r="E202" s="1525"/>
      <c r="F202" s="1525"/>
    </row>
    <row r="203" spans="1:6" ht="12" customHeight="1">
      <c r="A203" s="1482"/>
      <c r="B203" s="1485"/>
      <c r="C203" s="1525"/>
      <c r="D203" s="1525"/>
      <c r="E203" s="1525"/>
      <c r="F203" s="1525"/>
    </row>
    <row r="204" spans="1:6" ht="12" customHeight="1">
      <c r="A204" s="1482"/>
      <c r="B204" s="1485"/>
      <c r="C204" s="1525"/>
      <c r="D204" s="1525"/>
      <c r="E204" s="1525"/>
      <c r="F204" s="1525"/>
    </row>
    <row r="205" spans="1:6" ht="12" customHeight="1">
      <c r="A205" s="1482"/>
      <c r="B205" s="1485"/>
      <c r="C205" s="1525"/>
      <c r="D205" s="1525"/>
      <c r="E205" s="1525"/>
      <c r="F205" s="1525"/>
    </row>
    <row r="206" spans="1:6" ht="12" customHeight="1">
      <c r="A206" s="1482"/>
      <c r="B206" s="1485"/>
      <c r="C206" s="1525"/>
      <c r="D206" s="1525"/>
      <c r="E206" s="1525"/>
      <c r="F206" s="1525"/>
    </row>
    <row r="207" spans="1:6" ht="12" customHeight="1">
      <c r="A207" s="1482"/>
      <c r="B207" s="1485"/>
      <c r="C207" s="1525"/>
      <c r="D207" s="1525"/>
      <c r="E207" s="1525"/>
      <c r="F207" s="1525"/>
    </row>
    <row r="208" spans="1:6" ht="12" customHeight="1">
      <c r="A208" s="1482"/>
      <c r="B208" s="1485"/>
      <c r="C208" s="1525"/>
      <c r="D208" s="1525"/>
      <c r="E208" s="1525"/>
      <c r="F208" s="1525"/>
    </row>
    <row r="209" spans="1:6" ht="12" customHeight="1">
      <c r="A209" s="1482"/>
      <c r="B209" s="1485"/>
      <c r="C209" s="1525"/>
      <c r="D209" s="1525"/>
      <c r="E209" s="1525"/>
      <c r="F209" s="1525"/>
    </row>
    <row r="210" spans="1:6" ht="12" customHeight="1">
      <c r="A210" s="1482"/>
      <c r="B210" s="1485"/>
      <c r="C210" s="1525"/>
      <c r="D210" s="1525"/>
      <c r="E210" s="1525"/>
      <c r="F210" s="1525"/>
    </row>
    <row r="211" spans="1:6" ht="12" customHeight="1">
      <c r="A211" s="1482"/>
      <c r="B211" s="1485"/>
      <c r="C211" s="1525"/>
      <c r="D211" s="1525"/>
      <c r="E211" s="1525"/>
      <c r="F211" s="1525"/>
    </row>
    <row r="212" spans="1:6" ht="12" customHeight="1">
      <c r="A212" s="1482"/>
      <c r="B212" s="1485"/>
      <c r="C212" s="1525"/>
      <c r="D212" s="1525"/>
      <c r="E212" s="1525"/>
      <c r="F212" s="1525"/>
    </row>
    <row r="213" spans="1:6" ht="12" customHeight="1">
      <c r="A213" s="1482"/>
      <c r="B213" s="1485"/>
      <c r="C213" s="1525"/>
      <c r="D213" s="1525"/>
      <c r="E213" s="1525"/>
      <c r="F213" s="1525"/>
    </row>
    <row r="214" spans="1:6" ht="12" customHeight="1">
      <c r="A214" s="1482"/>
      <c r="B214" s="1485"/>
      <c r="C214" s="1525"/>
      <c r="D214" s="1525"/>
      <c r="E214" s="1525"/>
      <c r="F214" s="1525"/>
    </row>
    <row r="215" spans="1:6" ht="12" customHeight="1">
      <c r="A215" s="1482"/>
      <c r="B215" s="1485"/>
      <c r="C215" s="1525"/>
      <c r="D215" s="1525"/>
      <c r="E215" s="1525"/>
      <c r="F215" s="1525"/>
    </row>
    <row r="216" spans="1:6" ht="12" customHeight="1">
      <c r="A216" s="1482"/>
      <c r="B216" s="1485"/>
      <c r="C216" s="1525"/>
      <c r="D216" s="1525"/>
      <c r="E216" s="1525"/>
      <c r="F216" s="1525"/>
    </row>
    <row r="217" spans="1:6" ht="12" customHeight="1">
      <c r="A217" s="1482"/>
      <c r="B217" s="1485"/>
      <c r="C217" s="1525"/>
      <c r="D217" s="1525"/>
      <c r="E217" s="1525"/>
      <c r="F217" s="1525"/>
    </row>
    <row r="218" spans="1:6" ht="12" customHeight="1">
      <c r="A218" s="1482"/>
      <c r="B218" s="1485"/>
      <c r="C218" s="1525"/>
      <c r="D218" s="1525"/>
      <c r="E218" s="1525"/>
      <c r="F218" s="1525"/>
    </row>
    <row r="219" spans="1:6" ht="12" customHeight="1">
      <c r="A219" s="1482"/>
      <c r="B219" s="1485"/>
      <c r="C219" s="1525"/>
      <c r="D219" s="1525"/>
      <c r="E219" s="1525"/>
      <c r="F219" s="1525"/>
    </row>
    <row r="220" spans="1:6" ht="12" customHeight="1">
      <c r="A220" s="1482"/>
      <c r="B220" s="1485"/>
      <c r="C220" s="1525"/>
      <c r="D220" s="1525"/>
      <c r="E220" s="1525"/>
      <c r="F220" s="1525"/>
    </row>
    <row r="221" spans="1:6" ht="12" customHeight="1">
      <c r="A221" s="1482"/>
      <c r="B221" s="1485"/>
      <c r="C221" s="1525"/>
      <c r="D221" s="1525"/>
      <c r="E221" s="1525"/>
      <c r="F221" s="1525"/>
    </row>
    <row r="222" spans="1:6" ht="12" customHeight="1">
      <c r="A222" s="1482"/>
      <c r="B222" s="1485"/>
      <c r="C222" s="1525"/>
      <c r="D222" s="1525"/>
      <c r="E222" s="1525"/>
      <c r="F222" s="1525"/>
    </row>
    <row r="223" spans="1:6" ht="12" customHeight="1">
      <c r="A223" s="1482"/>
      <c r="B223" s="1485"/>
      <c r="C223" s="1525"/>
      <c r="D223" s="1525"/>
      <c r="E223" s="1525"/>
      <c r="F223" s="1525"/>
    </row>
    <row r="224" spans="1:6" ht="12" customHeight="1">
      <c r="A224" s="1482"/>
      <c r="B224" s="1485"/>
      <c r="C224" s="1525"/>
      <c r="D224" s="1525"/>
      <c r="E224" s="1525"/>
      <c r="F224" s="1525"/>
    </row>
    <row r="225" spans="1:6" ht="12" customHeight="1">
      <c r="A225" s="1482"/>
      <c r="B225" s="1485"/>
      <c r="C225" s="1525"/>
      <c r="D225" s="1525"/>
      <c r="E225" s="1525"/>
      <c r="F225" s="1525"/>
    </row>
    <row r="226" spans="1:6" ht="12" customHeight="1">
      <c r="A226" s="1482"/>
      <c r="B226" s="1485"/>
      <c r="C226" s="1525"/>
      <c r="D226" s="1525"/>
      <c r="E226" s="1525"/>
      <c r="F226" s="1525"/>
    </row>
    <row r="227" spans="1:6" ht="12" customHeight="1">
      <c r="A227" s="1482"/>
      <c r="B227" s="1485"/>
      <c r="C227" s="1525"/>
      <c r="D227" s="1525"/>
      <c r="E227" s="1525"/>
      <c r="F227" s="1525"/>
    </row>
    <row r="228" spans="1:6" ht="12" customHeight="1">
      <c r="A228" s="1482"/>
      <c r="B228" s="1485"/>
      <c r="C228" s="1525"/>
      <c r="D228" s="1525"/>
      <c r="E228" s="1525"/>
      <c r="F228" s="1525"/>
    </row>
    <row r="229" spans="1:6" ht="12" customHeight="1">
      <c r="A229" s="1482"/>
      <c r="B229" s="1485"/>
      <c r="C229" s="1525"/>
      <c r="D229" s="1525"/>
      <c r="E229" s="1525"/>
      <c r="F229" s="1525"/>
    </row>
    <row r="230" spans="1:6" ht="12" customHeight="1">
      <c r="A230" s="1482"/>
      <c r="B230" s="1485"/>
      <c r="C230" s="1525"/>
      <c r="D230" s="1525"/>
      <c r="E230" s="1525"/>
      <c r="F230" s="1525"/>
    </row>
    <row r="231" spans="1:6" ht="12" customHeight="1">
      <c r="A231" s="1482"/>
      <c r="B231" s="1485"/>
      <c r="C231" s="1525"/>
      <c r="D231" s="1525"/>
      <c r="E231" s="1525"/>
      <c r="F231" s="1525"/>
    </row>
    <row r="232" spans="1:6" ht="12" customHeight="1">
      <c r="A232" s="1482"/>
      <c r="B232" s="1485"/>
      <c r="C232" s="1525"/>
      <c r="D232" s="1525"/>
      <c r="E232" s="1525"/>
      <c r="F232" s="1525"/>
    </row>
    <row r="233" spans="1:6" ht="12" customHeight="1">
      <c r="A233" s="1482"/>
      <c r="B233" s="1485"/>
      <c r="C233" s="1525"/>
      <c r="D233" s="1525"/>
      <c r="E233" s="1525"/>
      <c r="F233" s="1525"/>
    </row>
    <row r="234" spans="1:6" ht="12" customHeight="1">
      <c r="A234" s="1482"/>
      <c r="B234" s="1485"/>
      <c r="C234" s="1525"/>
      <c r="D234" s="1525"/>
      <c r="E234" s="1525"/>
      <c r="F234" s="1525"/>
    </row>
    <row r="235" spans="1:6" ht="12" customHeight="1">
      <c r="A235" s="1482"/>
      <c r="B235" s="1485"/>
      <c r="C235" s="1525"/>
      <c r="D235" s="1525"/>
      <c r="E235" s="1525"/>
      <c r="F235" s="1525"/>
    </row>
    <row r="236" spans="1:6" ht="12" customHeight="1">
      <c r="A236" s="1482"/>
      <c r="B236" s="1485"/>
      <c r="C236" s="1525"/>
      <c r="D236" s="1525"/>
      <c r="E236" s="1525"/>
      <c r="F236" s="1525"/>
    </row>
    <row r="237" spans="1:6" ht="12" customHeight="1">
      <c r="A237" s="1482"/>
      <c r="B237" s="1485"/>
      <c r="C237" s="1525"/>
      <c r="D237" s="1525"/>
      <c r="E237" s="1525"/>
      <c r="F237" s="1525"/>
    </row>
    <row r="238" spans="1:6" ht="12" customHeight="1">
      <c r="A238" s="1482"/>
      <c r="B238" s="1485"/>
      <c r="C238" s="1525"/>
      <c r="D238" s="1525"/>
      <c r="E238" s="1525"/>
      <c r="F238" s="1525"/>
    </row>
    <row r="239" spans="1:6" ht="12" customHeight="1">
      <c r="A239" s="1482"/>
      <c r="B239" s="1485"/>
      <c r="C239" s="1525"/>
      <c r="D239" s="1525"/>
      <c r="E239" s="1525"/>
      <c r="F239" s="1525"/>
    </row>
    <row r="240" spans="1:6" ht="12" customHeight="1">
      <c r="A240" s="1482"/>
      <c r="B240" s="1485"/>
      <c r="C240" s="1525"/>
      <c r="D240" s="1525"/>
      <c r="E240" s="1525"/>
      <c r="F240" s="1525"/>
    </row>
    <row r="241" spans="1:6" ht="12" customHeight="1">
      <c r="A241" s="1482"/>
      <c r="B241" s="1485"/>
      <c r="C241" s="1525"/>
      <c r="D241" s="1525"/>
      <c r="E241" s="1525"/>
      <c r="F241" s="1525"/>
    </row>
    <row r="242" spans="1:6" ht="12" customHeight="1">
      <c r="A242" s="1482"/>
      <c r="B242" s="1485"/>
      <c r="C242" s="1525"/>
      <c r="D242" s="1525"/>
      <c r="E242" s="1525"/>
      <c r="F242" s="1525"/>
    </row>
    <row r="243" spans="1:6" ht="12" customHeight="1">
      <c r="A243" s="1482"/>
      <c r="B243" s="1485"/>
      <c r="C243" s="1525"/>
      <c r="D243" s="1525"/>
      <c r="E243" s="1525"/>
      <c r="F243" s="1525"/>
    </row>
    <row r="244" spans="1:6" ht="12" customHeight="1">
      <c r="A244" s="1482"/>
      <c r="B244" s="1485"/>
      <c r="C244" s="1525"/>
      <c r="D244" s="1525"/>
      <c r="E244" s="1525"/>
      <c r="F244" s="1525"/>
    </row>
    <row r="245" spans="1:6" ht="12" customHeight="1">
      <c r="A245" s="1482"/>
      <c r="B245" s="1485"/>
      <c r="C245" s="1525"/>
      <c r="D245" s="1525"/>
      <c r="E245" s="1525"/>
      <c r="F245" s="1525"/>
    </row>
    <row r="246" spans="1:6" ht="12" customHeight="1">
      <c r="A246" s="1482"/>
      <c r="B246" s="1485"/>
      <c r="C246" s="1525"/>
      <c r="D246" s="1525"/>
      <c r="E246" s="1525"/>
      <c r="F246" s="1525"/>
    </row>
    <row r="247" spans="1:6" ht="12" customHeight="1">
      <c r="A247" s="1482"/>
      <c r="B247" s="1485"/>
      <c r="C247" s="1525"/>
      <c r="D247" s="1525"/>
      <c r="E247" s="1525"/>
      <c r="F247" s="1525"/>
    </row>
    <row r="248" spans="1:6" ht="12" customHeight="1">
      <c r="A248" s="1482"/>
      <c r="B248" s="1485"/>
      <c r="C248" s="1525"/>
      <c r="D248" s="1525"/>
      <c r="E248" s="1525"/>
      <c r="F248" s="1525"/>
    </row>
    <row r="249" spans="1:6" ht="12" customHeight="1">
      <c r="A249" s="1482"/>
      <c r="B249" s="1485"/>
      <c r="C249" s="1525"/>
      <c r="D249" s="1525"/>
      <c r="E249" s="1525"/>
      <c r="F249" s="1525"/>
    </row>
    <row r="250" spans="1:6" ht="12" customHeight="1">
      <c r="A250" s="1482"/>
      <c r="B250" s="1485"/>
      <c r="C250" s="1525"/>
      <c r="D250" s="1525"/>
      <c r="E250" s="1525"/>
      <c r="F250" s="1525"/>
    </row>
    <row r="251" spans="1:6" ht="12" customHeight="1">
      <c r="A251" s="1482"/>
      <c r="B251" s="1485"/>
      <c r="C251" s="1525"/>
      <c r="D251" s="1525"/>
      <c r="E251" s="1525"/>
      <c r="F251" s="1525"/>
    </row>
    <row r="252" spans="1:6" ht="12" customHeight="1">
      <c r="A252" s="1482"/>
      <c r="B252" s="1485"/>
      <c r="C252" s="1525"/>
      <c r="D252" s="1525"/>
      <c r="E252" s="1525"/>
      <c r="F252" s="1525"/>
    </row>
    <row r="253" spans="1:6" ht="12" customHeight="1">
      <c r="A253" s="1482"/>
      <c r="B253" s="1485"/>
      <c r="C253" s="1525"/>
      <c r="D253" s="1525"/>
      <c r="E253" s="1525"/>
      <c r="F253" s="1525"/>
    </row>
    <row r="254" spans="1:6" ht="12" customHeight="1">
      <c r="A254" s="1482"/>
      <c r="B254" s="1485"/>
      <c r="C254" s="1525"/>
      <c r="D254" s="1525"/>
      <c r="E254" s="1525"/>
      <c r="F254" s="1525"/>
    </row>
    <row r="255" spans="1:6" ht="12" customHeight="1">
      <c r="A255" s="1482"/>
      <c r="B255" s="1485"/>
      <c r="C255" s="1525"/>
      <c r="D255" s="1525"/>
      <c r="E255" s="1525"/>
      <c r="F255" s="1525"/>
    </row>
    <row r="256" spans="1:6" ht="12" customHeight="1">
      <c r="A256" s="1482"/>
      <c r="B256" s="1485"/>
      <c r="C256" s="1525"/>
      <c r="D256" s="1525"/>
      <c r="E256" s="1525"/>
      <c r="F256" s="1525"/>
    </row>
    <row r="257" spans="1:6" ht="12" customHeight="1">
      <c r="A257" s="1482"/>
      <c r="B257" s="1485"/>
      <c r="C257" s="1525"/>
      <c r="D257" s="1525"/>
      <c r="E257" s="1525"/>
      <c r="F257" s="1525"/>
    </row>
    <row r="258" spans="1:6" ht="12" customHeight="1">
      <c r="A258" s="1482"/>
      <c r="B258" s="1485"/>
      <c r="C258" s="1525"/>
      <c r="D258" s="1525"/>
      <c r="E258" s="1525"/>
      <c r="F258" s="1525"/>
    </row>
    <row r="259" spans="1:6" ht="12" customHeight="1">
      <c r="A259" s="1482"/>
      <c r="B259" s="1485"/>
      <c r="C259" s="1525"/>
      <c r="D259" s="1525"/>
      <c r="E259" s="1525"/>
      <c r="F259" s="1525"/>
    </row>
    <row r="260" spans="1:6" ht="12" customHeight="1">
      <c r="A260" s="1482"/>
      <c r="B260" s="1485"/>
      <c r="C260" s="1525"/>
      <c r="D260" s="1525"/>
      <c r="E260" s="1525"/>
      <c r="F260" s="1525"/>
    </row>
    <row r="261" spans="1:6" ht="12" customHeight="1">
      <c r="A261" s="1482"/>
      <c r="B261" s="1485"/>
      <c r="C261" s="1525"/>
      <c r="D261" s="1525"/>
      <c r="E261" s="1525"/>
      <c r="F261" s="1525"/>
    </row>
    <row r="262" spans="1:6" ht="12" customHeight="1">
      <c r="A262" s="1482"/>
      <c r="B262" s="1485"/>
      <c r="C262" s="1525"/>
      <c r="D262" s="1525"/>
      <c r="E262" s="1525"/>
      <c r="F262" s="1525"/>
    </row>
    <row r="263" spans="1:6" ht="12" customHeight="1">
      <c r="A263" s="1482"/>
      <c r="B263" s="1485"/>
      <c r="C263" s="1525"/>
      <c r="D263" s="1525"/>
      <c r="E263" s="1525"/>
      <c r="F263" s="1525"/>
    </row>
    <row r="264" spans="1:6" ht="12" customHeight="1">
      <c r="A264" s="1482"/>
      <c r="B264" s="1485"/>
      <c r="C264" s="1525"/>
      <c r="D264" s="1525"/>
      <c r="E264" s="1525"/>
      <c r="F264" s="1525"/>
    </row>
    <row r="265" spans="1:6" ht="12" customHeight="1">
      <c r="A265" s="1482"/>
      <c r="B265" s="1485"/>
      <c r="C265" s="1525"/>
      <c r="D265" s="1525"/>
      <c r="E265" s="1525"/>
      <c r="F265" s="1525"/>
    </row>
    <row r="266" spans="1:6" ht="12" customHeight="1">
      <c r="A266" s="1482"/>
      <c r="B266" s="1485"/>
      <c r="C266" s="1525"/>
      <c r="D266" s="1525"/>
      <c r="E266" s="1525"/>
      <c r="F266" s="1525"/>
    </row>
    <row r="267" spans="1:6" ht="12" customHeight="1">
      <c r="A267" s="1482"/>
      <c r="B267" s="1485"/>
      <c r="C267" s="1525"/>
      <c r="D267" s="1525"/>
      <c r="E267" s="1525"/>
      <c r="F267" s="1525"/>
    </row>
    <row r="268" spans="1:6" ht="12" customHeight="1">
      <c r="A268" s="1482"/>
      <c r="B268" s="1485"/>
      <c r="C268" s="1525"/>
      <c r="D268" s="1525"/>
      <c r="E268" s="1525"/>
      <c r="F268" s="1525"/>
    </row>
    <row r="269" spans="1:6" ht="12" customHeight="1">
      <c r="A269" s="1482"/>
      <c r="B269" s="1485"/>
      <c r="C269" s="1525"/>
      <c r="D269" s="1525"/>
      <c r="E269" s="1525"/>
      <c r="F269" s="1525"/>
    </row>
    <row r="270" spans="1:6" ht="12" customHeight="1">
      <c r="A270" s="1482"/>
      <c r="B270" s="1485"/>
      <c r="C270" s="1525"/>
      <c r="D270" s="1525"/>
      <c r="E270" s="1525"/>
      <c r="F270" s="1525"/>
    </row>
    <row r="271" spans="1:6" ht="12" customHeight="1">
      <c r="A271" s="1482"/>
      <c r="B271" s="1485"/>
      <c r="C271" s="1525"/>
      <c r="D271" s="1525"/>
      <c r="E271" s="1525"/>
      <c r="F271" s="1525"/>
    </row>
    <row r="272" spans="1:6" ht="12" customHeight="1">
      <c r="A272" s="1482"/>
      <c r="B272" s="1485"/>
      <c r="C272" s="1525"/>
      <c r="D272" s="1525"/>
      <c r="E272" s="1525"/>
      <c r="F272" s="1525"/>
    </row>
    <row r="273" spans="1:6" ht="12" customHeight="1">
      <c r="A273" s="1482"/>
      <c r="B273" s="1485"/>
      <c r="C273" s="1525"/>
      <c r="D273" s="1525"/>
      <c r="E273" s="1525"/>
      <c r="F273" s="1525"/>
    </row>
    <row r="274" spans="1:6" ht="12" customHeight="1">
      <c r="A274" s="1482"/>
      <c r="B274" s="1485"/>
      <c r="C274" s="1525"/>
      <c r="D274" s="1525"/>
      <c r="E274" s="1525"/>
      <c r="F274" s="1525"/>
    </row>
    <row r="275" spans="1:6" ht="12" customHeight="1">
      <c r="A275" s="1482"/>
      <c r="B275" s="1485"/>
      <c r="C275" s="1525"/>
      <c r="D275" s="1525"/>
      <c r="E275" s="1525"/>
      <c r="F275" s="1525"/>
    </row>
    <row r="276" spans="1:6" ht="12" customHeight="1">
      <c r="A276" s="1482"/>
      <c r="B276" s="1485"/>
      <c r="C276" s="1525"/>
      <c r="D276" s="1525"/>
      <c r="E276" s="1525"/>
      <c r="F276" s="1525"/>
    </row>
    <row r="277" spans="1:6" ht="12" customHeight="1">
      <c r="A277" s="1482"/>
      <c r="B277" s="1485"/>
      <c r="C277" s="1525"/>
      <c r="D277" s="1525"/>
      <c r="E277" s="1525"/>
      <c r="F277" s="1525"/>
    </row>
    <row r="278" spans="1:6" ht="12" customHeight="1">
      <c r="A278" s="1482"/>
      <c r="B278" s="1485"/>
      <c r="C278" s="1525"/>
      <c r="D278" s="1525"/>
      <c r="E278" s="1525"/>
      <c r="F278" s="1525"/>
    </row>
    <row r="279" spans="1:6" ht="12" customHeight="1">
      <c r="A279" s="1482"/>
      <c r="B279" s="1485"/>
      <c r="C279" s="1525"/>
      <c r="D279" s="1525"/>
      <c r="E279" s="1525"/>
      <c r="F279" s="1525"/>
    </row>
    <row r="280" spans="1:6" ht="12" customHeight="1">
      <c r="A280" s="1482"/>
      <c r="B280" s="1485"/>
      <c r="C280" s="1525"/>
      <c r="D280" s="1525"/>
      <c r="E280" s="1525"/>
      <c r="F280" s="1525"/>
    </row>
    <row r="281" spans="1:6" ht="12" customHeight="1">
      <c r="A281" s="1482"/>
      <c r="B281" s="1485"/>
      <c r="C281" s="1525"/>
      <c r="D281" s="1525"/>
      <c r="E281" s="1525"/>
      <c r="F281" s="1525"/>
    </row>
    <row r="282" spans="1:6" ht="12" customHeight="1">
      <c r="A282" s="1482"/>
      <c r="B282" s="1485"/>
      <c r="C282" s="1525"/>
      <c r="D282" s="1525"/>
      <c r="E282" s="1525"/>
      <c r="F282" s="1525"/>
    </row>
    <row r="283" spans="1:6" ht="12" customHeight="1">
      <c r="A283" s="1482"/>
      <c r="B283" s="1485"/>
      <c r="C283" s="1525"/>
      <c r="D283" s="1525"/>
      <c r="E283" s="1525"/>
      <c r="F283" s="1525"/>
    </row>
    <row r="284" spans="1:6" ht="12" customHeight="1">
      <c r="A284" s="1482"/>
      <c r="B284" s="1485"/>
      <c r="C284" s="1525"/>
      <c r="D284" s="1525"/>
      <c r="E284" s="1525"/>
      <c r="F284" s="1525"/>
    </row>
    <row r="285" spans="1:6" ht="12" customHeight="1">
      <c r="A285" s="1482"/>
      <c r="B285" s="1485"/>
      <c r="C285" s="1525"/>
      <c r="D285" s="1525"/>
      <c r="E285" s="1525"/>
      <c r="F285" s="1525"/>
    </row>
    <row r="286" spans="1:6" ht="12" customHeight="1">
      <c r="A286" s="1482"/>
      <c r="B286" s="1485"/>
      <c r="C286" s="1525"/>
      <c r="D286" s="1525"/>
      <c r="E286" s="1525"/>
      <c r="F286" s="1525"/>
    </row>
    <row r="287" spans="1:6" ht="12" customHeight="1">
      <c r="A287" s="1482"/>
      <c r="B287" s="1485"/>
      <c r="C287" s="1525"/>
      <c r="D287" s="1525"/>
      <c r="E287" s="1525"/>
      <c r="F287" s="1525"/>
    </row>
    <row r="288" spans="1:6" ht="12" customHeight="1">
      <c r="A288" s="1482"/>
      <c r="B288" s="1485"/>
      <c r="C288" s="1525"/>
      <c r="D288" s="1525"/>
      <c r="E288" s="1525"/>
      <c r="F288" s="1525"/>
    </row>
    <row r="289" spans="1:6" ht="12" customHeight="1">
      <c r="A289" s="1482"/>
      <c r="B289" s="1485"/>
      <c r="C289" s="1525"/>
      <c r="D289" s="1525"/>
      <c r="E289" s="1525"/>
      <c r="F289" s="1525"/>
    </row>
    <row r="290" spans="1:6" ht="12" customHeight="1">
      <c r="A290" s="1482"/>
      <c r="B290" s="1485"/>
      <c r="C290" s="1525"/>
      <c r="D290" s="1525"/>
      <c r="E290" s="1525"/>
      <c r="F290" s="1525"/>
    </row>
    <row r="291" spans="1:6" ht="12" customHeight="1">
      <c r="A291" s="1482"/>
      <c r="B291" s="1485"/>
      <c r="C291" s="1525"/>
      <c r="D291" s="1525"/>
      <c r="E291" s="1525"/>
      <c r="F291" s="1525"/>
    </row>
    <row r="292" spans="1:6" ht="12" customHeight="1">
      <c r="A292" s="1482"/>
      <c r="B292" s="1485"/>
      <c r="C292" s="1525"/>
      <c r="D292" s="1525"/>
      <c r="E292" s="1525"/>
      <c r="F292" s="1525"/>
    </row>
    <row r="293" spans="1:6" ht="12" customHeight="1">
      <c r="A293" s="1482"/>
      <c r="B293" s="1485"/>
      <c r="C293" s="1525"/>
      <c r="D293" s="1525"/>
      <c r="E293" s="1525"/>
      <c r="F293" s="1525"/>
    </row>
    <row r="294" spans="1:6" ht="12" customHeight="1">
      <c r="A294" s="1482"/>
      <c r="B294" s="1485"/>
      <c r="C294" s="1525"/>
      <c r="D294" s="1525"/>
      <c r="E294" s="1525"/>
      <c r="F294" s="1525"/>
    </row>
    <row r="295" spans="1:6" ht="12" customHeight="1">
      <c r="A295" s="1482"/>
      <c r="B295" s="1485"/>
      <c r="C295" s="1525"/>
      <c r="D295" s="1525"/>
      <c r="E295" s="1525"/>
      <c r="F295" s="1525"/>
    </row>
    <row r="296" spans="1:6" ht="12" customHeight="1">
      <c r="A296" s="1482"/>
      <c r="B296" s="1485"/>
      <c r="C296" s="1525"/>
      <c r="D296" s="1525"/>
      <c r="E296" s="1525"/>
      <c r="F296" s="1525"/>
    </row>
    <row r="297" spans="1:6" ht="12" customHeight="1">
      <c r="A297" s="1482"/>
      <c r="B297" s="1485"/>
      <c r="C297" s="1525"/>
      <c r="D297" s="1525"/>
      <c r="E297" s="1525"/>
      <c r="F297" s="1525"/>
    </row>
    <row r="298" spans="1:6" ht="12" customHeight="1">
      <c r="A298" s="1482"/>
      <c r="B298" s="1485"/>
      <c r="C298" s="1525"/>
      <c r="D298" s="1525"/>
      <c r="E298" s="1525"/>
      <c r="F298" s="1525"/>
    </row>
    <row r="299" spans="1:6" ht="12" customHeight="1">
      <c r="A299" s="1482"/>
      <c r="B299" s="1485"/>
      <c r="C299" s="1525"/>
      <c r="D299" s="1525"/>
      <c r="E299" s="1525"/>
      <c r="F299" s="1525"/>
    </row>
    <row r="300" spans="1:6" ht="12" customHeight="1">
      <c r="A300" s="1482"/>
      <c r="B300" s="1485"/>
      <c r="C300" s="1525"/>
      <c r="D300" s="1525"/>
      <c r="E300" s="1525"/>
      <c r="F300" s="1525"/>
    </row>
    <row r="301" spans="1:6" ht="12" customHeight="1">
      <c r="A301" s="1482"/>
      <c r="B301" s="1485"/>
      <c r="C301" s="1525"/>
      <c r="D301" s="1525"/>
      <c r="E301" s="1525"/>
      <c r="F301" s="1525"/>
    </row>
    <row r="302" spans="1:6" ht="12" customHeight="1">
      <c r="A302" s="1482"/>
      <c r="B302" s="1485"/>
      <c r="C302" s="1525"/>
      <c r="D302" s="1525"/>
      <c r="E302" s="1525"/>
      <c r="F302" s="1525"/>
    </row>
    <row r="303" spans="1:6" ht="12" customHeight="1">
      <c r="A303" s="1482"/>
      <c r="B303" s="1485"/>
      <c r="C303" s="1525"/>
      <c r="D303" s="1525"/>
      <c r="E303" s="1525"/>
      <c r="F303" s="1525"/>
    </row>
    <row r="304" spans="1:6" ht="12" customHeight="1">
      <c r="A304" s="1482"/>
      <c r="B304" s="1485"/>
      <c r="C304" s="1525"/>
      <c r="D304" s="1525"/>
      <c r="E304" s="1525"/>
      <c r="F304" s="1525"/>
    </row>
    <row r="305" spans="1:6" ht="12" customHeight="1">
      <c r="A305" s="1482"/>
      <c r="B305" s="1485"/>
      <c r="C305" s="1525"/>
      <c r="D305" s="1525"/>
      <c r="E305" s="1525"/>
      <c r="F305" s="1525"/>
    </row>
    <row r="306" spans="1:6" ht="12" customHeight="1">
      <c r="A306" s="1482"/>
      <c r="B306" s="1485"/>
      <c r="C306" s="1525"/>
      <c r="D306" s="1525"/>
      <c r="E306" s="1525"/>
      <c r="F306" s="1525"/>
    </row>
    <row r="307" spans="1:6" ht="12" customHeight="1">
      <c r="A307" s="1482"/>
      <c r="B307" s="1485"/>
      <c r="C307" s="1525"/>
      <c r="D307" s="1525"/>
      <c r="E307" s="1525"/>
      <c r="F307" s="1525"/>
    </row>
    <row r="308" spans="1:6" ht="12" customHeight="1">
      <c r="A308" s="1482"/>
      <c r="B308" s="1485"/>
      <c r="C308" s="1525"/>
      <c r="D308" s="1525"/>
      <c r="E308" s="1525"/>
      <c r="F308" s="1525"/>
    </row>
    <row r="309" spans="1:6" ht="12" customHeight="1">
      <c r="A309" s="1482"/>
      <c r="B309" s="1485"/>
      <c r="C309" s="1525"/>
      <c r="D309" s="1525"/>
      <c r="E309" s="1525"/>
      <c r="F309" s="1525"/>
    </row>
    <row r="310" spans="1:6" ht="12" customHeight="1">
      <c r="A310" s="1482"/>
      <c r="B310" s="1485"/>
      <c r="C310" s="1525"/>
      <c r="D310" s="1525"/>
      <c r="E310" s="1525"/>
      <c r="F310" s="1525"/>
    </row>
    <row r="311" spans="1:6" ht="12" customHeight="1">
      <c r="A311" s="1482"/>
      <c r="B311" s="1485"/>
      <c r="C311" s="1525"/>
      <c r="D311" s="1525"/>
      <c r="E311" s="1525"/>
      <c r="F311" s="1525"/>
    </row>
    <row r="312" spans="1:6" ht="12" customHeight="1">
      <c r="A312" s="1482"/>
      <c r="B312" s="1485"/>
      <c r="C312" s="1525"/>
      <c r="D312" s="1525"/>
      <c r="E312" s="1525"/>
      <c r="F312" s="1525"/>
    </row>
    <row r="313" spans="1:6" ht="12" customHeight="1">
      <c r="A313" s="1482"/>
      <c r="B313" s="1485"/>
      <c r="C313" s="1525"/>
      <c r="D313" s="1525"/>
      <c r="E313" s="1525"/>
      <c r="F313" s="1525"/>
    </row>
    <row r="314" spans="1:6" ht="12" customHeight="1">
      <c r="A314" s="1482"/>
      <c r="B314" s="1485"/>
      <c r="C314" s="1525"/>
      <c r="D314" s="1525"/>
      <c r="E314" s="1525"/>
      <c r="F314" s="1525"/>
    </row>
    <row r="315" spans="1:6" ht="12" customHeight="1">
      <c r="A315" s="1482"/>
      <c r="B315" s="1485"/>
      <c r="C315" s="1525"/>
      <c r="D315" s="1525"/>
      <c r="E315" s="1525"/>
      <c r="F315" s="1525"/>
    </row>
  </sheetData>
  <sheetProtection algorithmName="SHA-512" hashValue="cKMe3IiYTMGTRVCArbDlpCEIUhyouYAxcajMunsYojCGIgwsZxjD8RFI3cJtBdxf1KX6MchDZ2GQ0u8VWhYAvw==" saltValue="/r/4JF4XgH27dY1Ns7J07Q==" spinCount="100000" sheet="1" objects="1" scenarios="1"/>
  <phoneticPr fontId="10" type="noConversion"/>
  <dataValidations count="3">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zero." sqref="C10:D10 C14 C15:D15 D18:D19 C18:C21 D20:E20 D21:F21 C23:D23 C25:D25 C29:D29 C41:E43 F47 C45:E45 C32:D32 C34:D34 C36:D36 F33 F35">
      <formula1>0</formula1>
    </dataValidation>
    <dataValidation type="whole" operator="greaterThanOrEqual" allowBlank="1" showInputMessage="1" showErrorMessage="1" errorTitle="Invalid Data Entry" error="Please enter a positive number or press the delete key or enter zero." sqref="C27">
      <formula1>0</formula1>
    </dataValidation>
  </dataValidations>
  <hyperlinks>
    <hyperlink ref="H1" location="Contents!F1" display="Return to Contents page"/>
  </hyperlinks>
  <printOptions horizontalCentered="1"/>
  <pageMargins left="0.25" right="0.25" top="0.19" bottom="0.19" header="0.5" footer="0.5"/>
  <pageSetup scale="95" orientation="portrait" blackAndWhite="1" r:id="rId1"/>
  <headerFooter alignWithMargins="0">
    <oddFooter>&amp;L&amp;D     &amp;T &amp;CCode No. 42</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4" tint="0.39997558519241921"/>
    <pageSetUpPr fitToPage="1"/>
  </sheetPr>
  <dimension ref="A1:M307"/>
  <sheetViews>
    <sheetView zoomScaleNormal="100" workbookViewId="0">
      <selection activeCell="C9" sqref="C9"/>
    </sheetView>
  </sheetViews>
  <sheetFormatPr defaultColWidth="10.7109375" defaultRowHeight="12" customHeight="1"/>
  <cols>
    <col min="1" max="1" width="40.7109375" style="1536" customWidth="1"/>
    <col min="2" max="2" width="4.85546875" style="1574" customWidth="1"/>
    <col min="3" max="3" width="16" style="1530" customWidth="1"/>
    <col min="4" max="4" width="15.5703125" style="1530" customWidth="1"/>
    <col min="5" max="5" width="15.28515625" style="1530" customWidth="1"/>
    <col min="6" max="6" width="15" style="1530" customWidth="1"/>
    <col min="7" max="7" width="2.85546875" style="1530" customWidth="1"/>
    <col min="8" max="8" width="21.140625" style="1530" customWidth="1"/>
    <col min="9" max="16384" width="10.7109375" style="1530"/>
  </cols>
  <sheetData>
    <row r="1" spans="1:13" ht="12" customHeight="1">
      <c r="A1" s="1527"/>
      <c r="B1" s="1528" t="s">
        <v>1017</v>
      </c>
      <c r="C1" s="1569">
        <f>OPEN!$B$4</f>
        <v>270</v>
      </c>
      <c r="D1" s="1527"/>
      <c r="E1" s="1527"/>
      <c r="F1" s="1529" t="s">
        <v>1020</v>
      </c>
      <c r="H1" s="3013" t="s">
        <v>866</v>
      </c>
    </row>
    <row r="2" spans="1:13" ht="12" customHeight="1">
      <c r="A2" s="1527"/>
      <c r="B2" s="1531"/>
      <c r="C2" s="1527"/>
      <c r="D2" s="1527"/>
      <c r="E2" s="1527"/>
      <c r="F2" s="1529" t="s">
        <v>1212</v>
      </c>
    </row>
    <row r="3" spans="1:13" ht="12" customHeight="1">
      <c r="A3" s="1527"/>
      <c r="B3" s="1531"/>
      <c r="C3" s="1527"/>
      <c r="D3" s="1527"/>
      <c r="E3" s="1527"/>
      <c r="F3" s="1529" t="str">
        <f>OPEN!N2</f>
        <v>2016-2017</v>
      </c>
    </row>
    <row r="4" spans="1:13" ht="5.0999999999999996" customHeight="1">
      <c r="A4" s="1527"/>
      <c r="B4" s="1531"/>
      <c r="C4" s="1527"/>
      <c r="D4" s="1527"/>
      <c r="E4" s="1527"/>
      <c r="F4" s="1527"/>
    </row>
    <row r="5" spans="1:13" ht="12" customHeight="1">
      <c r="A5" s="1527"/>
      <c r="B5" s="1531"/>
      <c r="C5" s="1532" t="s">
        <v>1213</v>
      </c>
      <c r="D5" s="1532" t="s">
        <v>1213</v>
      </c>
      <c r="E5" s="1532" t="s">
        <v>1213</v>
      </c>
      <c r="F5" s="1532" t="s">
        <v>10</v>
      </c>
    </row>
    <row r="6" spans="1:13" ht="12" customHeight="1">
      <c r="A6" s="1533"/>
      <c r="B6" s="1534" t="s">
        <v>1045</v>
      </c>
      <c r="C6" s="1535" t="str">
        <f>OPEN!N4</f>
        <v>2014-2015</v>
      </c>
      <c r="D6" s="1535" t="str">
        <f>OPEN!O4</f>
        <v>2015-2016</v>
      </c>
      <c r="E6" s="1535" t="str">
        <f>OPEN!P4</f>
        <v>2016-2017</v>
      </c>
      <c r="F6" s="1535" t="s">
        <v>758</v>
      </c>
      <c r="K6" s="1536"/>
      <c r="L6" s="1536"/>
      <c r="M6" s="1536"/>
    </row>
    <row r="7" spans="1:13" ht="12" customHeight="1">
      <c r="A7" s="1533" t="s">
        <v>769</v>
      </c>
      <c r="B7" s="1537">
        <v>44</v>
      </c>
      <c r="C7" s="1538" t="s">
        <v>1139</v>
      </c>
      <c r="D7" s="1538" t="s">
        <v>1139</v>
      </c>
      <c r="E7" s="1538" t="s">
        <v>1215</v>
      </c>
      <c r="F7" s="1538" t="s">
        <v>16</v>
      </c>
    </row>
    <row r="8" spans="1:13" ht="12" customHeight="1">
      <c r="A8" s="3944" t="s">
        <v>1786</v>
      </c>
      <c r="B8" s="1539" t="s">
        <v>1051</v>
      </c>
      <c r="C8" s="1540">
        <v>1</v>
      </c>
      <c r="D8" s="1540">
        <v>2</v>
      </c>
      <c r="E8" s="1540">
        <v>3</v>
      </c>
      <c r="F8" s="1540">
        <v>4</v>
      </c>
    </row>
    <row r="9" spans="1:13" ht="12" customHeight="1">
      <c r="A9" s="1541" t="s">
        <v>1402</v>
      </c>
      <c r="B9" s="1539">
        <v>1</v>
      </c>
      <c r="C9" s="1542"/>
      <c r="D9" s="1543">
        <f>C37</f>
        <v>0</v>
      </c>
      <c r="E9" s="1543">
        <f>D37</f>
        <v>0</v>
      </c>
      <c r="F9" s="1544">
        <f>E9</f>
        <v>0</v>
      </c>
    </row>
    <row r="10" spans="1:13" ht="12" customHeight="1">
      <c r="A10" s="1545" t="s">
        <v>1403</v>
      </c>
      <c r="B10" s="1537">
        <v>3</v>
      </c>
      <c r="C10" s="1546"/>
      <c r="D10" s="1546"/>
      <c r="E10" s="1547"/>
      <c r="F10" s="1547"/>
    </row>
    <row r="11" spans="1:13" ht="12" customHeight="1">
      <c r="A11" s="1548" t="s">
        <v>19</v>
      </c>
      <c r="B11" s="1534"/>
      <c r="C11" s="1549"/>
      <c r="D11" s="1549"/>
      <c r="E11" s="1547"/>
      <c r="F11" s="1547"/>
    </row>
    <row r="12" spans="1:13" ht="12" customHeight="1">
      <c r="A12" s="1545" t="s">
        <v>20</v>
      </c>
      <c r="B12" s="1537"/>
      <c r="C12" s="1547"/>
      <c r="D12" s="1547"/>
      <c r="E12" s="1547"/>
      <c r="F12" s="1547"/>
      <c r="H12" s="4114"/>
    </row>
    <row r="13" spans="1:13" ht="12" customHeight="1">
      <c r="A13" s="1545" t="s">
        <v>21</v>
      </c>
      <c r="B13" s="1537"/>
      <c r="C13" s="1547"/>
      <c r="D13" s="1547"/>
      <c r="E13" s="1547"/>
      <c r="F13" s="1547"/>
    </row>
    <row r="14" spans="1:13" ht="12" customHeight="1">
      <c r="A14" s="1541" t="str">
        <f>OPEN!N8</f>
        <v xml:space="preserve">    2013  $</v>
      </c>
      <c r="B14" s="1539">
        <v>5</v>
      </c>
      <c r="C14" s="1542"/>
      <c r="D14" s="1547"/>
      <c r="E14" s="1547"/>
      <c r="F14" s="1547"/>
    </row>
    <row r="15" spans="1:13" ht="12" customHeight="1">
      <c r="A15" s="1550" t="str">
        <f>OPEN!N9</f>
        <v xml:space="preserve">    2014  $</v>
      </c>
      <c r="B15" s="1551">
        <v>10</v>
      </c>
      <c r="C15" s="1552"/>
      <c r="D15" s="1542"/>
      <c r="E15" s="1547"/>
      <c r="F15" s="1547"/>
      <c r="H15" s="1553"/>
    </row>
    <row r="16" spans="1:13" ht="12" customHeight="1">
      <c r="A16" s="1541" t="str">
        <f>OPEN!N10</f>
        <v xml:space="preserve">    2015  $</v>
      </c>
      <c r="B16" s="1539">
        <v>15</v>
      </c>
      <c r="C16" s="1549"/>
      <c r="D16" s="1543">
        <f>'C04'!E16</f>
        <v>0</v>
      </c>
      <c r="E16" s="1543">
        <f>'F110'!I81</f>
        <v>0</v>
      </c>
      <c r="F16" s="1543">
        <f>E16</f>
        <v>0</v>
      </c>
    </row>
    <row r="17" spans="1:8" ht="12" customHeight="1">
      <c r="A17" s="1550" t="str">
        <f>OPEN!N11</f>
        <v xml:space="preserve">    2016  $</v>
      </c>
      <c r="B17" s="1551">
        <v>20</v>
      </c>
      <c r="C17" s="1547"/>
      <c r="D17" s="1549"/>
      <c r="E17" s="1544">
        <f>'C04'!L16</f>
        <v>0</v>
      </c>
      <c r="F17" s="1549"/>
    </row>
    <row r="18" spans="1:8" ht="12" customHeight="1">
      <c r="A18" s="1550" t="s">
        <v>1875</v>
      </c>
      <c r="B18" s="1551">
        <v>25</v>
      </c>
      <c r="C18" s="1542"/>
      <c r="D18" s="4120"/>
      <c r="E18" s="1543">
        <f>0.667*F18</f>
        <v>0</v>
      </c>
      <c r="F18" s="3356">
        <f>'F110'!I85</f>
        <v>0</v>
      </c>
    </row>
    <row r="19" spans="1:8" ht="12" customHeight="1">
      <c r="A19" s="1550" t="s">
        <v>399</v>
      </c>
      <c r="B19" s="1551">
        <v>30</v>
      </c>
      <c r="C19" s="1552"/>
      <c r="D19" s="5021" t="s">
        <v>1189</v>
      </c>
      <c r="E19" s="4172" t="s">
        <v>1431</v>
      </c>
      <c r="F19" s="4169" t="s">
        <v>1431</v>
      </c>
    </row>
    <row r="20" spans="1:8" ht="12" customHeight="1">
      <c r="A20" s="1548" t="s">
        <v>28</v>
      </c>
      <c r="B20" s="1534"/>
      <c r="C20" s="1547"/>
      <c r="D20" s="1547"/>
      <c r="E20" s="1547"/>
      <c r="F20" s="1549"/>
      <c r="H20" s="1553"/>
    </row>
    <row r="21" spans="1:8" ht="12" customHeight="1">
      <c r="A21" s="1541" t="s">
        <v>285</v>
      </c>
      <c r="B21" s="1539">
        <v>45</v>
      </c>
      <c r="C21" s="1542"/>
      <c r="D21" s="1542"/>
      <c r="E21" s="1543">
        <f>IF(ISERROR('F194'!H87+'F194'!H29+'F194'!$P$87+'F194'!$P$29),0,('F194'!H87+'F194'!H29+'F194'!$P$87+'F194'!$P$29))</f>
        <v>0</v>
      </c>
      <c r="F21" s="1543">
        <f>E21</f>
        <v>0</v>
      </c>
    </row>
    <row r="22" spans="1:8" ht="12" customHeight="1">
      <c r="A22" s="1550" t="s">
        <v>30</v>
      </c>
      <c r="B22" s="1551">
        <v>50</v>
      </c>
      <c r="C22" s="1549"/>
      <c r="D22" s="1549"/>
      <c r="E22" s="1549"/>
      <c r="F22" s="1544">
        <f>F21*0.5</f>
        <v>0</v>
      </c>
    </row>
    <row r="23" spans="1:8" ht="12" customHeight="1">
      <c r="A23" s="1541" t="s">
        <v>31</v>
      </c>
      <c r="B23" s="1539">
        <v>55</v>
      </c>
      <c r="C23" s="1542"/>
      <c r="D23" s="1542"/>
      <c r="E23" s="1543">
        <f>IF(ISERROR('F194'!$L$87+'F194'!$L$29),0,('F194'!$L$87+'F194'!$L$29))</f>
        <v>0</v>
      </c>
      <c r="F23" s="1544">
        <f>E23</f>
        <v>0</v>
      </c>
    </row>
    <row r="24" spans="1:8" ht="12" customHeight="1">
      <c r="A24" s="1541" t="s">
        <v>32</v>
      </c>
      <c r="B24" s="1539">
        <v>56</v>
      </c>
      <c r="C24" s="1547"/>
      <c r="D24" s="1547"/>
      <c r="E24" s="1547"/>
      <c r="F24" s="1544">
        <f>F23*0.5</f>
        <v>0</v>
      </c>
    </row>
    <row r="25" spans="1:8" ht="12" customHeight="1">
      <c r="A25" s="5022" t="s">
        <v>1870</v>
      </c>
      <c r="B25" s="5023">
        <v>57</v>
      </c>
      <c r="C25" s="4998"/>
      <c r="D25" s="4998"/>
      <c r="E25" s="1543">
        <f>IF(ISERROR('F194'!R87+'F194'!R29),0,('F194'!R87+'F194'!R29))</f>
        <v>0</v>
      </c>
      <c r="F25" s="1544">
        <f>E25</f>
        <v>0</v>
      </c>
    </row>
    <row r="26" spans="1:8" ht="12" customHeight="1">
      <c r="A26" s="5022" t="s">
        <v>32</v>
      </c>
      <c r="B26" s="5023">
        <v>58</v>
      </c>
      <c r="C26" s="1547"/>
      <c r="D26" s="1547"/>
      <c r="E26" s="1547"/>
      <c r="F26" s="1544">
        <f>F25*0.5</f>
        <v>0</v>
      </c>
    </row>
    <row r="27" spans="1:8" ht="12" customHeight="1">
      <c r="A27" s="1541" t="s">
        <v>1938</v>
      </c>
      <c r="B27" s="1539">
        <v>60</v>
      </c>
      <c r="C27" s="1546"/>
      <c r="D27" s="1546"/>
      <c r="E27" s="1543">
        <f>IF(ISERROR('F194'!N87+'F194'!N29),0,('F194'!N87+'F194'!N29))</f>
        <v>0</v>
      </c>
      <c r="F27" s="1544">
        <f>E27</f>
        <v>0</v>
      </c>
    </row>
    <row r="28" spans="1:8" ht="12" customHeight="1">
      <c r="A28" s="1558" t="s">
        <v>30</v>
      </c>
      <c r="B28" s="3391">
        <v>65</v>
      </c>
      <c r="C28" s="1556"/>
      <c r="D28" s="3355"/>
      <c r="E28" s="3355"/>
      <c r="F28" s="1557">
        <f>F27*0.5</f>
        <v>0</v>
      </c>
    </row>
    <row r="29" spans="1:8" ht="12" customHeight="1">
      <c r="A29" s="3114" t="s">
        <v>52</v>
      </c>
      <c r="B29" s="3392">
        <v>70</v>
      </c>
      <c r="C29" s="1543">
        <f>SUM(C9:C28)</f>
        <v>0</v>
      </c>
      <c r="D29" s="3356">
        <f>SUM(D9:D28)</f>
        <v>0</v>
      </c>
      <c r="E29" s="3356">
        <f>SUM(E9:E28)</f>
        <v>0</v>
      </c>
      <c r="F29" s="1544">
        <f>SUM(F9:F28)</f>
        <v>0</v>
      </c>
    </row>
    <row r="30" spans="1:8" ht="12" customHeight="1">
      <c r="A30" s="1558" t="s">
        <v>111</v>
      </c>
      <c r="B30" s="1535"/>
      <c r="C30" s="1547"/>
      <c r="D30" s="1547"/>
      <c r="E30" s="1557"/>
      <c r="F30" s="1549"/>
    </row>
    <row r="31" spans="1:8" ht="12" customHeight="1">
      <c r="A31" s="1559" t="s">
        <v>770</v>
      </c>
      <c r="B31" s="1538"/>
      <c r="C31" s="1547"/>
      <c r="D31" s="1547"/>
      <c r="E31" s="1547"/>
      <c r="F31" s="1547"/>
    </row>
    <row r="32" spans="1:8" ht="12" customHeight="1">
      <c r="A32" s="1559" t="s">
        <v>771</v>
      </c>
      <c r="B32" s="1538"/>
      <c r="C32" s="1547"/>
      <c r="D32" s="1547"/>
      <c r="E32" s="1547"/>
      <c r="F32" s="1547"/>
    </row>
    <row r="33" spans="1:9" ht="12" customHeight="1">
      <c r="A33" s="1560" t="s">
        <v>772</v>
      </c>
      <c r="B33" s="1561">
        <v>75</v>
      </c>
      <c r="C33" s="1542"/>
      <c r="D33" s="1542"/>
      <c r="E33" s="1542"/>
      <c r="F33" s="1547"/>
    </row>
    <row r="34" spans="1:9" ht="12" customHeight="1">
      <c r="A34" s="1554" t="s">
        <v>761</v>
      </c>
      <c r="B34" s="1555">
        <v>175</v>
      </c>
      <c r="C34" s="1544">
        <f>SUM(C30:C33)</f>
        <v>0</v>
      </c>
      <c r="D34" s="1544">
        <f>SUM(D30:D33)</f>
        <v>0</v>
      </c>
      <c r="E34" s="1544">
        <f>SUM(E30:E33)</f>
        <v>0</v>
      </c>
      <c r="F34" s="1543">
        <f>E34</f>
        <v>0</v>
      </c>
    </row>
    <row r="35" spans="1:9" ht="12" customHeight="1">
      <c r="A35" s="1554" t="s">
        <v>30</v>
      </c>
      <c r="B35" s="1561">
        <v>180</v>
      </c>
      <c r="C35" s="1562" t="s">
        <v>51</v>
      </c>
      <c r="D35" s="1562" t="s">
        <v>1189</v>
      </c>
      <c r="E35" s="1562" t="s">
        <v>1431</v>
      </c>
      <c r="F35" s="1552"/>
    </row>
    <row r="36" spans="1:9" ht="12" customHeight="1">
      <c r="A36" s="1554" t="s">
        <v>762</v>
      </c>
      <c r="B36" s="1555">
        <v>185</v>
      </c>
      <c r="C36" s="1562" t="s">
        <v>51</v>
      </c>
      <c r="D36" s="1562" t="s">
        <v>1189</v>
      </c>
      <c r="E36" s="1562" t="s">
        <v>1189</v>
      </c>
      <c r="F36" s="1544">
        <f>SUM(F34:F35)</f>
        <v>0</v>
      </c>
    </row>
    <row r="37" spans="1:9" ht="12" customHeight="1">
      <c r="A37" s="1560" t="s">
        <v>773</v>
      </c>
      <c r="B37" s="1561">
        <v>190</v>
      </c>
      <c r="C37" s="1563">
        <f>SUM(C29-C34)</f>
        <v>0</v>
      </c>
      <c r="D37" s="1563">
        <f>SUM(D29-D34)</f>
        <v>0</v>
      </c>
      <c r="E37" s="1563">
        <f>SUM(E29-E34)</f>
        <v>0</v>
      </c>
      <c r="F37" s="1564" t="s">
        <v>1251</v>
      </c>
    </row>
    <row r="38" spans="1:9" ht="12" customHeight="1">
      <c r="A38" s="1527"/>
      <c r="B38" s="1555">
        <v>195</v>
      </c>
      <c r="C38" s="1565" t="s">
        <v>768</v>
      </c>
      <c r="D38" s="1566"/>
      <c r="E38" s="1567"/>
      <c r="F38" s="1544">
        <f>SUM(F36-F29)</f>
        <v>0</v>
      </c>
    </row>
    <row r="39" spans="1:9" ht="12" customHeight="1">
      <c r="A39" s="1527"/>
      <c r="B39" s="1555">
        <v>200</v>
      </c>
      <c r="C39" s="1565" t="s">
        <v>763</v>
      </c>
      <c r="D39" s="1566"/>
      <c r="E39" s="1567"/>
      <c r="F39" s="1544">
        <f>F38*'C01'!$F$119/100</f>
        <v>0</v>
      </c>
    </row>
    <row r="40" spans="1:9" ht="12" customHeight="1">
      <c r="A40" s="1527"/>
      <c r="B40" s="1555">
        <v>205</v>
      </c>
      <c r="C40" s="1565" t="str">
        <f>OPEN!N6</f>
        <v>Amount of 2016 Tax to be Levied</v>
      </c>
      <c r="D40" s="1566"/>
      <c r="E40" s="1568"/>
      <c r="F40" s="1544">
        <f>SUM(F38+F39)</f>
        <v>0</v>
      </c>
      <c r="H40" s="3157" t="s">
        <v>385</v>
      </c>
      <c r="I40" s="3202">
        <f>IF(ISERROR(F40/OPEN!A14*1000),"See errors below",F40/OPEN!A14*1000)</f>
        <v>0</v>
      </c>
    </row>
    <row r="41" spans="1:9" ht="12" customHeight="1">
      <c r="A41" s="1569"/>
      <c r="B41" s="2779" t="s">
        <v>1364</v>
      </c>
      <c r="C41" s="1527"/>
      <c r="D41" s="1527"/>
      <c r="E41" s="1527"/>
      <c r="F41" s="1527"/>
      <c r="H41" s="3158" t="str">
        <f>OPEN!N40</f>
        <v/>
      </c>
      <c r="I41" s="1536"/>
    </row>
    <row r="42" spans="1:9" ht="12" customHeight="1">
      <c r="A42" s="1569"/>
      <c r="B42" s="1570"/>
      <c r="C42" s="1527"/>
      <c r="D42" s="1527"/>
      <c r="E42" s="1527"/>
      <c r="F42" s="1527"/>
    </row>
    <row r="43" spans="1:9" ht="12" customHeight="1">
      <c r="A43" s="1569"/>
      <c r="B43" s="1570"/>
      <c r="C43" s="1527"/>
      <c r="D43" s="1527"/>
      <c r="E43" s="1527"/>
      <c r="F43" s="1527"/>
    </row>
    <row r="44" spans="1:9" ht="12" customHeight="1">
      <c r="A44" s="1569"/>
      <c r="B44" s="1570"/>
      <c r="C44" s="1527"/>
      <c r="D44" s="1527"/>
      <c r="E44" s="1527"/>
      <c r="F44" s="1527"/>
    </row>
    <row r="45" spans="1:9" ht="12" customHeight="1">
      <c r="A45" s="1527"/>
      <c r="B45" s="1532"/>
      <c r="C45" s="1527"/>
      <c r="D45" s="1527"/>
      <c r="E45" s="1527"/>
      <c r="F45" s="1527"/>
    </row>
    <row r="46" spans="1:9" ht="12" customHeight="1">
      <c r="A46" s="1527"/>
      <c r="B46" s="1532"/>
      <c r="C46" s="1527"/>
      <c r="D46" s="1527"/>
      <c r="E46" s="1527"/>
      <c r="F46" s="1527"/>
    </row>
    <row r="47" spans="1:9" ht="12" customHeight="1">
      <c r="A47" s="1527"/>
      <c r="B47" s="1532"/>
      <c r="C47" s="1527"/>
      <c r="D47" s="1527"/>
      <c r="E47" s="1527"/>
      <c r="F47" s="1527"/>
    </row>
    <row r="48" spans="1:9" ht="12" customHeight="1">
      <c r="A48" s="1527"/>
      <c r="B48" s="1532"/>
      <c r="C48" s="1527"/>
      <c r="D48" s="1527"/>
      <c r="E48" s="1527"/>
      <c r="F48" s="1527"/>
    </row>
    <row r="49" spans="1:6" ht="12" customHeight="1">
      <c r="A49" s="1527"/>
      <c r="B49" s="1532"/>
      <c r="C49" s="1527"/>
      <c r="D49" s="1527"/>
      <c r="E49" s="1527"/>
      <c r="F49" s="1527"/>
    </row>
    <row r="50" spans="1:6" ht="12" customHeight="1">
      <c r="A50" s="1527"/>
      <c r="B50" s="1532"/>
      <c r="C50" s="1527"/>
      <c r="D50" s="1527"/>
      <c r="E50" s="1527"/>
      <c r="F50" s="1527"/>
    </row>
    <row r="51" spans="1:6" ht="12" customHeight="1">
      <c r="A51" s="1527"/>
      <c r="B51" s="1532"/>
      <c r="C51" s="1527"/>
      <c r="D51" s="1527"/>
      <c r="E51" s="1527"/>
      <c r="F51" s="1527"/>
    </row>
    <row r="52" spans="1:6" ht="12" customHeight="1">
      <c r="A52" s="1527"/>
      <c r="B52" s="1532"/>
      <c r="C52" s="1527"/>
      <c r="D52" s="1527"/>
      <c r="E52" s="1527"/>
      <c r="F52" s="1527"/>
    </row>
    <row r="53" spans="1:6" ht="12" customHeight="1">
      <c r="A53" s="1527"/>
      <c r="B53" s="1532"/>
      <c r="C53" s="1527"/>
      <c r="D53" s="1527"/>
      <c r="E53" s="1527"/>
      <c r="F53" s="1527"/>
    </row>
    <row r="54" spans="1:6" ht="12" customHeight="1">
      <c r="A54" s="1527"/>
      <c r="B54" s="1532"/>
      <c r="C54" s="1527"/>
      <c r="D54" s="1527"/>
      <c r="E54" s="1527"/>
      <c r="F54" s="1527"/>
    </row>
    <row r="55" spans="1:6" ht="12" customHeight="1">
      <c r="A55" s="1527"/>
      <c r="B55" s="1532"/>
      <c r="C55" s="1527"/>
      <c r="D55" s="1527"/>
      <c r="E55" s="1527"/>
      <c r="F55" s="1527"/>
    </row>
    <row r="56" spans="1:6" ht="12" customHeight="1">
      <c r="A56" s="1527"/>
      <c r="B56" s="1532"/>
      <c r="C56" s="1527"/>
      <c r="D56" s="1527"/>
      <c r="E56" s="1527"/>
      <c r="F56" s="1527"/>
    </row>
    <row r="57" spans="1:6" ht="12" customHeight="1">
      <c r="A57" s="1527"/>
      <c r="B57" s="1532"/>
      <c r="C57" s="1527"/>
      <c r="D57" s="1527"/>
      <c r="E57" s="1527"/>
      <c r="F57" s="1527"/>
    </row>
    <row r="58" spans="1:6" ht="12" customHeight="1">
      <c r="A58" s="1527"/>
      <c r="B58" s="1532"/>
      <c r="C58" s="1527"/>
      <c r="D58" s="1527"/>
      <c r="E58" s="1527"/>
      <c r="F58" s="1527"/>
    </row>
    <row r="59" spans="1:6" ht="12" customHeight="1">
      <c r="A59" s="1571"/>
      <c r="B59" s="1571"/>
      <c r="C59" s="1572"/>
      <c r="D59" s="1572"/>
      <c r="E59" s="1572"/>
      <c r="F59" s="1572"/>
    </row>
    <row r="60" spans="1:6" ht="12" customHeight="1">
      <c r="A60" s="1527"/>
      <c r="B60" s="1532"/>
      <c r="C60" s="1573"/>
      <c r="D60" s="1573"/>
      <c r="E60" s="1573"/>
      <c r="F60" s="1573"/>
    </row>
    <row r="61" spans="1:6" ht="12" customHeight="1">
      <c r="A61" s="1527"/>
      <c r="B61" s="1532"/>
      <c r="C61" s="1573"/>
      <c r="D61" s="1573"/>
      <c r="E61" s="1573"/>
      <c r="F61" s="1573"/>
    </row>
    <row r="62" spans="1:6" ht="12" customHeight="1">
      <c r="A62" s="1527"/>
      <c r="B62" s="1532"/>
      <c r="C62" s="1573"/>
      <c r="D62" s="1573"/>
      <c r="E62" s="1573"/>
      <c r="F62" s="1573"/>
    </row>
    <row r="63" spans="1:6" ht="12" customHeight="1">
      <c r="A63" s="1527"/>
      <c r="B63" s="1532"/>
      <c r="C63" s="1573"/>
      <c r="D63" s="1573"/>
      <c r="E63" s="1573"/>
      <c r="F63" s="1573"/>
    </row>
    <row r="64" spans="1:6" ht="12" customHeight="1">
      <c r="A64" s="1527"/>
      <c r="B64" s="1532"/>
      <c r="C64" s="1573"/>
      <c r="D64" s="1573"/>
      <c r="E64" s="1573"/>
      <c r="F64" s="1573"/>
    </row>
    <row r="65" spans="1:6" ht="12" customHeight="1">
      <c r="A65" s="1527"/>
      <c r="B65" s="1532"/>
      <c r="C65" s="1573"/>
      <c r="D65" s="1573"/>
      <c r="E65" s="1573"/>
      <c r="F65" s="1573"/>
    </row>
    <row r="66" spans="1:6" ht="12" customHeight="1">
      <c r="A66" s="1527"/>
      <c r="B66" s="1532"/>
      <c r="C66" s="1573"/>
      <c r="D66" s="1573"/>
      <c r="E66" s="1573"/>
      <c r="F66" s="1573"/>
    </row>
    <row r="67" spans="1:6" ht="12" customHeight="1">
      <c r="A67" s="1527"/>
      <c r="B67" s="1532"/>
      <c r="C67" s="1573"/>
      <c r="D67" s="1573"/>
      <c r="E67" s="1573"/>
      <c r="F67" s="1573"/>
    </row>
    <row r="68" spans="1:6" ht="12" customHeight="1">
      <c r="A68" s="1527"/>
      <c r="B68" s="1532"/>
      <c r="C68" s="1573"/>
      <c r="D68" s="1573"/>
      <c r="E68" s="1573"/>
      <c r="F68" s="1573"/>
    </row>
    <row r="69" spans="1:6" ht="12" customHeight="1">
      <c r="A69" s="1527"/>
      <c r="B69" s="1532"/>
      <c r="C69" s="1573"/>
      <c r="D69" s="1573"/>
      <c r="E69" s="1573"/>
      <c r="F69" s="1573"/>
    </row>
    <row r="70" spans="1:6" ht="12" customHeight="1">
      <c r="A70" s="1527"/>
      <c r="B70" s="1532"/>
      <c r="C70" s="1573"/>
      <c r="D70" s="1573"/>
      <c r="E70" s="1573"/>
      <c r="F70" s="1573"/>
    </row>
    <row r="71" spans="1:6" ht="12" customHeight="1">
      <c r="A71" s="1527"/>
      <c r="B71" s="1532"/>
      <c r="C71" s="1573"/>
      <c r="D71" s="1573"/>
      <c r="E71" s="1573"/>
      <c r="F71" s="1573"/>
    </row>
    <row r="72" spans="1:6" ht="12" customHeight="1">
      <c r="A72" s="1527"/>
      <c r="B72" s="1532"/>
      <c r="C72" s="1573"/>
      <c r="D72" s="1573"/>
      <c r="E72" s="1573"/>
      <c r="F72" s="1573"/>
    </row>
    <row r="73" spans="1:6" ht="12" customHeight="1">
      <c r="A73" s="1527"/>
      <c r="B73" s="1532"/>
      <c r="C73" s="1573"/>
      <c r="D73" s="1573"/>
      <c r="E73" s="1573"/>
      <c r="F73" s="1573"/>
    </row>
    <row r="74" spans="1:6" ht="12" customHeight="1">
      <c r="A74" s="1527"/>
      <c r="B74" s="1532"/>
      <c r="C74" s="1573"/>
      <c r="D74" s="1573"/>
      <c r="E74" s="1573"/>
      <c r="F74" s="1573"/>
    </row>
    <row r="75" spans="1:6" ht="12" customHeight="1">
      <c r="A75" s="1527"/>
      <c r="B75" s="1532"/>
      <c r="C75" s="1573"/>
      <c r="D75" s="1573"/>
      <c r="E75" s="1573"/>
      <c r="F75" s="1573"/>
    </row>
    <row r="76" spans="1:6" ht="12" customHeight="1">
      <c r="A76" s="1527"/>
      <c r="B76" s="1532"/>
      <c r="C76" s="1573"/>
      <c r="D76" s="1573"/>
      <c r="E76" s="1573"/>
      <c r="F76" s="1573"/>
    </row>
    <row r="77" spans="1:6" ht="12" customHeight="1">
      <c r="A77" s="1527"/>
      <c r="B77" s="1532"/>
      <c r="C77" s="1573"/>
      <c r="D77" s="1573"/>
      <c r="E77" s="1573"/>
      <c r="F77" s="1573"/>
    </row>
    <row r="78" spans="1:6" ht="12" customHeight="1">
      <c r="A78" s="1527"/>
      <c r="B78" s="1532"/>
      <c r="C78" s="1573"/>
      <c r="D78" s="1573"/>
      <c r="E78" s="1573"/>
      <c r="F78" s="1573"/>
    </row>
    <row r="79" spans="1:6" ht="12" customHeight="1">
      <c r="A79" s="1527"/>
      <c r="B79" s="1532"/>
      <c r="C79" s="1573"/>
      <c r="D79" s="1573"/>
      <c r="E79" s="1573"/>
      <c r="F79" s="1573"/>
    </row>
    <row r="80" spans="1:6" ht="12" customHeight="1">
      <c r="A80" s="1527"/>
      <c r="B80" s="1532"/>
      <c r="C80" s="1573"/>
      <c r="D80" s="1573"/>
      <c r="E80" s="1573"/>
      <c r="F80" s="1573"/>
    </row>
    <row r="81" spans="1:6" ht="12" customHeight="1">
      <c r="A81" s="1527"/>
      <c r="B81" s="1532"/>
      <c r="C81" s="1573"/>
      <c r="D81" s="1573"/>
      <c r="E81" s="1573"/>
      <c r="F81" s="1573"/>
    </row>
    <row r="82" spans="1:6" ht="12" customHeight="1">
      <c r="A82" s="1527"/>
      <c r="B82" s="1532"/>
      <c r="C82" s="1573"/>
      <c r="D82" s="1573"/>
      <c r="E82" s="1573"/>
      <c r="F82" s="1573"/>
    </row>
    <row r="83" spans="1:6" ht="12" customHeight="1">
      <c r="A83" s="1527"/>
      <c r="B83" s="1532"/>
      <c r="C83" s="1573"/>
      <c r="D83" s="1573"/>
      <c r="E83" s="1573"/>
      <c r="F83" s="1573"/>
    </row>
    <row r="84" spans="1:6" ht="12" customHeight="1">
      <c r="A84" s="1527"/>
      <c r="B84" s="1532"/>
      <c r="C84" s="1573"/>
      <c r="D84" s="1573"/>
      <c r="E84" s="1573"/>
      <c r="F84" s="1573"/>
    </row>
    <row r="85" spans="1:6" ht="12" customHeight="1">
      <c r="A85" s="1527"/>
      <c r="B85" s="1532"/>
      <c r="C85" s="1573"/>
      <c r="D85" s="1573"/>
      <c r="E85" s="1573"/>
      <c r="F85" s="1573"/>
    </row>
    <row r="86" spans="1:6" ht="12" customHeight="1">
      <c r="A86" s="1527"/>
      <c r="B86" s="1532"/>
      <c r="C86" s="1573"/>
      <c r="D86" s="1573"/>
      <c r="E86" s="1573"/>
      <c r="F86" s="1573"/>
    </row>
    <row r="87" spans="1:6" ht="12" customHeight="1">
      <c r="A87" s="1527"/>
      <c r="B87" s="1532"/>
      <c r="C87" s="1573"/>
      <c r="D87" s="1573"/>
      <c r="E87" s="1573"/>
      <c r="F87" s="1573"/>
    </row>
    <row r="88" spans="1:6" ht="12" customHeight="1">
      <c r="A88" s="1527"/>
      <c r="B88" s="1532"/>
      <c r="C88" s="1573"/>
      <c r="D88" s="1573"/>
      <c r="E88" s="1573"/>
      <c r="F88" s="1573"/>
    </row>
    <row r="89" spans="1:6" ht="12" customHeight="1">
      <c r="A89" s="1527"/>
      <c r="B89" s="1532"/>
      <c r="C89" s="1573"/>
      <c r="D89" s="1573"/>
      <c r="E89" s="1573"/>
      <c r="F89" s="1573"/>
    </row>
    <row r="90" spans="1:6" ht="12" customHeight="1">
      <c r="A90" s="1527"/>
      <c r="B90" s="1532"/>
      <c r="C90" s="1573"/>
      <c r="D90" s="1573"/>
      <c r="E90" s="1573"/>
      <c r="F90" s="1573"/>
    </row>
    <row r="91" spans="1:6" ht="12" customHeight="1">
      <c r="A91" s="1527"/>
      <c r="B91" s="1532"/>
      <c r="C91" s="1573"/>
      <c r="D91" s="1573"/>
      <c r="E91" s="1573"/>
      <c r="F91" s="1573"/>
    </row>
    <row r="92" spans="1:6" ht="12" customHeight="1">
      <c r="A92" s="1527"/>
      <c r="B92" s="1532"/>
      <c r="C92" s="1573"/>
      <c r="D92" s="1573"/>
      <c r="E92" s="1573"/>
      <c r="F92" s="1573"/>
    </row>
    <row r="93" spans="1:6" ht="12" customHeight="1">
      <c r="A93" s="1527"/>
      <c r="B93" s="1532"/>
      <c r="C93" s="1573"/>
      <c r="D93" s="1573"/>
      <c r="E93" s="1573"/>
      <c r="F93" s="1573"/>
    </row>
    <row r="94" spans="1:6" ht="12" customHeight="1">
      <c r="A94" s="1527"/>
      <c r="B94" s="1532"/>
      <c r="C94" s="1573"/>
      <c r="D94" s="1573"/>
      <c r="E94" s="1573"/>
      <c r="F94" s="1573"/>
    </row>
    <row r="95" spans="1:6" ht="12" customHeight="1">
      <c r="A95" s="1527"/>
      <c r="B95" s="1532"/>
      <c r="C95" s="1573"/>
      <c r="D95" s="1573"/>
      <c r="E95" s="1573"/>
      <c r="F95" s="1573"/>
    </row>
    <row r="96" spans="1:6" ht="12" customHeight="1">
      <c r="A96" s="1527"/>
      <c r="B96" s="1532"/>
      <c r="C96" s="1573"/>
      <c r="D96" s="1573"/>
      <c r="E96" s="1573"/>
      <c r="F96" s="1573"/>
    </row>
    <row r="97" spans="1:6" ht="12" customHeight="1">
      <c r="A97" s="1527"/>
      <c r="B97" s="1532"/>
      <c r="C97" s="1573"/>
      <c r="D97" s="1573"/>
      <c r="E97" s="1573"/>
      <c r="F97" s="1573"/>
    </row>
    <row r="98" spans="1:6" ht="12" customHeight="1">
      <c r="A98" s="1527"/>
      <c r="B98" s="1532"/>
      <c r="C98" s="1573"/>
      <c r="D98" s="1573"/>
      <c r="E98" s="1573"/>
      <c r="F98" s="1573"/>
    </row>
    <row r="99" spans="1:6" ht="12" customHeight="1">
      <c r="A99" s="1527"/>
      <c r="B99" s="1532"/>
      <c r="C99" s="1573"/>
      <c r="D99" s="1573"/>
      <c r="E99" s="1573"/>
      <c r="F99" s="1573"/>
    </row>
    <row r="100" spans="1:6" ht="12" customHeight="1">
      <c r="A100" s="1527"/>
      <c r="B100" s="1532"/>
      <c r="C100" s="1573"/>
      <c r="D100" s="1573"/>
      <c r="E100" s="1573"/>
      <c r="F100" s="1573"/>
    </row>
    <row r="101" spans="1:6" ht="12" customHeight="1">
      <c r="A101" s="1527"/>
      <c r="B101" s="1532"/>
      <c r="C101" s="1573"/>
      <c r="D101" s="1573"/>
      <c r="E101" s="1573"/>
      <c r="F101" s="1573"/>
    </row>
    <row r="102" spans="1:6" ht="12" customHeight="1">
      <c r="A102" s="1527"/>
      <c r="B102" s="1532"/>
      <c r="C102" s="1573"/>
      <c r="D102" s="1573"/>
      <c r="E102" s="1573"/>
      <c r="F102" s="1573"/>
    </row>
    <row r="103" spans="1:6" ht="12" customHeight="1">
      <c r="A103" s="1527"/>
      <c r="B103" s="1532"/>
      <c r="C103" s="1573"/>
      <c r="D103" s="1573"/>
      <c r="E103" s="1573"/>
      <c r="F103" s="1573"/>
    </row>
    <row r="104" spans="1:6" ht="12" customHeight="1">
      <c r="A104" s="1527"/>
      <c r="B104" s="1532"/>
      <c r="C104" s="1573"/>
      <c r="D104" s="1573"/>
      <c r="E104" s="1573"/>
      <c r="F104" s="1573"/>
    </row>
    <row r="105" spans="1:6" ht="12" customHeight="1">
      <c r="A105" s="1527"/>
      <c r="B105" s="1532"/>
      <c r="C105" s="1573"/>
      <c r="D105" s="1573"/>
      <c r="E105" s="1573"/>
      <c r="F105" s="1573"/>
    </row>
    <row r="106" spans="1:6" ht="12" customHeight="1">
      <c r="A106" s="1527"/>
      <c r="B106" s="1532"/>
      <c r="C106" s="1573"/>
      <c r="D106" s="1573"/>
      <c r="E106" s="1573"/>
      <c r="F106" s="1573"/>
    </row>
    <row r="107" spans="1:6" ht="12" customHeight="1">
      <c r="A107" s="1527"/>
      <c r="B107" s="1532"/>
      <c r="C107" s="1573"/>
      <c r="D107" s="1573"/>
      <c r="E107" s="1573"/>
      <c r="F107" s="1573"/>
    </row>
    <row r="108" spans="1:6" ht="12" customHeight="1">
      <c r="A108" s="1527"/>
      <c r="B108" s="1532"/>
      <c r="C108" s="1573"/>
      <c r="D108" s="1573"/>
      <c r="E108" s="1573"/>
      <c r="F108" s="1573"/>
    </row>
    <row r="109" spans="1:6" ht="12" customHeight="1">
      <c r="A109" s="1527"/>
      <c r="B109" s="1532"/>
      <c r="C109" s="1573"/>
      <c r="D109" s="1573"/>
      <c r="E109" s="1573"/>
      <c r="F109" s="1573"/>
    </row>
    <row r="110" spans="1:6" ht="12" customHeight="1">
      <c r="A110" s="1527"/>
      <c r="B110" s="1532"/>
      <c r="C110" s="1573"/>
      <c r="D110" s="1573"/>
      <c r="E110" s="1573"/>
      <c r="F110" s="1573"/>
    </row>
    <row r="111" spans="1:6" ht="12" customHeight="1">
      <c r="A111" s="1527"/>
      <c r="B111" s="1532"/>
      <c r="C111" s="1573"/>
      <c r="D111" s="1573"/>
      <c r="E111" s="1573"/>
      <c r="F111" s="1573"/>
    </row>
    <row r="112" spans="1:6" ht="12" customHeight="1">
      <c r="A112" s="1527"/>
      <c r="B112" s="1532"/>
      <c r="C112" s="1573"/>
      <c r="D112" s="1573"/>
      <c r="E112" s="1573"/>
      <c r="F112" s="1573"/>
    </row>
    <row r="113" spans="1:6" ht="12" customHeight="1">
      <c r="A113" s="1527"/>
      <c r="B113" s="1532"/>
      <c r="C113" s="1573"/>
      <c r="D113" s="1573"/>
      <c r="E113" s="1573"/>
      <c r="F113" s="1573"/>
    </row>
    <row r="114" spans="1:6" ht="12" customHeight="1">
      <c r="A114" s="1527"/>
      <c r="B114" s="1532"/>
      <c r="C114" s="1573"/>
      <c r="D114" s="1573"/>
      <c r="E114" s="1573"/>
      <c r="F114" s="1573"/>
    </row>
    <row r="115" spans="1:6" ht="12" customHeight="1">
      <c r="A115" s="1527"/>
      <c r="B115" s="1532"/>
      <c r="C115" s="1573"/>
      <c r="D115" s="1573"/>
      <c r="E115" s="1573"/>
      <c r="F115" s="1573"/>
    </row>
    <row r="116" spans="1:6" ht="12" customHeight="1">
      <c r="A116" s="1527"/>
      <c r="B116" s="1532"/>
      <c r="C116" s="1573"/>
      <c r="D116" s="1573"/>
      <c r="E116" s="1573"/>
      <c r="F116" s="1573"/>
    </row>
    <row r="117" spans="1:6" ht="12" customHeight="1">
      <c r="A117" s="1527"/>
      <c r="B117" s="1532"/>
      <c r="C117" s="1573"/>
      <c r="D117" s="1573"/>
      <c r="E117" s="1573"/>
      <c r="F117" s="1573"/>
    </row>
    <row r="118" spans="1:6" ht="12" customHeight="1">
      <c r="A118" s="1527"/>
      <c r="B118" s="1532"/>
      <c r="C118" s="1573"/>
      <c r="D118" s="1573"/>
      <c r="E118" s="1573"/>
      <c r="F118" s="1573"/>
    </row>
    <row r="119" spans="1:6" ht="12" customHeight="1">
      <c r="A119" s="1527"/>
      <c r="B119" s="1532"/>
      <c r="C119" s="1573"/>
      <c r="D119" s="1573"/>
      <c r="E119" s="1573"/>
      <c r="F119" s="1573"/>
    </row>
    <row r="120" spans="1:6" ht="5.0999999999999996" customHeight="1">
      <c r="A120" s="1527"/>
      <c r="B120" s="1532"/>
      <c r="C120" s="1573"/>
      <c r="D120" s="1573"/>
      <c r="E120" s="1573"/>
      <c r="F120" s="1573"/>
    </row>
    <row r="121" spans="1:6" ht="12" customHeight="1">
      <c r="A121" s="1527"/>
      <c r="B121" s="1532"/>
      <c r="C121" s="1573"/>
      <c r="D121" s="1573"/>
      <c r="E121" s="1573"/>
      <c r="F121" s="1573"/>
    </row>
    <row r="122" spans="1:6" ht="12" customHeight="1">
      <c r="A122" s="1527"/>
      <c r="B122" s="1532"/>
      <c r="C122" s="1573"/>
      <c r="D122" s="1573"/>
      <c r="E122" s="1573"/>
      <c r="F122" s="1573"/>
    </row>
    <row r="123" spans="1:6" ht="12" customHeight="1">
      <c r="A123" s="1527"/>
      <c r="B123" s="1532"/>
      <c r="C123" s="1573"/>
      <c r="D123" s="1573"/>
      <c r="E123" s="1573"/>
      <c r="F123" s="1573"/>
    </row>
    <row r="124" spans="1:6" ht="12" customHeight="1">
      <c r="A124" s="1527"/>
      <c r="B124" s="1532"/>
      <c r="C124" s="1573"/>
      <c r="D124" s="1573"/>
      <c r="E124" s="1573"/>
      <c r="F124" s="1573"/>
    </row>
    <row r="125" spans="1:6" ht="12" customHeight="1">
      <c r="A125" s="1527"/>
      <c r="B125" s="1532"/>
      <c r="C125" s="1573"/>
      <c r="D125" s="1573"/>
      <c r="E125" s="1573"/>
      <c r="F125" s="1573"/>
    </row>
    <row r="126" spans="1:6" ht="12" customHeight="1">
      <c r="A126" s="1527"/>
      <c r="B126" s="1532"/>
      <c r="C126" s="1573"/>
      <c r="D126" s="1573"/>
      <c r="E126" s="1573"/>
      <c r="F126" s="1573"/>
    </row>
    <row r="127" spans="1:6" ht="12" customHeight="1">
      <c r="A127" s="1527"/>
      <c r="B127" s="1532"/>
      <c r="C127" s="1573"/>
      <c r="D127" s="1573"/>
      <c r="E127" s="1573"/>
      <c r="F127" s="1573"/>
    </row>
    <row r="128" spans="1:6" ht="12" customHeight="1">
      <c r="A128" s="1527"/>
      <c r="B128" s="1532"/>
      <c r="C128" s="1573"/>
      <c r="D128" s="1573"/>
      <c r="E128" s="1573"/>
      <c r="F128" s="1573"/>
    </row>
    <row r="129" spans="1:6" ht="12" customHeight="1">
      <c r="A129" s="1527"/>
      <c r="B129" s="1532"/>
      <c r="C129" s="1573"/>
      <c r="D129" s="1573"/>
      <c r="E129" s="1573"/>
      <c r="F129" s="1573"/>
    </row>
    <row r="130" spans="1:6" ht="12" customHeight="1">
      <c r="A130" s="1527"/>
      <c r="B130" s="1532"/>
      <c r="C130" s="1573"/>
      <c r="D130" s="1573"/>
      <c r="E130" s="1573"/>
      <c r="F130" s="1573"/>
    </row>
    <row r="131" spans="1:6" ht="12" customHeight="1">
      <c r="A131" s="1527"/>
      <c r="B131" s="1532"/>
      <c r="C131" s="1573"/>
      <c r="D131" s="1573"/>
      <c r="E131" s="1573"/>
      <c r="F131" s="1573"/>
    </row>
    <row r="132" spans="1:6" ht="12" customHeight="1">
      <c r="A132" s="1527"/>
      <c r="B132" s="1532"/>
      <c r="C132" s="1573"/>
      <c r="D132" s="1573"/>
      <c r="E132" s="1573"/>
      <c r="F132" s="1573"/>
    </row>
    <row r="133" spans="1:6" ht="12" customHeight="1">
      <c r="A133" s="1527"/>
      <c r="B133" s="1532"/>
      <c r="C133" s="1573"/>
      <c r="D133" s="1573"/>
      <c r="E133" s="1573"/>
      <c r="F133" s="1573"/>
    </row>
    <row r="134" spans="1:6" ht="12" customHeight="1">
      <c r="A134" s="1527"/>
      <c r="B134" s="1532"/>
      <c r="C134" s="1573"/>
      <c r="D134" s="1573"/>
      <c r="E134" s="1573"/>
      <c r="F134" s="1573"/>
    </row>
    <row r="135" spans="1:6" ht="12" customHeight="1">
      <c r="A135" s="1527"/>
      <c r="B135" s="1532"/>
      <c r="C135" s="1573"/>
      <c r="D135" s="1573"/>
      <c r="E135" s="1573"/>
      <c r="F135" s="1573"/>
    </row>
    <row r="136" spans="1:6" ht="12" customHeight="1">
      <c r="A136" s="1527"/>
      <c r="B136" s="1532"/>
      <c r="C136" s="1573"/>
      <c r="D136" s="1573"/>
      <c r="E136" s="1573"/>
      <c r="F136" s="1573"/>
    </row>
    <row r="137" spans="1:6" ht="12" customHeight="1">
      <c r="A137" s="1527"/>
      <c r="B137" s="1532"/>
      <c r="C137" s="1573"/>
      <c r="D137" s="1573"/>
      <c r="E137" s="1573"/>
      <c r="F137" s="1573"/>
    </row>
    <row r="138" spans="1:6" ht="12" customHeight="1">
      <c r="A138" s="1527"/>
      <c r="B138" s="1532"/>
      <c r="C138" s="1573"/>
      <c r="D138" s="1573"/>
      <c r="E138" s="1573"/>
      <c r="F138" s="1573"/>
    </row>
    <row r="139" spans="1:6" ht="12" customHeight="1">
      <c r="A139" s="1527"/>
      <c r="B139" s="1532"/>
      <c r="C139" s="1573"/>
      <c r="D139" s="1573"/>
      <c r="E139" s="1573"/>
      <c r="F139" s="1573"/>
    </row>
    <row r="140" spans="1:6" ht="12" customHeight="1">
      <c r="A140" s="1527"/>
      <c r="B140" s="1532"/>
      <c r="C140" s="1573"/>
      <c r="D140" s="1573"/>
      <c r="E140" s="1573"/>
      <c r="F140" s="1573"/>
    </row>
    <row r="141" spans="1:6" ht="12" customHeight="1">
      <c r="A141" s="1527"/>
      <c r="B141" s="1532"/>
      <c r="C141" s="1573"/>
      <c r="D141" s="1573"/>
      <c r="E141" s="1573"/>
      <c r="F141" s="1573"/>
    </row>
    <row r="142" spans="1:6" ht="12" customHeight="1">
      <c r="A142" s="1527"/>
      <c r="B142" s="1532"/>
      <c r="C142" s="1573"/>
      <c r="D142" s="1573"/>
      <c r="E142" s="1573"/>
      <c r="F142" s="1573"/>
    </row>
    <row r="143" spans="1:6" ht="12" customHeight="1">
      <c r="A143" s="1527"/>
      <c r="B143" s="1532"/>
      <c r="C143" s="1573"/>
      <c r="D143" s="1573"/>
      <c r="E143" s="1573"/>
      <c r="F143" s="1573"/>
    </row>
    <row r="144" spans="1:6" ht="12" customHeight="1">
      <c r="A144" s="1527"/>
      <c r="B144" s="1532"/>
      <c r="C144" s="1573"/>
      <c r="D144" s="1573"/>
      <c r="E144" s="1573"/>
      <c r="F144" s="1573"/>
    </row>
    <row r="145" spans="1:6" ht="12" customHeight="1">
      <c r="A145" s="1527"/>
      <c r="B145" s="1532"/>
      <c r="C145" s="1573"/>
      <c r="D145" s="1573"/>
      <c r="E145" s="1573"/>
      <c r="F145" s="1573"/>
    </row>
    <row r="146" spans="1:6" ht="12" customHeight="1">
      <c r="A146" s="1527"/>
      <c r="B146" s="1532"/>
      <c r="C146" s="1573"/>
      <c r="D146" s="1573"/>
      <c r="E146" s="1573"/>
      <c r="F146" s="1573"/>
    </row>
    <row r="147" spans="1:6" ht="12" customHeight="1">
      <c r="A147" s="1527"/>
      <c r="B147" s="1532"/>
      <c r="C147" s="1573"/>
      <c r="D147" s="1573"/>
      <c r="E147" s="1573"/>
      <c r="F147" s="1573"/>
    </row>
    <row r="148" spans="1:6" ht="12" customHeight="1">
      <c r="A148" s="1527"/>
      <c r="B148" s="1532"/>
      <c r="C148" s="1573"/>
      <c r="D148" s="1573"/>
      <c r="E148" s="1573"/>
      <c r="F148" s="1573"/>
    </row>
    <row r="149" spans="1:6" ht="12" customHeight="1">
      <c r="A149" s="1527"/>
      <c r="B149" s="1532"/>
      <c r="C149" s="1573"/>
      <c r="D149" s="1573"/>
      <c r="E149" s="1573"/>
      <c r="F149" s="1573"/>
    </row>
    <row r="150" spans="1:6" ht="12" customHeight="1">
      <c r="A150" s="1527"/>
      <c r="B150" s="1532"/>
      <c r="C150" s="1573"/>
      <c r="D150" s="1573"/>
      <c r="E150" s="1573"/>
      <c r="F150" s="1573"/>
    </row>
    <row r="151" spans="1:6" ht="12" customHeight="1">
      <c r="A151" s="1527"/>
      <c r="B151" s="1532"/>
      <c r="C151" s="1573"/>
      <c r="D151" s="1573"/>
      <c r="E151" s="1573"/>
      <c r="F151" s="1573"/>
    </row>
    <row r="152" spans="1:6" ht="12" customHeight="1">
      <c r="A152" s="1527"/>
      <c r="B152" s="1532"/>
      <c r="C152" s="1573"/>
      <c r="D152" s="1573"/>
      <c r="E152" s="1573"/>
      <c r="F152" s="1573"/>
    </row>
    <row r="153" spans="1:6" ht="12" customHeight="1">
      <c r="A153" s="1527"/>
      <c r="B153" s="1532"/>
      <c r="C153" s="1573"/>
      <c r="D153" s="1573"/>
      <c r="E153" s="1573"/>
      <c r="F153" s="1573"/>
    </row>
    <row r="154" spans="1:6" ht="12" customHeight="1">
      <c r="A154" s="1527"/>
      <c r="B154" s="1532"/>
      <c r="C154" s="1573"/>
      <c r="D154" s="1573"/>
      <c r="E154" s="1573"/>
      <c r="F154" s="1573"/>
    </row>
    <row r="155" spans="1:6" ht="12" customHeight="1">
      <c r="A155" s="1527"/>
      <c r="B155" s="1532"/>
      <c r="C155" s="1573"/>
      <c r="D155" s="1573"/>
      <c r="E155" s="1573"/>
      <c r="F155" s="1573"/>
    </row>
    <row r="156" spans="1:6" ht="12" customHeight="1">
      <c r="A156" s="1527"/>
      <c r="B156" s="1532"/>
      <c r="C156" s="1573"/>
      <c r="D156" s="1573"/>
      <c r="E156" s="1573"/>
      <c r="F156" s="1573"/>
    </row>
    <row r="157" spans="1:6" ht="12" customHeight="1">
      <c r="A157" s="1527"/>
      <c r="B157" s="1532"/>
      <c r="C157" s="1573"/>
      <c r="D157" s="1573"/>
      <c r="E157" s="1573"/>
      <c r="F157" s="1573"/>
    </row>
    <row r="158" spans="1:6" ht="12" customHeight="1">
      <c r="A158" s="1527"/>
      <c r="B158" s="1532"/>
      <c r="C158" s="1573"/>
      <c r="D158" s="1573"/>
      <c r="E158" s="1573"/>
      <c r="F158" s="1573"/>
    </row>
    <row r="159" spans="1:6" ht="12" customHeight="1">
      <c r="A159" s="1527"/>
      <c r="B159" s="1532"/>
      <c r="C159" s="1573"/>
      <c r="D159" s="1573"/>
      <c r="E159" s="1573"/>
      <c r="F159" s="1573"/>
    </row>
    <row r="160" spans="1:6" ht="12" customHeight="1">
      <c r="A160" s="1527"/>
      <c r="B160" s="1532"/>
      <c r="C160" s="1573"/>
      <c r="D160" s="1573"/>
      <c r="E160" s="1573"/>
      <c r="F160" s="1573"/>
    </row>
    <row r="161" spans="1:6" ht="12" customHeight="1">
      <c r="A161" s="1527"/>
      <c r="B161" s="1532"/>
      <c r="C161" s="1573"/>
      <c r="D161" s="1573"/>
      <c r="E161" s="1573"/>
      <c r="F161" s="1573"/>
    </row>
    <row r="162" spans="1:6" ht="12" customHeight="1">
      <c r="A162" s="1527"/>
      <c r="B162" s="1532"/>
      <c r="C162" s="1573"/>
      <c r="D162" s="1573"/>
      <c r="E162" s="1573"/>
      <c r="F162" s="1573"/>
    </row>
    <row r="163" spans="1:6" ht="12" customHeight="1">
      <c r="A163" s="1527"/>
      <c r="B163" s="1532"/>
      <c r="C163" s="1573"/>
      <c r="D163" s="1573"/>
      <c r="E163" s="1573"/>
      <c r="F163" s="1573"/>
    </row>
    <row r="164" spans="1:6" ht="12" customHeight="1">
      <c r="A164" s="1527"/>
      <c r="B164" s="1532"/>
      <c r="C164" s="1573"/>
      <c r="D164" s="1573"/>
      <c r="E164" s="1573"/>
      <c r="F164" s="1573"/>
    </row>
    <row r="165" spans="1:6" ht="12" customHeight="1">
      <c r="A165" s="1527"/>
      <c r="B165" s="1532"/>
      <c r="C165" s="1573"/>
      <c r="D165" s="1573"/>
      <c r="E165" s="1573"/>
      <c r="F165" s="1573"/>
    </row>
    <row r="166" spans="1:6" ht="12" customHeight="1">
      <c r="A166" s="1527"/>
      <c r="B166" s="1532"/>
      <c r="C166" s="1573"/>
      <c r="D166" s="1573"/>
      <c r="E166" s="1573"/>
      <c r="F166" s="1573"/>
    </row>
    <row r="167" spans="1:6" ht="12" customHeight="1">
      <c r="A167" s="1527"/>
      <c r="B167" s="1532"/>
      <c r="C167" s="1573"/>
      <c r="D167" s="1573"/>
      <c r="E167" s="1573"/>
      <c r="F167" s="1573"/>
    </row>
    <row r="168" spans="1:6" ht="12" customHeight="1">
      <c r="A168" s="1527"/>
      <c r="B168" s="1532"/>
      <c r="C168" s="1573"/>
      <c r="D168" s="1573"/>
      <c r="E168" s="1573"/>
      <c r="F168" s="1573"/>
    </row>
    <row r="169" spans="1:6" ht="12" customHeight="1">
      <c r="A169" s="1527"/>
      <c r="B169" s="1532"/>
      <c r="C169" s="1573"/>
      <c r="D169" s="1573"/>
      <c r="E169" s="1573"/>
      <c r="F169" s="1573"/>
    </row>
    <row r="170" spans="1:6" ht="12" customHeight="1">
      <c r="A170" s="1527"/>
      <c r="B170" s="1532"/>
      <c r="C170" s="1573"/>
      <c r="D170" s="1573"/>
      <c r="E170" s="1573"/>
      <c r="F170" s="1573"/>
    </row>
    <row r="171" spans="1:6" ht="12" customHeight="1">
      <c r="A171" s="1527"/>
      <c r="B171" s="1532"/>
      <c r="C171" s="1573"/>
      <c r="D171" s="1573"/>
      <c r="E171" s="1573"/>
      <c r="F171" s="1573"/>
    </row>
    <row r="172" spans="1:6" ht="12" customHeight="1">
      <c r="A172" s="1527"/>
      <c r="B172" s="1532"/>
      <c r="C172" s="1573"/>
      <c r="D172" s="1573"/>
      <c r="E172" s="1573"/>
      <c r="F172" s="1573"/>
    </row>
    <row r="173" spans="1:6" ht="12" customHeight="1">
      <c r="A173" s="1527"/>
      <c r="B173" s="1532"/>
      <c r="C173" s="1573"/>
      <c r="D173" s="1573"/>
      <c r="E173" s="1573"/>
      <c r="F173" s="1573"/>
    </row>
    <row r="174" spans="1:6" ht="12" customHeight="1">
      <c r="A174" s="1527"/>
      <c r="B174" s="1532"/>
      <c r="C174" s="1573"/>
      <c r="D174" s="1573"/>
      <c r="E174" s="1573"/>
      <c r="F174" s="1573"/>
    </row>
    <row r="175" spans="1:6" ht="12" customHeight="1">
      <c r="A175" s="1527"/>
      <c r="B175" s="1532"/>
      <c r="C175" s="1573"/>
      <c r="D175" s="1573"/>
      <c r="E175" s="1573"/>
      <c r="F175" s="1573"/>
    </row>
    <row r="176" spans="1:6" ht="12" customHeight="1">
      <c r="A176" s="1527"/>
      <c r="B176" s="1532"/>
      <c r="C176" s="1573"/>
      <c r="D176" s="1573"/>
      <c r="E176" s="1573"/>
      <c r="F176" s="1573"/>
    </row>
    <row r="177" spans="1:6" ht="12" customHeight="1">
      <c r="A177" s="1527"/>
      <c r="B177" s="1532"/>
      <c r="C177" s="1573"/>
      <c r="D177" s="1573"/>
      <c r="E177" s="1573"/>
      <c r="F177" s="1573"/>
    </row>
    <row r="178" spans="1:6" ht="12" customHeight="1">
      <c r="A178" s="1527"/>
      <c r="B178" s="1532"/>
      <c r="C178" s="1573"/>
      <c r="D178" s="1573"/>
      <c r="E178" s="1573"/>
      <c r="F178" s="1573"/>
    </row>
    <row r="179" spans="1:6" ht="12" customHeight="1">
      <c r="A179" s="1527"/>
      <c r="B179" s="1532"/>
      <c r="C179" s="1573"/>
      <c r="D179" s="1573"/>
      <c r="E179" s="1573"/>
      <c r="F179" s="1573"/>
    </row>
    <row r="180" spans="1:6" ht="12" customHeight="1">
      <c r="A180" s="1527"/>
      <c r="B180" s="1532"/>
      <c r="C180" s="1573"/>
      <c r="D180" s="1573"/>
      <c r="E180" s="1573"/>
      <c r="F180" s="1573"/>
    </row>
    <row r="181" spans="1:6" ht="12" customHeight="1">
      <c r="A181" s="1527"/>
      <c r="B181" s="1532"/>
      <c r="C181" s="1573"/>
      <c r="D181" s="1573"/>
      <c r="E181" s="1573"/>
      <c r="F181" s="1573"/>
    </row>
    <row r="182" spans="1:6" ht="12" customHeight="1">
      <c r="A182" s="1527"/>
      <c r="B182" s="1532"/>
      <c r="C182" s="1573"/>
      <c r="D182" s="1573"/>
      <c r="E182" s="1573"/>
      <c r="F182" s="1573"/>
    </row>
    <row r="183" spans="1:6" ht="12" customHeight="1">
      <c r="A183" s="1527"/>
      <c r="B183" s="1532"/>
      <c r="C183" s="1573"/>
      <c r="D183" s="1573"/>
      <c r="E183" s="1573"/>
      <c r="F183" s="1573"/>
    </row>
    <row r="184" spans="1:6" ht="12" customHeight="1">
      <c r="A184" s="1527"/>
      <c r="B184" s="1532"/>
      <c r="C184" s="1573"/>
      <c r="D184" s="1573"/>
      <c r="E184" s="1573"/>
      <c r="F184" s="1573"/>
    </row>
    <row r="185" spans="1:6" ht="12" customHeight="1">
      <c r="A185" s="1527"/>
      <c r="B185" s="1532"/>
      <c r="C185" s="1573"/>
      <c r="D185" s="1573"/>
      <c r="E185" s="1573"/>
      <c r="F185" s="1573"/>
    </row>
    <row r="186" spans="1:6" ht="12" customHeight="1">
      <c r="A186" s="1527"/>
      <c r="B186" s="1532"/>
      <c r="C186" s="1573"/>
      <c r="D186" s="1573"/>
      <c r="E186" s="1573"/>
      <c r="F186" s="1573"/>
    </row>
    <row r="187" spans="1:6" ht="12" customHeight="1">
      <c r="A187" s="1527"/>
      <c r="B187" s="1532"/>
      <c r="C187" s="1573"/>
      <c r="D187" s="1573"/>
      <c r="E187" s="1573"/>
      <c r="F187" s="1573"/>
    </row>
    <row r="188" spans="1:6" ht="12" customHeight="1">
      <c r="A188" s="1527"/>
      <c r="B188" s="1532"/>
      <c r="C188" s="1573"/>
      <c r="D188" s="1573"/>
      <c r="E188" s="1573"/>
      <c r="F188" s="1573"/>
    </row>
    <row r="189" spans="1:6" ht="12" customHeight="1">
      <c r="A189" s="1527"/>
      <c r="B189" s="1532"/>
      <c r="C189" s="1573"/>
      <c r="D189" s="1573"/>
      <c r="E189" s="1573"/>
      <c r="F189" s="1573"/>
    </row>
    <row r="190" spans="1:6" ht="12" customHeight="1">
      <c r="A190" s="1527"/>
      <c r="B190" s="1532"/>
      <c r="C190" s="1573"/>
      <c r="D190" s="1573"/>
      <c r="E190" s="1573"/>
      <c r="F190" s="1573"/>
    </row>
    <row r="191" spans="1:6" ht="12" customHeight="1">
      <c r="A191" s="1527"/>
      <c r="B191" s="1532"/>
      <c r="C191" s="1573"/>
      <c r="D191" s="1573"/>
      <c r="E191" s="1573"/>
      <c r="F191" s="1573"/>
    </row>
    <row r="192" spans="1:6" ht="12" customHeight="1">
      <c r="A192" s="1527"/>
      <c r="B192" s="1532"/>
      <c r="C192" s="1573"/>
      <c r="D192" s="1573"/>
      <c r="E192" s="1573"/>
      <c r="F192" s="1573"/>
    </row>
    <row r="193" spans="1:6" ht="12" customHeight="1">
      <c r="A193" s="1527"/>
      <c r="B193" s="1532"/>
      <c r="C193" s="1573"/>
      <c r="D193" s="1573"/>
      <c r="E193" s="1573"/>
      <c r="F193" s="1573"/>
    </row>
    <row r="194" spans="1:6" ht="12" customHeight="1">
      <c r="A194" s="1527"/>
      <c r="B194" s="1532"/>
      <c r="C194" s="1573"/>
      <c r="D194" s="1573"/>
      <c r="E194" s="1573"/>
      <c r="F194" s="1573"/>
    </row>
    <row r="195" spans="1:6" ht="12" customHeight="1">
      <c r="A195" s="1527"/>
      <c r="B195" s="1532"/>
      <c r="C195" s="1573"/>
      <c r="D195" s="1573"/>
      <c r="E195" s="1573"/>
      <c r="F195" s="1573"/>
    </row>
    <row r="196" spans="1:6" ht="12" customHeight="1">
      <c r="A196" s="1527"/>
      <c r="B196" s="1532"/>
      <c r="C196" s="1573"/>
      <c r="D196" s="1573"/>
      <c r="E196" s="1573"/>
      <c r="F196" s="1573"/>
    </row>
    <row r="197" spans="1:6" ht="12" customHeight="1">
      <c r="A197" s="1527"/>
      <c r="B197" s="1532"/>
      <c r="C197" s="1573"/>
      <c r="D197" s="1573"/>
      <c r="E197" s="1573"/>
      <c r="F197" s="1573"/>
    </row>
    <row r="198" spans="1:6" ht="12" customHeight="1">
      <c r="A198" s="1527"/>
      <c r="B198" s="1532"/>
      <c r="C198" s="1573"/>
      <c r="D198" s="1573"/>
      <c r="E198" s="1573"/>
      <c r="F198" s="1573"/>
    </row>
    <row r="199" spans="1:6" ht="12" customHeight="1">
      <c r="A199" s="1527"/>
      <c r="B199" s="1532"/>
      <c r="C199" s="1573"/>
      <c r="D199" s="1573"/>
      <c r="E199" s="1573"/>
      <c r="F199" s="1573"/>
    </row>
    <row r="200" spans="1:6" ht="12" customHeight="1">
      <c r="A200" s="1527"/>
      <c r="B200" s="1532"/>
      <c r="C200" s="1573"/>
      <c r="D200" s="1573"/>
      <c r="E200" s="1573"/>
      <c r="F200" s="1573"/>
    </row>
    <row r="201" spans="1:6" ht="12" customHeight="1">
      <c r="A201" s="1527"/>
      <c r="B201" s="1532"/>
      <c r="C201" s="1573"/>
      <c r="D201" s="1573"/>
      <c r="E201" s="1573"/>
      <c r="F201" s="1573"/>
    </row>
    <row r="202" spans="1:6" ht="12" customHeight="1">
      <c r="A202" s="1527"/>
      <c r="B202" s="1532"/>
      <c r="C202" s="1573"/>
      <c r="D202" s="1573"/>
      <c r="E202" s="1573"/>
      <c r="F202" s="1573"/>
    </row>
    <row r="203" spans="1:6" ht="12" customHeight="1">
      <c r="A203" s="1527"/>
      <c r="B203" s="1532"/>
      <c r="C203" s="1573"/>
      <c r="D203" s="1573"/>
      <c r="E203" s="1573"/>
      <c r="F203" s="1573"/>
    </row>
    <row r="204" spans="1:6" ht="12" customHeight="1">
      <c r="A204" s="1527"/>
      <c r="B204" s="1532"/>
      <c r="C204" s="1573"/>
      <c r="D204" s="1573"/>
      <c r="E204" s="1573"/>
      <c r="F204" s="1573"/>
    </row>
    <row r="205" spans="1:6" ht="12" customHeight="1">
      <c r="A205" s="1527"/>
      <c r="B205" s="1532"/>
      <c r="C205" s="1573"/>
      <c r="D205" s="1573"/>
      <c r="E205" s="1573"/>
      <c r="F205" s="1573"/>
    </row>
    <row r="206" spans="1:6" ht="12" customHeight="1">
      <c r="A206" s="1527"/>
      <c r="B206" s="1532"/>
      <c r="C206" s="1573"/>
      <c r="D206" s="1573"/>
      <c r="E206" s="1573"/>
      <c r="F206" s="1573"/>
    </row>
    <row r="207" spans="1:6" ht="12" customHeight="1">
      <c r="A207" s="1527"/>
      <c r="B207" s="1532"/>
      <c r="C207" s="1573"/>
      <c r="D207" s="1573"/>
      <c r="E207" s="1573"/>
      <c r="F207" s="1573"/>
    </row>
    <row r="208" spans="1:6" ht="12" customHeight="1">
      <c r="A208" s="1527"/>
      <c r="B208" s="1532"/>
      <c r="C208" s="1573"/>
      <c r="D208" s="1573"/>
      <c r="E208" s="1573"/>
      <c r="F208" s="1573"/>
    </row>
    <row r="209" spans="1:6" ht="12" customHeight="1">
      <c r="A209" s="1527"/>
      <c r="B209" s="1532"/>
      <c r="C209" s="1573"/>
      <c r="D209" s="1573"/>
      <c r="E209" s="1573"/>
      <c r="F209" s="1573"/>
    </row>
    <row r="210" spans="1:6" ht="12" customHeight="1">
      <c r="A210" s="1527"/>
      <c r="B210" s="1532"/>
      <c r="C210" s="1573"/>
      <c r="D210" s="1573"/>
      <c r="E210" s="1573"/>
      <c r="F210" s="1573"/>
    </row>
    <row r="211" spans="1:6" ht="12" customHeight="1">
      <c r="A211" s="1527"/>
      <c r="B211" s="1532"/>
      <c r="C211" s="1573"/>
      <c r="D211" s="1573"/>
      <c r="E211" s="1573"/>
      <c r="F211" s="1573"/>
    </row>
    <row r="212" spans="1:6" ht="12" customHeight="1">
      <c r="A212" s="1527"/>
      <c r="B212" s="1532"/>
      <c r="C212" s="1573"/>
      <c r="D212" s="1573"/>
      <c r="E212" s="1573"/>
      <c r="F212" s="1573"/>
    </row>
    <row r="213" spans="1:6" ht="12" customHeight="1">
      <c r="A213" s="1527"/>
      <c r="B213" s="1532"/>
      <c r="C213" s="1573"/>
      <c r="D213" s="1573"/>
      <c r="E213" s="1573"/>
      <c r="F213" s="1573"/>
    </row>
    <row r="214" spans="1:6" ht="12" customHeight="1">
      <c r="A214" s="1527"/>
      <c r="B214" s="1532"/>
      <c r="C214" s="1573"/>
      <c r="D214" s="1573"/>
      <c r="E214" s="1573"/>
      <c r="F214" s="1573"/>
    </row>
    <row r="215" spans="1:6" ht="12" customHeight="1">
      <c r="A215" s="1527"/>
      <c r="B215" s="1532"/>
      <c r="C215" s="1573"/>
      <c r="D215" s="1573"/>
      <c r="E215" s="1573"/>
      <c r="F215" s="1573"/>
    </row>
    <row r="216" spans="1:6" ht="12" customHeight="1">
      <c r="A216" s="1527"/>
      <c r="B216" s="1532"/>
      <c r="C216" s="1573"/>
      <c r="D216" s="1573"/>
      <c r="E216" s="1573"/>
      <c r="F216" s="1573"/>
    </row>
    <row r="217" spans="1:6" ht="12" customHeight="1">
      <c r="A217" s="1527"/>
      <c r="B217" s="1532"/>
      <c r="C217" s="1573"/>
      <c r="D217" s="1573"/>
      <c r="E217" s="1573"/>
      <c r="F217" s="1573"/>
    </row>
    <row r="218" spans="1:6" ht="12" customHeight="1">
      <c r="A218" s="1527"/>
      <c r="B218" s="1532"/>
      <c r="C218" s="1573"/>
      <c r="D218" s="1573"/>
      <c r="E218" s="1573"/>
      <c r="F218" s="1573"/>
    </row>
    <row r="219" spans="1:6" ht="12" customHeight="1">
      <c r="A219" s="1527"/>
      <c r="B219" s="1532"/>
      <c r="C219" s="1573"/>
      <c r="D219" s="1573"/>
      <c r="E219" s="1573"/>
      <c r="F219" s="1573"/>
    </row>
    <row r="220" spans="1:6" ht="12" customHeight="1">
      <c r="A220" s="1527"/>
      <c r="B220" s="1532"/>
      <c r="C220" s="1573"/>
      <c r="D220" s="1573"/>
      <c r="E220" s="1573"/>
      <c r="F220" s="1573"/>
    </row>
    <row r="221" spans="1:6" ht="12" customHeight="1">
      <c r="A221" s="1527"/>
      <c r="B221" s="1532"/>
      <c r="C221" s="1573"/>
      <c r="D221" s="1573"/>
      <c r="E221" s="1573"/>
      <c r="F221" s="1573"/>
    </row>
    <row r="222" spans="1:6" ht="12" customHeight="1">
      <c r="A222" s="1527"/>
      <c r="B222" s="1532"/>
      <c r="C222" s="1573"/>
      <c r="D222" s="1573"/>
      <c r="E222" s="1573"/>
      <c r="F222" s="1573"/>
    </row>
    <row r="223" spans="1:6" ht="12" customHeight="1">
      <c r="A223" s="1527"/>
      <c r="B223" s="1532"/>
      <c r="C223" s="1573"/>
      <c r="D223" s="1573"/>
      <c r="E223" s="1573"/>
      <c r="F223" s="1573"/>
    </row>
    <row r="224" spans="1:6" ht="12" customHeight="1">
      <c r="A224" s="1527"/>
      <c r="B224" s="1532"/>
      <c r="C224" s="1573"/>
      <c r="D224" s="1573"/>
      <c r="E224" s="1573"/>
      <c r="F224" s="1573"/>
    </row>
    <row r="225" spans="1:6" ht="12" customHeight="1">
      <c r="A225" s="1527"/>
      <c r="B225" s="1532"/>
      <c r="C225" s="1573"/>
      <c r="D225" s="1573"/>
      <c r="E225" s="1573"/>
      <c r="F225" s="1573"/>
    </row>
    <row r="226" spans="1:6" ht="12" customHeight="1">
      <c r="A226" s="1527"/>
      <c r="B226" s="1532"/>
      <c r="C226" s="1573"/>
      <c r="D226" s="1573"/>
      <c r="E226" s="1573"/>
      <c r="F226" s="1573"/>
    </row>
    <row r="227" spans="1:6" ht="12" customHeight="1">
      <c r="A227" s="1527"/>
      <c r="B227" s="1532"/>
      <c r="C227" s="1573"/>
      <c r="D227" s="1573"/>
      <c r="E227" s="1573"/>
      <c r="F227" s="1573"/>
    </row>
    <row r="228" spans="1:6" ht="12" customHeight="1">
      <c r="A228" s="1527"/>
      <c r="B228" s="1532"/>
      <c r="C228" s="1573"/>
      <c r="D228" s="1573"/>
      <c r="E228" s="1573"/>
      <c r="F228" s="1573"/>
    </row>
    <row r="229" spans="1:6" ht="12" customHeight="1">
      <c r="A229" s="1527"/>
      <c r="B229" s="1532"/>
      <c r="C229" s="1573"/>
      <c r="D229" s="1573"/>
      <c r="E229" s="1573"/>
      <c r="F229" s="1573"/>
    </row>
    <row r="230" spans="1:6" ht="12" customHeight="1">
      <c r="A230" s="1527"/>
      <c r="B230" s="1532"/>
      <c r="C230" s="1573"/>
      <c r="D230" s="1573"/>
      <c r="E230" s="1573"/>
      <c r="F230" s="1573"/>
    </row>
    <row r="231" spans="1:6" ht="12" customHeight="1">
      <c r="A231" s="1527"/>
      <c r="B231" s="1532"/>
      <c r="C231" s="1573"/>
      <c r="D231" s="1573"/>
      <c r="E231" s="1573"/>
      <c r="F231" s="1573"/>
    </row>
    <row r="232" spans="1:6" ht="12" customHeight="1">
      <c r="A232" s="1527"/>
      <c r="B232" s="1532"/>
      <c r="C232" s="1573"/>
      <c r="D232" s="1573"/>
      <c r="E232" s="1573"/>
      <c r="F232" s="1573"/>
    </row>
    <row r="233" spans="1:6" ht="12" customHeight="1">
      <c r="A233" s="1527"/>
      <c r="B233" s="1532"/>
      <c r="C233" s="1573"/>
      <c r="D233" s="1573"/>
      <c r="E233" s="1573"/>
      <c r="F233" s="1573"/>
    </row>
    <row r="234" spans="1:6" ht="12" customHeight="1">
      <c r="A234" s="1527"/>
      <c r="B234" s="1532"/>
      <c r="C234" s="1573"/>
      <c r="D234" s="1573"/>
      <c r="E234" s="1573"/>
      <c r="F234" s="1573"/>
    </row>
    <row r="235" spans="1:6" ht="12" customHeight="1">
      <c r="A235" s="1527"/>
      <c r="B235" s="1532"/>
      <c r="C235" s="1573"/>
      <c r="D235" s="1573"/>
      <c r="E235" s="1573"/>
      <c r="F235" s="1573"/>
    </row>
    <row r="236" spans="1:6" ht="12" customHeight="1">
      <c r="A236" s="1527"/>
      <c r="B236" s="1532"/>
      <c r="C236" s="1573"/>
      <c r="D236" s="1573"/>
      <c r="E236" s="1573"/>
      <c r="F236" s="1573"/>
    </row>
    <row r="237" spans="1:6" ht="12" customHeight="1">
      <c r="A237" s="1527"/>
      <c r="B237" s="1532"/>
      <c r="C237" s="1573"/>
      <c r="D237" s="1573"/>
      <c r="E237" s="1573"/>
      <c r="F237" s="1573"/>
    </row>
    <row r="238" spans="1:6" ht="12" customHeight="1">
      <c r="A238" s="1527"/>
      <c r="B238" s="1532"/>
      <c r="C238" s="1573"/>
      <c r="D238" s="1573"/>
      <c r="E238" s="1573"/>
      <c r="F238" s="1573"/>
    </row>
    <row r="239" spans="1:6" ht="12" customHeight="1">
      <c r="A239" s="1527"/>
      <c r="B239" s="1532"/>
      <c r="C239" s="1573"/>
      <c r="D239" s="1573"/>
      <c r="E239" s="1573"/>
      <c r="F239" s="1573"/>
    </row>
    <row r="240" spans="1:6" ht="12" customHeight="1">
      <c r="A240" s="1527"/>
      <c r="B240" s="1532"/>
      <c r="C240" s="1573"/>
      <c r="D240" s="1573"/>
      <c r="E240" s="1573"/>
      <c r="F240" s="1573"/>
    </row>
    <row r="241" spans="1:6" ht="12" customHeight="1">
      <c r="A241" s="1527"/>
      <c r="B241" s="1532"/>
      <c r="C241" s="1573"/>
      <c r="D241" s="1573"/>
      <c r="E241" s="1573"/>
      <c r="F241" s="1573"/>
    </row>
    <row r="242" spans="1:6" ht="12" customHeight="1">
      <c r="A242" s="1527"/>
      <c r="B242" s="1532"/>
      <c r="C242" s="1573"/>
      <c r="D242" s="1573"/>
      <c r="E242" s="1573"/>
      <c r="F242" s="1573"/>
    </row>
    <row r="243" spans="1:6" ht="12" customHeight="1">
      <c r="A243" s="1527"/>
      <c r="B243" s="1532"/>
      <c r="C243" s="1573"/>
      <c r="D243" s="1573"/>
      <c r="E243" s="1573"/>
      <c r="F243" s="1573"/>
    </row>
    <row r="244" spans="1:6" ht="12" customHeight="1">
      <c r="A244" s="1527"/>
      <c r="B244" s="1532"/>
      <c r="C244" s="1573"/>
      <c r="D244" s="1573"/>
      <c r="E244" s="1573"/>
      <c r="F244" s="1573"/>
    </row>
    <row r="245" spans="1:6" ht="12" customHeight="1">
      <c r="A245" s="1527"/>
      <c r="B245" s="1532"/>
      <c r="C245" s="1573"/>
      <c r="D245" s="1573"/>
      <c r="E245" s="1573"/>
      <c r="F245" s="1573"/>
    </row>
    <row r="246" spans="1:6" ht="12" customHeight="1">
      <c r="A246" s="1527"/>
      <c r="B246" s="1532"/>
      <c r="C246" s="1573"/>
      <c r="D246" s="1573"/>
      <c r="E246" s="1573"/>
      <c r="F246" s="1573"/>
    </row>
    <row r="247" spans="1:6" ht="12" customHeight="1">
      <c r="A247" s="1527"/>
      <c r="B247" s="1532"/>
      <c r="C247" s="1573"/>
      <c r="D247" s="1573"/>
      <c r="E247" s="1573"/>
      <c r="F247" s="1573"/>
    </row>
    <row r="248" spans="1:6" ht="12" customHeight="1">
      <c r="A248" s="1527"/>
      <c r="B248" s="1532"/>
      <c r="C248" s="1573"/>
      <c r="D248" s="1573"/>
      <c r="E248" s="1573"/>
      <c r="F248" s="1573"/>
    </row>
    <row r="249" spans="1:6" ht="12" customHeight="1">
      <c r="A249" s="1527"/>
      <c r="B249" s="1532"/>
      <c r="C249" s="1573"/>
      <c r="D249" s="1573"/>
      <c r="E249" s="1573"/>
      <c r="F249" s="1573"/>
    </row>
    <row r="250" spans="1:6" ht="12" customHeight="1">
      <c r="A250" s="1527"/>
      <c r="B250" s="1532"/>
      <c r="C250" s="1573"/>
      <c r="D250" s="1573"/>
      <c r="E250" s="1573"/>
      <c r="F250" s="1573"/>
    </row>
    <row r="251" spans="1:6" ht="12" customHeight="1">
      <c r="A251" s="1527"/>
      <c r="B251" s="1532"/>
      <c r="C251" s="1573"/>
      <c r="D251" s="1573"/>
      <c r="E251" s="1573"/>
      <c r="F251" s="1573"/>
    </row>
    <row r="252" spans="1:6" ht="12" customHeight="1">
      <c r="A252" s="1527"/>
      <c r="B252" s="1532"/>
      <c r="C252" s="1573"/>
      <c r="D252" s="1573"/>
      <c r="E252" s="1573"/>
      <c r="F252" s="1573"/>
    </row>
    <row r="253" spans="1:6" ht="12" customHeight="1">
      <c r="A253" s="1527"/>
      <c r="B253" s="1532"/>
      <c r="C253" s="1573"/>
      <c r="D253" s="1573"/>
      <c r="E253" s="1573"/>
      <c r="F253" s="1573"/>
    </row>
    <row r="254" spans="1:6" ht="12" customHeight="1">
      <c r="A254" s="1527"/>
      <c r="B254" s="1532"/>
      <c r="C254" s="1573"/>
      <c r="D254" s="1573"/>
      <c r="E254" s="1573"/>
      <c r="F254" s="1573"/>
    </row>
    <row r="255" spans="1:6" ht="12" customHeight="1">
      <c r="A255" s="1527"/>
      <c r="B255" s="1532"/>
      <c r="C255" s="1573"/>
      <c r="D255" s="1573"/>
      <c r="E255" s="1573"/>
      <c r="F255" s="1573"/>
    </row>
    <row r="256" spans="1:6" ht="12" customHeight="1">
      <c r="A256" s="1527"/>
      <c r="B256" s="1532"/>
      <c r="C256" s="1573"/>
      <c r="D256" s="1573"/>
      <c r="E256" s="1573"/>
      <c r="F256" s="1573"/>
    </row>
    <row r="257" spans="1:6" ht="12" customHeight="1">
      <c r="A257" s="1527"/>
      <c r="B257" s="1532"/>
      <c r="C257" s="1573"/>
      <c r="D257" s="1573"/>
      <c r="E257" s="1573"/>
      <c r="F257" s="1573"/>
    </row>
    <row r="258" spans="1:6" ht="12" customHeight="1">
      <c r="A258" s="1527"/>
      <c r="B258" s="1532"/>
      <c r="C258" s="1573"/>
      <c r="D258" s="1573"/>
      <c r="E258" s="1573"/>
      <c r="F258" s="1573"/>
    </row>
    <row r="259" spans="1:6" ht="12" customHeight="1">
      <c r="A259" s="1527"/>
      <c r="B259" s="1532"/>
      <c r="C259" s="1573"/>
      <c r="D259" s="1573"/>
      <c r="E259" s="1573"/>
      <c r="F259" s="1573"/>
    </row>
    <row r="260" spans="1:6" ht="12" customHeight="1">
      <c r="A260" s="1527"/>
      <c r="B260" s="1532"/>
      <c r="C260" s="1573"/>
      <c r="D260" s="1573"/>
      <c r="E260" s="1573"/>
      <c r="F260" s="1573"/>
    </row>
    <row r="261" spans="1:6" ht="12" customHeight="1">
      <c r="A261" s="1527"/>
      <c r="B261" s="1532"/>
      <c r="C261" s="1573"/>
      <c r="D261" s="1573"/>
      <c r="E261" s="1573"/>
      <c r="F261" s="1573"/>
    </row>
    <row r="262" spans="1:6" ht="12" customHeight="1">
      <c r="A262" s="1527"/>
      <c r="B262" s="1532"/>
      <c r="C262" s="1573"/>
      <c r="D262" s="1573"/>
      <c r="E262" s="1573"/>
      <c r="F262" s="1573"/>
    </row>
    <row r="263" spans="1:6" ht="12" customHeight="1">
      <c r="A263" s="1527"/>
      <c r="B263" s="1532"/>
      <c r="C263" s="1573"/>
      <c r="D263" s="1573"/>
      <c r="E263" s="1573"/>
      <c r="F263" s="1573"/>
    </row>
    <row r="264" spans="1:6" ht="12" customHeight="1">
      <c r="A264" s="1527"/>
      <c r="B264" s="1532"/>
      <c r="C264" s="1573"/>
      <c r="D264" s="1573"/>
      <c r="E264" s="1573"/>
      <c r="F264" s="1573"/>
    </row>
    <row r="265" spans="1:6" ht="12" customHeight="1">
      <c r="A265" s="1527"/>
      <c r="B265" s="1532"/>
      <c r="C265" s="1573"/>
      <c r="D265" s="1573"/>
      <c r="E265" s="1573"/>
      <c r="F265" s="1573"/>
    </row>
    <row r="266" spans="1:6" ht="12" customHeight="1">
      <c r="A266" s="1527"/>
      <c r="B266" s="1532"/>
      <c r="C266" s="1573"/>
      <c r="D266" s="1573"/>
      <c r="E266" s="1573"/>
      <c r="F266" s="1573"/>
    </row>
    <row r="267" spans="1:6" ht="12" customHeight="1">
      <c r="A267" s="1527"/>
      <c r="B267" s="1532"/>
      <c r="C267" s="1573"/>
      <c r="D267" s="1573"/>
      <c r="E267" s="1573"/>
      <c r="F267" s="1573"/>
    </row>
    <row r="268" spans="1:6" ht="12" customHeight="1">
      <c r="A268" s="1527"/>
      <c r="B268" s="1532"/>
      <c r="C268" s="1573"/>
      <c r="D268" s="1573"/>
      <c r="E268" s="1573"/>
      <c r="F268" s="1573"/>
    </row>
    <row r="269" spans="1:6" ht="12" customHeight="1">
      <c r="A269" s="1527"/>
      <c r="B269" s="1532"/>
      <c r="C269" s="1573"/>
      <c r="D269" s="1573"/>
      <c r="E269" s="1573"/>
      <c r="F269" s="1573"/>
    </row>
    <row r="270" spans="1:6" ht="12" customHeight="1">
      <c r="A270" s="1527"/>
      <c r="B270" s="1532"/>
      <c r="C270" s="1573"/>
      <c r="D270" s="1573"/>
      <c r="E270" s="1573"/>
      <c r="F270" s="1573"/>
    </row>
    <row r="271" spans="1:6" ht="12" customHeight="1">
      <c r="A271" s="1527"/>
      <c r="B271" s="1532"/>
      <c r="C271" s="1573"/>
      <c r="D271" s="1573"/>
      <c r="E271" s="1573"/>
      <c r="F271" s="1573"/>
    </row>
    <row r="272" spans="1:6" ht="12" customHeight="1">
      <c r="A272" s="1527"/>
      <c r="B272" s="1532"/>
      <c r="C272" s="1573"/>
      <c r="D272" s="1573"/>
      <c r="E272" s="1573"/>
      <c r="F272" s="1573"/>
    </row>
    <row r="273" spans="1:6" ht="12" customHeight="1">
      <c r="A273" s="1527"/>
      <c r="B273" s="1532"/>
      <c r="C273" s="1573"/>
      <c r="D273" s="1573"/>
      <c r="E273" s="1573"/>
      <c r="F273" s="1573"/>
    </row>
    <row r="274" spans="1:6" ht="12" customHeight="1">
      <c r="A274" s="1527"/>
      <c r="B274" s="1532"/>
      <c r="C274" s="1573"/>
      <c r="D274" s="1573"/>
      <c r="E274" s="1573"/>
      <c r="F274" s="1573"/>
    </row>
    <row r="275" spans="1:6" ht="12" customHeight="1">
      <c r="A275" s="1527"/>
      <c r="B275" s="1532"/>
      <c r="C275" s="1573"/>
      <c r="D275" s="1573"/>
      <c r="E275" s="1573"/>
      <c r="F275" s="1573"/>
    </row>
    <row r="276" spans="1:6" ht="12" customHeight="1">
      <c r="A276" s="1527"/>
      <c r="B276" s="1532"/>
      <c r="C276" s="1573"/>
      <c r="D276" s="1573"/>
      <c r="E276" s="1573"/>
      <c r="F276" s="1573"/>
    </row>
    <row r="277" spans="1:6" ht="12" customHeight="1">
      <c r="A277" s="1527"/>
      <c r="B277" s="1532"/>
      <c r="C277" s="1573"/>
      <c r="D277" s="1573"/>
      <c r="E277" s="1573"/>
      <c r="F277" s="1573"/>
    </row>
    <row r="278" spans="1:6" ht="12" customHeight="1">
      <c r="A278" s="1527"/>
      <c r="B278" s="1532"/>
      <c r="C278" s="1573"/>
      <c r="D278" s="1573"/>
      <c r="E278" s="1573"/>
      <c r="F278" s="1573"/>
    </row>
    <row r="279" spans="1:6" ht="12" customHeight="1">
      <c r="A279" s="1527"/>
      <c r="B279" s="1532"/>
      <c r="C279" s="1573"/>
      <c r="D279" s="1573"/>
      <c r="E279" s="1573"/>
      <c r="F279" s="1573"/>
    </row>
    <row r="280" spans="1:6" ht="12" customHeight="1">
      <c r="A280" s="1527"/>
      <c r="B280" s="1532"/>
      <c r="C280" s="1573"/>
      <c r="D280" s="1573"/>
      <c r="E280" s="1573"/>
      <c r="F280" s="1573"/>
    </row>
    <row r="281" spans="1:6" ht="12" customHeight="1">
      <c r="A281" s="1527"/>
      <c r="B281" s="1532"/>
      <c r="C281" s="1573"/>
      <c r="D281" s="1573"/>
      <c r="E281" s="1573"/>
      <c r="F281" s="1573"/>
    </row>
    <row r="282" spans="1:6" ht="12" customHeight="1">
      <c r="A282" s="1527"/>
      <c r="B282" s="1532"/>
      <c r="C282" s="1573"/>
      <c r="D282" s="1573"/>
      <c r="E282" s="1573"/>
      <c r="F282" s="1573"/>
    </row>
    <row r="283" spans="1:6" ht="12" customHeight="1">
      <c r="A283" s="1527"/>
      <c r="B283" s="1532"/>
      <c r="C283" s="1573"/>
      <c r="D283" s="1573"/>
      <c r="E283" s="1573"/>
      <c r="F283" s="1573"/>
    </row>
    <row r="284" spans="1:6" ht="12" customHeight="1">
      <c r="A284" s="1527"/>
      <c r="B284" s="1532"/>
      <c r="C284" s="1573"/>
      <c r="D284" s="1573"/>
      <c r="E284" s="1573"/>
      <c r="F284" s="1573"/>
    </row>
    <row r="285" spans="1:6" ht="12" customHeight="1">
      <c r="A285" s="1527"/>
      <c r="B285" s="1532"/>
      <c r="C285" s="1573"/>
      <c r="D285" s="1573"/>
      <c r="E285" s="1573"/>
      <c r="F285" s="1573"/>
    </row>
    <row r="286" spans="1:6" ht="12" customHeight="1">
      <c r="A286" s="1527"/>
      <c r="B286" s="1532"/>
      <c r="C286" s="1573"/>
      <c r="D286" s="1573"/>
      <c r="E286" s="1573"/>
      <c r="F286" s="1573"/>
    </row>
    <row r="287" spans="1:6" ht="12" customHeight="1">
      <c r="A287" s="1527"/>
      <c r="B287" s="1532"/>
      <c r="C287" s="1573"/>
      <c r="D287" s="1573"/>
      <c r="E287" s="1573"/>
      <c r="F287" s="1573"/>
    </row>
    <row r="288" spans="1:6" ht="12" customHeight="1">
      <c r="A288" s="1527"/>
      <c r="B288" s="1532"/>
      <c r="C288" s="1573"/>
      <c r="D288" s="1573"/>
      <c r="E288" s="1573"/>
      <c r="F288" s="1573"/>
    </row>
    <row r="289" spans="1:6" ht="12" customHeight="1">
      <c r="A289" s="1527"/>
      <c r="B289" s="1532"/>
      <c r="C289" s="1573"/>
      <c r="D289" s="1573"/>
      <c r="E289" s="1573"/>
      <c r="F289" s="1573"/>
    </row>
    <row r="290" spans="1:6" ht="12" customHeight="1">
      <c r="A290" s="1527"/>
      <c r="B290" s="1532"/>
      <c r="C290" s="1573"/>
      <c r="D290" s="1573"/>
      <c r="E290" s="1573"/>
      <c r="F290" s="1573"/>
    </row>
    <row r="291" spans="1:6" ht="12" customHeight="1">
      <c r="A291" s="1527"/>
      <c r="B291" s="1532"/>
      <c r="C291" s="1573"/>
      <c r="D291" s="1573"/>
      <c r="E291" s="1573"/>
      <c r="F291" s="1573"/>
    </row>
    <row r="292" spans="1:6" ht="12" customHeight="1">
      <c r="A292" s="1527"/>
      <c r="B292" s="1532"/>
      <c r="C292" s="1573"/>
      <c r="D292" s="1573"/>
      <c r="E292" s="1573"/>
      <c r="F292" s="1573"/>
    </row>
    <row r="293" spans="1:6" ht="12" customHeight="1">
      <c r="A293" s="1527"/>
      <c r="B293" s="1532"/>
      <c r="C293" s="1573"/>
      <c r="D293" s="1573"/>
      <c r="E293" s="1573"/>
      <c r="F293" s="1573"/>
    </row>
    <row r="294" spans="1:6" ht="12" customHeight="1">
      <c r="A294" s="1527"/>
      <c r="B294" s="1532"/>
      <c r="C294" s="1573"/>
      <c r="D294" s="1573"/>
      <c r="E294" s="1573"/>
      <c r="F294" s="1573"/>
    </row>
    <row r="295" spans="1:6" ht="12" customHeight="1">
      <c r="A295" s="1527"/>
      <c r="B295" s="1532"/>
      <c r="C295" s="1573"/>
      <c r="D295" s="1573"/>
      <c r="E295" s="1573"/>
      <c r="F295" s="1573"/>
    </row>
    <row r="296" spans="1:6" ht="12" customHeight="1">
      <c r="A296" s="1527"/>
      <c r="B296" s="1532"/>
      <c r="C296" s="1573"/>
      <c r="D296" s="1573"/>
      <c r="E296" s="1573"/>
      <c r="F296" s="1573"/>
    </row>
    <row r="297" spans="1:6" ht="12" customHeight="1">
      <c r="A297" s="1527"/>
      <c r="B297" s="1532"/>
      <c r="C297" s="1573"/>
      <c r="D297" s="1573"/>
      <c r="E297" s="1573"/>
      <c r="F297" s="1573"/>
    </row>
    <row r="298" spans="1:6" ht="12" customHeight="1">
      <c r="A298" s="1527"/>
      <c r="B298" s="1532"/>
      <c r="C298" s="1573"/>
      <c r="D298" s="1573"/>
      <c r="E298" s="1573"/>
      <c r="F298" s="1573"/>
    </row>
    <row r="299" spans="1:6" ht="12" customHeight="1">
      <c r="A299" s="1527"/>
      <c r="B299" s="1532"/>
      <c r="C299" s="1573"/>
      <c r="D299" s="1573"/>
      <c r="E299" s="1573"/>
      <c r="F299" s="1573"/>
    </row>
    <row r="300" spans="1:6" ht="12" customHeight="1">
      <c r="A300" s="1527"/>
      <c r="B300" s="1532"/>
      <c r="C300" s="1573"/>
      <c r="D300" s="1573"/>
      <c r="E300" s="1573"/>
      <c r="F300" s="1573"/>
    </row>
    <row r="301" spans="1:6" ht="12" customHeight="1">
      <c r="A301" s="1527"/>
      <c r="B301" s="1532"/>
      <c r="C301" s="1573"/>
      <c r="D301" s="1573"/>
      <c r="E301" s="1573"/>
      <c r="F301" s="1573"/>
    </row>
    <row r="302" spans="1:6" ht="12" customHeight="1">
      <c r="A302" s="1527"/>
      <c r="B302" s="1532"/>
      <c r="C302" s="1573"/>
      <c r="D302" s="1573"/>
      <c r="E302" s="1573"/>
      <c r="F302" s="1573"/>
    </row>
    <row r="303" spans="1:6" ht="12" customHeight="1">
      <c r="A303" s="1527"/>
      <c r="B303" s="1532"/>
      <c r="C303" s="1573"/>
      <c r="D303" s="1573"/>
      <c r="E303" s="1573"/>
      <c r="F303" s="1573"/>
    </row>
    <row r="304" spans="1:6" ht="12" customHeight="1">
      <c r="A304" s="1527"/>
      <c r="B304" s="1532"/>
      <c r="C304" s="1573"/>
      <c r="D304" s="1573"/>
      <c r="E304" s="1573"/>
      <c r="F304" s="1573"/>
    </row>
    <row r="305" spans="1:6" ht="12" customHeight="1">
      <c r="A305" s="1527"/>
      <c r="B305" s="1532"/>
      <c r="C305" s="1573"/>
      <c r="D305" s="1573"/>
      <c r="E305" s="1573"/>
      <c r="F305" s="1573"/>
    </row>
    <row r="306" spans="1:6" ht="12" customHeight="1">
      <c r="A306" s="1527"/>
      <c r="B306" s="1532"/>
      <c r="C306" s="1573"/>
      <c r="D306" s="1573"/>
      <c r="E306" s="1573"/>
      <c r="F306" s="1573"/>
    </row>
    <row r="307" spans="1:6" ht="12" customHeight="1">
      <c r="A307" s="1527"/>
      <c r="B307" s="1532"/>
      <c r="C307" s="1573"/>
      <c r="D307" s="1573"/>
      <c r="E307" s="1573"/>
      <c r="F307" s="1573"/>
    </row>
  </sheetData>
  <sheetProtection algorithmName="SHA-512" hashValue="9kyfoDp2rOxOOUUhJp7MkdYsWi1uBx+1S6rbgv6uCrFgssz1+u0ipNCKobLLJ7j2+9Ogd+cZ9B4IA5okSineEA==" saltValue="4QcdaefFoo7abh6qK3b5ng==" spinCount="100000" sheet="1" objects="1" scenarios="1"/>
  <phoneticPr fontId="10" type="noConversion"/>
  <dataValidations count="4">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zero." sqref="C10:D10 C14 C15:D15 F35 C21:D21 C23:D23 C27:D27 C33:E33 C18:C19 D18">
      <formula1>0</formula1>
    </dataValidation>
    <dataValidation operator="greaterThanOrEqual" errorTitle="Invalid Data Entry " error="Please enter a positive number or press the delete key or enter zero." sqref="E19:F19"/>
    <dataValidation type="whole" operator="greaterThanOrEqual" allowBlank="1" showInputMessage="1" showErrorMessage="1" errorTitle="Invalid Data Entry" error="Please enter a positive number or press the delete key or enter zero." sqref="C25">
      <formula1>0</formula1>
    </dataValidation>
  </dataValidations>
  <hyperlinks>
    <hyperlink ref="H1" location="Contents!F1" display="Return to Contents page"/>
  </hyperlinks>
  <printOptions horizontalCentered="1"/>
  <pageMargins left="0.25" right="0.25" top="0.19" bottom="0.19" header="0.5" footer="0.5"/>
  <pageSetup scale="96" orientation="portrait" blackAndWhite="1" r:id="rId1"/>
  <headerFooter alignWithMargins="0">
    <oddFooter>&amp;L&amp;D     &amp;T &amp;CCode No. 44</oddFooter>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theme="4" tint="0.39997558519241921"/>
  </sheetPr>
  <dimension ref="A1:M61"/>
  <sheetViews>
    <sheetView workbookViewId="0">
      <selection activeCell="C9" sqref="C9"/>
    </sheetView>
  </sheetViews>
  <sheetFormatPr defaultColWidth="11.42578125" defaultRowHeight="12.75"/>
  <cols>
    <col min="1" max="1" width="40.42578125" style="1580" customWidth="1"/>
    <col min="2" max="2" width="4.85546875" style="1580" customWidth="1"/>
    <col min="3" max="3" width="17.5703125" style="1580" customWidth="1"/>
    <col min="4" max="4" width="17.42578125" style="1580" customWidth="1"/>
    <col min="5" max="5" width="17.28515625" style="1580" customWidth="1"/>
    <col min="6" max="6" width="3.42578125" style="1580" customWidth="1"/>
    <col min="7" max="7" width="5" style="1580" customWidth="1"/>
    <col min="8" max="8" width="21" style="1580" customWidth="1"/>
    <col min="9" max="16384" width="11.42578125" style="1580"/>
  </cols>
  <sheetData>
    <row r="1" spans="1:13">
      <c r="A1" s="1575"/>
      <c r="B1" s="1576" t="s">
        <v>1019</v>
      </c>
      <c r="C1" s="3019">
        <f>OPEN!B4</f>
        <v>270</v>
      </c>
      <c r="D1" s="1578"/>
      <c r="E1" s="1577" t="s">
        <v>1020</v>
      </c>
      <c r="F1" s="1577"/>
      <c r="G1" s="1579"/>
      <c r="H1" s="3013" t="s">
        <v>866</v>
      </c>
    </row>
    <row r="2" spans="1:13">
      <c r="A2" s="1575"/>
      <c r="B2" s="1576"/>
      <c r="C2" s="1575"/>
      <c r="D2" s="1575"/>
      <c r="E2" s="1577" t="s">
        <v>1212</v>
      </c>
      <c r="F2" s="1577"/>
      <c r="G2" s="1579"/>
    </row>
    <row r="3" spans="1:13">
      <c r="A3" s="1575"/>
      <c r="B3" s="1576"/>
      <c r="C3" s="1575"/>
      <c r="D3" s="1575"/>
      <c r="E3" s="1577" t="str">
        <f>OPEN!N2</f>
        <v>2016-2017</v>
      </c>
      <c r="F3" s="1577"/>
      <c r="G3" s="1579"/>
    </row>
    <row r="4" spans="1:13">
      <c r="A4" s="1575"/>
      <c r="B4" s="1576"/>
      <c r="C4" s="1575"/>
      <c r="D4" s="1575"/>
      <c r="E4" s="1575"/>
      <c r="F4" s="1575"/>
      <c r="G4" s="1579"/>
    </row>
    <row r="5" spans="1:13">
      <c r="A5" s="1575"/>
      <c r="B5" s="1576"/>
      <c r="C5" s="1581" t="s">
        <v>1213</v>
      </c>
      <c r="D5" s="1581" t="s">
        <v>1213</v>
      </c>
      <c r="E5" s="1581" t="s">
        <v>1213</v>
      </c>
      <c r="F5" s="3624"/>
      <c r="G5" s="1579"/>
    </row>
    <row r="6" spans="1:13">
      <c r="A6" s="1582"/>
      <c r="B6" s="1583" t="s">
        <v>1045</v>
      </c>
      <c r="C6" s="1584" t="str">
        <f>OPEN!N4</f>
        <v>2014-2015</v>
      </c>
      <c r="D6" s="1584" t="str">
        <f>OPEN!O4</f>
        <v>2015-2016</v>
      </c>
      <c r="E6" s="1584" t="str">
        <f>OPEN!P4</f>
        <v>2016-2017</v>
      </c>
      <c r="F6" s="3624"/>
      <c r="G6" s="1579"/>
      <c r="K6" s="1575"/>
      <c r="L6" s="1575"/>
      <c r="M6" s="1575"/>
    </row>
    <row r="7" spans="1:13">
      <c r="A7" s="1582" t="s">
        <v>774</v>
      </c>
      <c r="B7" s="1585">
        <v>45</v>
      </c>
      <c r="C7" s="1586" t="s">
        <v>1139</v>
      </c>
      <c r="D7" s="1586" t="s">
        <v>1139</v>
      </c>
      <c r="E7" s="1586" t="s">
        <v>1215</v>
      </c>
      <c r="F7" s="3624"/>
      <c r="G7" s="1579"/>
    </row>
    <row r="8" spans="1:13">
      <c r="A8" s="1587" t="s">
        <v>775</v>
      </c>
      <c r="B8" s="1588" t="s">
        <v>1051</v>
      </c>
      <c r="C8" s="1589">
        <v>1</v>
      </c>
      <c r="D8" s="1589">
        <v>2</v>
      </c>
      <c r="E8" s="1589">
        <v>3</v>
      </c>
      <c r="F8" s="3625"/>
      <c r="G8" s="1579"/>
    </row>
    <row r="9" spans="1:13">
      <c r="A9" s="1590" t="s">
        <v>1402</v>
      </c>
      <c r="B9" s="1588">
        <v>1</v>
      </c>
      <c r="C9" s="1591"/>
      <c r="D9" s="1592">
        <f>C30</f>
        <v>0</v>
      </c>
      <c r="E9" s="1592">
        <f>D30</f>
        <v>0</v>
      </c>
      <c r="F9" s="3622"/>
      <c r="G9" s="1579"/>
    </row>
    <row r="10" spans="1:13">
      <c r="A10" s="1594" t="s">
        <v>1219</v>
      </c>
      <c r="B10" s="1585">
        <v>3</v>
      </c>
      <c r="C10" s="1595"/>
      <c r="D10" s="1595"/>
      <c r="E10" s="1596"/>
      <c r="F10" s="3622"/>
      <c r="G10" s="1579"/>
    </row>
    <row r="11" spans="1:13">
      <c r="A11" s="1597" t="s">
        <v>19</v>
      </c>
      <c r="B11" s="1583"/>
      <c r="C11" s="1598"/>
      <c r="D11" s="1598"/>
      <c r="E11" s="1596"/>
      <c r="F11" s="3622"/>
      <c r="G11" s="1579"/>
    </row>
    <row r="12" spans="1:13">
      <c r="A12" s="1594" t="s">
        <v>20</v>
      </c>
      <c r="B12" s="1585"/>
      <c r="C12" s="1596"/>
      <c r="D12" s="1596"/>
      <c r="E12" s="1596"/>
      <c r="F12" s="3622"/>
      <c r="G12" s="1579"/>
    </row>
    <row r="13" spans="1:13">
      <c r="A13" s="1594" t="s">
        <v>21</v>
      </c>
      <c r="B13" s="1585"/>
      <c r="C13" s="1596"/>
      <c r="D13" s="1596"/>
      <c r="E13" s="1596"/>
      <c r="F13" s="3622"/>
      <c r="G13" s="1579"/>
    </row>
    <row r="14" spans="1:13">
      <c r="A14" s="1590" t="str">
        <f>OPEN!N8</f>
        <v xml:space="preserve">    2013  $</v>
      </c>
      <c r="B14" s="1588">
        <v>5</v>
      </c>
      <c r="C14" s="1591"/>
      <c r="D14" s="1596"/>
      <c r="E14" s="1596"/>
      <c r="F14" s="3622"/>
      <c r="G14" s="1579"/>
      <c r="H14" s="1599"/>
    </row>
    <row r="15" spans="1:13">
      <c r="A15" s="1600" t="str">
        <f>OPEN!N9</f>
        <v xml:space="preserve">    2014  $</v>
      </c>
      <c r="B15" s="1601">
        <v>10</v>
      </c>
      <c r="C15" s="1602"/>
      <c r="D15" s="1591"/>
      <c r="E15" s="1596"/>
      <c r="F15" s="3622"/>
      <c r="G15" s="1579"/>
    </row>
    <row r="16" spans="1:13">
      <c r="A16" s="1590" t="str">
        <f>OPEN!N10</f>
        <v xml:space="preserve">    2015  $</v>
      </c>
      <c r="B16" s="1588">
        <v>15</v>
      </c>
      <c r="C16" s="1598"/>
      <c r="D16" s="1592">
        <f>'C04'!$E$23</f>
        <v>0</v>
      </c>
      <c r="E16" s="3635">
        <f>'F110'!$I$172</f>
        <v>0</v>
      </c>
      <c r="F16" s="3622"/>
      <c r="G16" s="1579"/>
      <c r="I16" s="3259" t="s">
        <v>990</v>
      </c>
    </row>
    <row r="17" spans="1:12">
      <c r="A17" s="1600" t="str">
        <f>OPEN!N11</f>
        <v xml:space="preserve">    2016  $</v>
      </c>
      <c r="B17" s="1601">
        <v>20</v>
      </c>
      <c r="C17" s="1596"/>
      <c r="D17" s="1598"/>
      <c r="E17" s="3630">
        <v>0</v>
      </c>
      <c r="F17" s="3622"/>
      <c r="G17" s="1579"/>
      <c r="I17" s="3259" t="s">
        <v>1548</v>
      </c>
    </row>
    <row r="18" spans="1:12">
      <c r="A18" s="1600" t="s">
        <v>1872</v>
      </c>
      <c r="B18" s="1601">
        <v>25</v>
      </c>
      <c r="C18" s="1591"/>
      <c r="D18" s="1591"/>
      <c r="E18" s="1593">
        <f>0.667*'F110'!$I$176</f>
        <v>0</v>
      </c>
      <c r="F18" s="3622"/>
      <c r="G18" s="1579"/>
      <c r="I18" s="3259" t="s">
        <v>1976</v>
      </c>
    </row>
    <row r="19" spans="1:12">
      <c r="A19" s="1597" t="s">
        <v>28</v>
      </c>
      <c r="B19" s="1583"/>
      <c r="C19" s="1603"/>
      <c r="D19" s="1596"/>
      <c r="E19" s="1596"/>
      <c r="F19" s="3622"/>
      <c r="G19" s="1579"/>
      <c r="H19" s="3277"/>
      <c r="I19" s="3277"/>
      <c r="J19" s="3277"/>
      <c r="K19" s="3277"/>
    </row>
    <row r="20" spans="1:12">
      <c r="A20" s="1590" t="s">
        <v>285</v>
      </c>
      <c r="B20" s="1588">
        <v>45</v>
      </c>
      <c r="C20" s="1591"/>
      <c r="D20" s="1591"/>
      <c r="E20" s="1592">
        <f>IF(ISERROR('F194'!$H$31+'F194'!$H$89+'F194'!$P$89+'F194'!$P$31),0,('F194'!$H$31+'F194'!$H$89+'F194'!$P$31+'F194'!$P$89))</f>
        <v>0</v>
      </c>
      <c r="F20" s="3622"/>
      <c r="G20" s="3631"/>
      <c r="H20" s="3279"/>
      <c r="I20" s="3280"/>
      <c r="J20" s="3280"/>
      <c r="K20" s="3281"/>
    </row>
    <row r="21" spans="1:12">
      <c r="A21" s="1590" t="s">
        <v>31</v>
      </c>
      <c r="B21" s="1588">
        <v>55</v>
      </c>
      <c r="C21" s="1595"/>
      <c r="D21" s="1595"/>
      <c r="E21" s="1592">
        <f>IF(ISERROR('F194'!$L$89+'F194'!$L$31),0,('F194'!$L$89+'F194'!$L$31))</f>
        <v>0</v>
      </c>
      <c r="F21" s="3622"/>
      <c r="G21" s="3631"/>
      <c r="H21" s="3282">
        <f>OPEN!A84</f>
        <v>0</v>
      </c>
      <c r="I21" s="3277" t="s">
        <v>1446</v>
      </c>
      <c r="J21" s="3277"/>
      <c r="K21" s="3283"/>
    </row>
    <row r="22" spans="1:12">
      <c r="A22" s="5056" t="s">
        <v>1870</v>
      </c>
      <c r="B22" s="5057">
        <v>57</v>
      </c>
      <c r="C22" s="4182"/>
      <c r="D22" s="4182"/>
      <c r="E22" s="3039">
        <f>IF(ISERROR('F194'!$R$89+'F194'!$R$31),0,('F194'!$R$89+'F194'!$R$31))</f>
        <v>0</v>
      </c>
      <c r="F22" s="3622"/>
      <c r="G22" s="3631"/>
      <c r="H22" s="3282">
        <f>E16+E18+E20+E21+E22</f>
        <v>0</v>
      </c>
      <c r="I22" s="3277" t="s">
        <v>2482</v>
      </c>
      <c r="J22" s="3277"/>
      <c r="K22" s="3283"/>
    </row>
    <row r="23" spans="1:12">
      <c r="A23" s="1590" t="s">
        <v>1938</v>
      </c>
      <c r="B23" s="3034">
        <v>60</v>
      </c>
      <c r="C23" s="4112"/>
      <c r="D23" s="1591"/>
      <c r="E23" s="3039">
        <f>IF(ISERROR('F194'!$N$89+'F194'!$N$31),0,('F194'!$N$89+'F194'!$N$31))</f>
        <v>0</v>
      </c>
      <c r="F23" s="3622"/>
      <c r="G23" s="3631"/>
      <c r="H23" s="3284">
        <f>'F110'!$I$44/100</f>
        <v>0.92</v>
      </c>
      <c r="I23" s="3277" t="s">
        <v>1447</v>
      </c>
      <c r="J23" s="3277"/>
      <c r="K23" s="3283"/>
    </row>
    <row r="24" spans="1:12">
      <c r="A24" s="3115" t="s">
        <v>52</v>
      </c>
      <c r="B24" s="2764">
        <v>70</v>
      </c>
      <c r="C24" s="1592">
        <f>SUM(C9:C23)</f>
        <v>0</v>
      </c>
      <c r="D24" s="3039">
        <f>SUM(D9:D23)</f>
        <v>0</v>
      </c>
      <c r="E24" s="3039">
        <f>SUM(E9:E23)</f>
        <v>0</v>
      </c>
      <c r="F24" s="3622"/>
      <c r="G24" s="3631"/>
      <c r="H24" s="3846">
        <f>'F110'!$I$178/100</f>
        <v>0</v>
      </c>
      <c r="I24" s="3277" t="s">
        <v>1448</v>
      </c>
      <c r="J24" s="3277"/>
      <c r="K24" s="3283"/>
      <c r="L24" s="3277"/>
    </row>
    <row r="25" spans="1:12">
      <c r="A25" s="1607" t="s">
        <v>111</v>
      </c>
      <c r="B25" s="1584"/>
      <c r="C25" s="1596"/>
      <c r="D25" s="1596"/>
      <c r="E25" s="1598"/>
      <c r="F25" s="3622"/>
      <c r="G25" s="3631"/>
      <c r="H25" s="3282">
        <f>(H24-H23)*H21</f>
        <v>0</v>
      </c>
      <c r="I25" s="3277" t="s">
        <v>1449</v>
      </c>
      <c r="J25" s="3277"/>
      <c r="K25" s="3283"/>
    </row>
    <row r="26" spans="1:12" ht="13.5" thickBot="1">
      <c r="A26" s="1608" t="s">
        <v>940</v>
      </c>
      <c r="B26" s="1586"/>
      <c r="C26" s="1596"/>
      <c r="D26" s="1596"/>
      <c r="E26" s="1596"/>
      <c r="F26" s="3622"/>
      <c r="G26" s="3631"/>
      <c r="H26" s="4015"/>
      <c r="I26" s="3276" t="s">
        <v>1450</v>
      </c>
      <c r="J26" s="3276"/>
      <c r="K26" s="3283"/>
    </row>
    <row r="27" spans="1:12" ht="13.5" thickTop="1">
      <c r="A27" s="1608" t="s">
        <v>309</v>
      </c>
      <c r="B27" s="1586"/>
      <c r="C27" s="1596"/>
      <c r="D27" s="1596"/>
      <c r="E27" s="1596"/>
      <c r="F27" s="3622"/>
      <c r="G27" s="3631"/>
      <c r="H27" s="3285"/>
      <c r="I27" s="3277"/>
      <c r="J27" s="3277"/>
      <c r="K27" s="3283"/>
    </row>
    <row r="28" spans="1:12">
      <c r="A28" s="1609" t="s">
        <v>776</v>
      </c>
      <c r="B28" s="1610">
        <v>75</v>
      </c>
      <c r="C28" s="1591"/>
      <c r="D28" s="1591"/>
      <c r="E28" s="4228">
        <f>'F151'!$G$20</f>
        <v>0</v>
      </c>
      <c r="F28" s="3622"/>
      <c r="G28" s="3631"/>
      <c r="H28" s="3847">
        <f>(H21*H23)+H22+H25+H26</f>
        <v>0</v>
      </c>
      <c r="I28" s="3259" t="s">
        <v>1848</v>
      </c>
      <c r="J28" s="3277"/>
      <c r="K28" s="3283"/>
    </row>
    <row r="29" spans="1:12">
      <c r="A29" s="1604" t="s">
        <v>761</v>
      </c>
      <c r="B29" s="1605">
        <v>175</v>
      </c>
      <c r="C29" s="1593">
        <f>SUM(C25:C28)</f>
        <v>0</v>
      </c>
      <c r="D29" s="1593">
        <f>SUM(D25:D28)</f>
        <v>0</v>
      </c>
      <c r="E29" s="1593">
        <f>SUM(E25:E28)</f>
        <v>0</v>
      </c>
      <c r="F29" s="3622"/>
      <c r="G29" s="3631"/>
      <c r="H29" s="3654"/>
      <c r="I29" s="3277"/>
      <c r="J29" s="3277"/>
      <c r="K29" s="3283"/>
    </row>
    <row r="30" spans="1:12">
      <c r="A30" s="1609" t="s">
        <v>1250</v>
      </c>
      <c r="B30" s="1610">
        <v>190</v>
      </c>
      <c r="C30" s="1611">
        <f>SUM(C24-C29)</f>
        <v>0</v>
      </c>
      <c r="D30" s="1611">
        <f>SUM(D24-D29)</f>
        <v>0</v>
      </c>
      <c r="E30" s="4173" t="s">
        <v>54</v>
      </c>
      <c r="F30" s="3622"/>
      <c r="G30" s="3631"/>
      <c r="H30" s="3285"/>
      <c r="I30" s="3277"/>
      <c r="J30" s="3277"/>
      <c r="K30" s="3283"/>
    </row>
    <row r="31" spans="1:12">
      <c r="A31" s="1614"/>
      <c r="B31" s="1610">
        <v>195</v>
      </c>
      <c r="C31" t="s">
        <v>1549</v>
      </c>
      <c r="D31"/>
      <c r="E31" s="3642">
        <f>E29-E24</f>
        <v>0</v>
      </c>
      <c r="F31" s="3622"/>
      <c r="G31" s="3631"/>
      <c r="H31" s="3285"/>
      <c r="I31" s="3277"/>
      <c r="J31" s="3277"/>
      <c r="K31" s="3283"/>
    </row>
    <row r="32" spans="1:12">
      <c r="A32" s="1575"/>
      <c r="B32" s="1605">
        <v>200</v>
      </c>
      <c r="C32" s="1612" t="s">
        <v>763</v>
      </c>
      <c r="D32" s="1613"/>
      <c r="E32" s="3627">
        <f>E31*'C01'!F119/100</f>
        <v>0</v>
      </c>
      <c r="F32" s="3622"/>
      <c r="G32" s="3631"/>
      <c r="H32" s="3286"/>
      <c r="I32" s="3278"/>
      <c r="J32" s="3278"/>
      <c r="K32" s="3287"/>
    </row>
    <row r="33" spans="1:11">
      <c r="A33" s="1575"/>
      <c r="B33" s="1605">
        <v>205</v>
      </c>
      <c r="C33" s="1612" t="str">
        <f>OPEN!N6</f>
        <v>Amount of 2016 Tax to be Levied</v>
      </c>
      <c r="D33" s="1613"/>
      <c r="E33" s="3628">
        <f>E32+E31</f>
        <v>0</v>
      </c>
      <c r="F33" s="3632" t="s">
        <v>1249</v>
      </c>
      <c r="G33" s="1579"/>
      <c r="J33" s="3280"/>
      <c r="K33" s="3280"/>
    </row>
    <row r="34" spans="1:11">
      <c r="A34" s="1614"/>
      <c r="B34" s="2780"/>
      <c r="C34" s="1575"/>
      <c r="D34" s="1575"/>
      <c r="E34" s="1575"/>
      <c r="F34" s="3623"/>
      <c r="G34" s="1579"/>
      <c r="K34" s="3277"/>
    </row>
    <row r="35" spans="1:11">
      <c r="A35" s="1614" t="s">
        <v>2483</v>
      </c>
      <c r="B35" s="1615"/>
      <c r="C35" s="1575"/>
      <c r="D35" s="1575"/>
      <c r="E35" s="1575"/>
      <c r="F35" s="3622"/>
      <c r="G35" s="1579"/>
      <c r="H35" s="3159" t="s">
        <v>386</v>
      </c>
      <c r="I35" s="3160">
        <f>IF(ISERROR(E33/OPEN!A14*1000),"See errors below",E33/OPEN!A14*1000)</f>
        <v>0</v>
      </c>
    </row>
    <row r="36" spans="1:11">
      <c r="A36" s="1575" t="s">
        <v>1704</v>
      </c>
      <c r="B36" s="1581"/>
      <c r="C36" s="1575"/>
      <c r="D36" s="1575"/>
      <c r="E36" s="1575"/>
      <c r="F36" s="3622"/>
      <c r="G36" s="1579"/>
      <c r="H36" s="3161" t="str">
        <f>OPEN!N40</f>
        <v/>
      </c>
      <c r="I36" s="1575"/>
    </row>
    <row r="37" spans="1:11">
      <c r="A37" s="1575" t="s">
        <v>778</v>
      </c>
      <c r="B37" s="1581"/>
      <c r="C37" s="1575"/>
      <c r="D37" s="1575"/>
      <c r="E37" s="1575"/>
      <c r="F37" s="3622"/>
      <c r="G37" s="3418"/>
    </row>
    <row r="38" spans="1:11">
      <c r="A38" s="1575"/>
      <c r="B38" s="3416"/>
      <c r="C38" s="1575"/>
      <c r="D38" s="1575"/>
      <c r="E38" s="1575"/>
      <c r="F38" s="3622"/>
      <c r="G38" s="1579"/>
    </row>
    <row r="39" spans="1:11">
      <c r="A39" s="1575"/>
      <c r="B39" s="1581"/>
      <c r="C39" s="1575"/>
      <c r="D39" s="1575"/>
      <c r="E39" s="1575"/>
      <c r="F39" s="3632"/>
      <c r="G39" s="1579"/>
    </row>
    <row r="40" spans="1:11">
      <c r="A40" s="1575"/>
      <c r="B40" s="1581"/>
      <c r="C40" s="1575"/>
      <c r="D40" s="1575"/>
      <c r="E40" s="1575"/>
      <c r="F40" s="1575"/>
      <c r="G40" s="1579"/>
    </row>
    <row r="41" spans="1:11">
      <c r="A41" s="1575"/>
      <c r="B41" s="3417" t="s">
        <v>1364</v>
      </c>
      <c r="C41" s="1575"/>
      <c r="D41" s="1575"/>
      <c r="E41" s="1575"/>
      <c r="F41" s="1575"/>
      <c r="G41" s="1579"/>
    </row>
    <row r="42" spans="1:11">
      <c r="A42" s="1575"/>
      <c r="B42" s="1581"/>
      <c r="C42" s="1575"/>
      <c r="D42" s="1575"/>
      <c r="E42" s="1575"/>
      <c r="F42" s="1575"/>
      <c r="G42" s="1579"/>
    </row>
    <row r="43" spans="1:11">
      <c r="A43" s="1575"/>
      <c r="B43" s="1581"/>
      <c r="C43" s="1575"/>
      <c r="D43" s="1575"/>
      <c r="E43" s="1575"/>
      <c r="F43" s="1575"/>
      <c r="G43" s="1579"/>
    </row>
    <row r="44" spans="1:11">
      <c r="A44" s="1575"/>
      <c r="B44" s="1581"/>
      <c r="C44" s="1575"/>
      <c r="D44" s="1575"/>
      <c r="E44" s="1575"/>
      <c r="F44" s="1575"/>
      <c r="G44" s="1579"/>
    </row>
    <row r="45" spans="1:11">
      <c r="A45" s="1616"/>
      <c r="B45" s="1616"/>
      <c r="C45" s="1616"/>
      <c r="D45" s="1616"/>
      <c r="E45" s="1616"/>
      <c r="F45" s="1575"/>
      <c r="G45" s="1579"/>
    </row>
    <row r="46" spans="1:11">
      <c r="A46" s="1575"/>
      <c r="B46" s="1581"/>
      <c r="C46" s="1575"/>
      <c r="D46" s="1575"/>
      <c r="E46" s="1575"/>
      <c r="F46" s="1575"/>
      <c r="G46" s="1579"/>
    </row>
    <row r="47" spans="1:11">
      <c r="A47" s="1575"/>
      <c r="B47" s="1581"/>
      <c r="C47" s="1575"/>
      <c r="D47" s="1575"/>
      <c r="E47" s="1575"/>
      <c r="F47" s="1575"/>
      <c r="G47" s="1579"/>
    </row>
    <row r="48" spans="1:11">
      <c r="A48" s="1575"/>
      <c r="B48" s="1581"/>
      <c r="C48" s="1575"/>
      <c r="D48" s="1575"/>
      <c r="E48" s="1575"/>
      <c r="F48" s="1575"/>
      <c r="G48" s="1579"/>
    </row>
    <row r="49" spans="1:7">
      <c r="A49" s="1575"/>
      <c r="B49" s="1581"/>
      <c r="C49" s="1575"/>
      <c r="D49" s="1575"/>
      <c r="E49" s="1575"/>
      <c r="F49" s="1575"/>
      <c r="G49" s="1579"/>
    </row>
    <row r="50" spans="1:7">
      <c r="B50" s="1616"/>
      <c r="C50" s="1617"/>
      <c r="D50" s="1617"/>
      <c r="E50" s="1617"/>
      <c r="F50" s="1575"/>
      <c r="G50" s="1579"/>
    </row>
    <row r="51" spans="1:7">
      <c r="A51" s="1575"/>
      <c r="B51" s="1581"/>
      <c r="C51" s="1579"/>
      <c r="D51" s="1579"/>
      <c r="E51" s="1579"/>
      <c r="F51" s="1616"/>
      <c r="G51" s="1579"/>
    </row>
    <row r="52" spans="1:7">
      <c r="A52" s="1575"/>
      <c r="B52" s="1581"/>
      <c r="C52" s="1579"/>
      <c r="D52" s="1579"/>
      <c r="E52" s="1579"/>
      <c r="F52" s="1575"/>
      <c r="G52" s="1617"/>
    </row>
    <row r="53" spans="1:7">
      <c r="A53" s="1575"/>
      <c r="B53" s="1581"/>
      <c r="C53" s="1579"/>
      <c r="D53" s="1579"/>
      <c r="E53" s="1579"/>
      <c r="F53" s="1575"/>
      <c r="G53" s="1579"/>
    </row>
    <row r="54" spans="1:7">
      <c r="A54" s="1575"/>
      <c r="B54" s="1581"/>
      <c r="C54" s="1579"/>
      <c r="D54" s="1579"/>
      <c r="E54" s="1579"/>
      <c r="F54" s="1575"/>
      <c r="G54" s="1579"/>
    </row>
    <row r="55" spans="1:7">
      <c r="F55" s="1575"/>
      <c r="G55" s="1579"/>
    </row>
    <row r="56" spans="1:7">
      <c r="F56" s="1617"/>
      <c r="G56" s="1579"/>
    </row>
    <row r="57" spans="1:7">
      <c r="F57" s="1579"/>
      <c r="G57" s="1579"/>
    </row>
    <row r="58" spans="1:7">
      <c r="F58" s="1579"/>
      <c r="G58" s="1579"/>
    </row>
    <row r="59" spans="1:7">
      <c r="F59" s="1579"/>
      <c r="G59" s="1579"/>
    </row>
    <row r="60" spans="1:7">
      <c r="F60" s="1579"/>
      <c r="G60" s="1579"/>
    </row>
    <row r="61" spans="1:7">
      <c r="G61" s="1579"/>
    </row>
  </sheetData>
  <sheetProtection algorithmName="SHA-512" hashValue="V5Tmlm8UKXKaZnV3KhJVGXgj2suc6DtmCtpdwyWG/K0rGI90egZsKC2fEXS4w3o92/cYistrCiUoFhI/JC9KFQ==" saltValue="Y2qfWV3IbjMGnd+1bhBmKg==" spinCount="100000" sheet="1" objects="1" scenarios="1"/>
  <phoneticPr fontId="10" type="noConversion"/>
  <dataValidations count="3">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a zero." sqref="C10:D10 C14 C15:D15 C18:D18 C20:D23 F34 C28:D28">
      <formula1>0</formula1>
    </dataValidation>
    <dataValidation operator="greaterThanOrEqual" errorTitle="Invalid Data Entry" error="Please enter a positive number or press the delete key or enter a zero." sqref="E28"/>
  </dataValidations>
  <hyperlinks>
    <hyperlink ref="H1" location="Contents!F1" display="Return to Contents page"/>
  </hyperlinks>
  <printOptions horizontalCentered="1"/>
  <pageMargins left="0.25" right="0.25" top="0.5" bottom="0.5" header="0.5" footer="0.5"/>
  <pageSetup orientation="portrait" blackAndWhite="1" r:id="rId1"/>
  <headerFooter alignWithMargins="0">
    <oddFooter>&amp;L&amp;D     &amp;T&amp;CCode No. 45</oddFooter>
  </headerFooter>
  <drawing r:id="rId2"/>
  <legacy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4" tint="0.39997558519241921"/>
  </sheetPr>
  <dimension ref="A1:M301"/>
  <sheetViews>
    <sheetView workbookViewId="0">
      <selection activeCell="C9" sqref="C9"/>
    </sheetView>
  </sheetViews>
  <sheetFormatPr defaultColWidth="10.7109375" defaultRowHeight="12" customHeight="1"/>
  <cols>
    <col min="1" max="1" width="44.140625" style="1629" customWidth="1"/>
    <col min="2" max="2" width="4.85546875" style="1651" customWidth="1"/>
    <col min="3" max="3" width="16.140625" style="1622" customWidth="1"/>
    <col min="4" max="4" width="16.42578125" style="1622" customWidth="1"/>
    <col min="5" max="5" width="15.42578125" style="1622" customWidth="1"/>
    <col min="6" max="6" width="2.28515625" style="1622" customWidth="1"/>
    <col min="7" max="7" width="20.85546875" style="1622" customWidth="1"/>
    <col min="8" max="16384" width="10.7109375" style="1622"/>
  </cols>
  <sheetData>
    <row r="1" spans="1:13" ht="12" customHeight="1">
      <c r="A1" s="1618" t="s">
        <v>1019</v>
      </c>
      <c r="B1" s="1619">
        <f>OPEN!$B$4</f>
        <v>270</v>
      </c>
      <c r="C1" s="1620"/>
      <c r="D1" s="1620"/>
      <c r="E1" s="1618" t="s">
        <v>1020</v>
      </c>
      <c r="F1" s="1621"/>
      <c r="G1" s="3013" t="s">
        <v>866</v>
      </c>
    </row>
    <row r="2" spans="1:13" ht="12" customHeight="1">
      <c r="A2" s="1620"/>
      <c r="B2" s="1623"/>
      <c r="C2" s="1620"/>
      <c r="D2" s="1620"/>
      <c r="E2" s="1618" t="s">
        <v>1212</v>
      </c>
      <c r="F2" s="1621"/>
      <c r="G2" s="1621"/>
    </row>
    <row r="3" spans="1:13" ht="12" customHeight="1">
      <c r="A3" s="1620"/>
      <c r="B3" s="1623"/>
      <c r="C3" s="1620"/>
      <c r="D3" s="1620"/>
      <c r="E3" s="1618" t="str">
        <f>OPEN!N2</f>
        <v>2016-2017</v>
      </c>
      <c r="F3" s="1621"/>
      <c r="G3" s="1621"/>
    </row>
    <row r="4" spans="1:13" ht="5.0999999999999996" customHeight="1">
      <c r="A4" s="1620"/>
      <c r="B4" s="1623"/>
      <c r="C4" s="1620"/>
      <c r="D4" s="1620"/>
      <c r="E4" s="1620"/>
      <c r="F4" s="1621"/>
      <c r="G4" s="1621"/>
    </row>
    <row r="5" spans="1:13" ht="12" customHeight="1">
      <c r="A5" s="1620"/>
      <c r="B5" s="1623"/>
      <c r="C5" s="1624" t="s">
        <v>1213</v>
      </c>
      <c r="D5" s="1624" t="s">
        <v>1213</v>
      </c>
      <c r="E5" s="1625"/>
      <c r="F5" s="1621"/>
      <c r="G5" s="1621"/>
    </row>
    <row r="6" spans="1:13" ht="12" customHeight="1">
      <c r="A6" s="1626"/>
      <c r="B6" s="1627" t="s">
        <v>1045</v>
      </c>
      <c r="C6" s="1628" t="str">
        <f>OPEN!N4</f>
        <v>2014-2015</v>
      </c>
      <c r="D6" s="1628" t="str">
        <f>OPEN!O4</f>
        <v>2015-2016</v>
      </c>
      <c r="E6" s="1628" t="str">
        <f>OPEN!P4</f>
        <v>2016-2017</v>
      </c>
      <c r="F6" s="1621"/>
      <c r="G6" s="1621"/>
      <c r="K6" s="1629"/>
      <c r="L6" s="1629"/>
      <c r="M6" s="1629"/>
    </row>
    <row r="7" spans="1:13" ht="12" customHeight="1">
      <c r="A7" s="1626" t="s">
        <v>1025</v>
      </c>
      <c r="B7" s="1630">
        <v>47</v>
      </c>
      <c r="C7" s="1631" t="s">
        <v>1139</v>
      </c>
      <c r="D7" s="1631" t="s">
        <v>1139</v>
      </c>
      <c r="E7" s="1631" t="s">
        <v>1139</v>
      </c>
      <c r="F7" s="1621"/>
      <c r="G7" s="1621"/>
    </row>
    <row r="8" spans="1:13" ht="12" customHeight="1">
      <c r="A8" s="1632"/>
      <c r="B8" s="1633" t="s">
        <v>1051</v>
      </c>
      <c r="C8" s="1634">
        <v>1</v>
      </c>
      <c r="D8" s="1634">
        <v>2</v>
      </c>
      <c r="E8" s="1634">
        <v>3</v>
      </c>
      <c r="F8" s="1621"/>
      <c r="G8" s="1621"/>
    </row>
    <row r="9" spans="1:13" ht="12" customHeight="1">
      <c r="A9" s="1635" t="s">
        <v>1402</v>
      </c>
      <c r="B9" s="1633">
        <v>1</v>
      </c>
      <c r="C9" s="1636"/>
      <c r="D9" s="1637">
        <f>C47</f>
        <v>0</v>
      </c>
      <c r="E9" s="3821">
        <f>D47</f>
        <v>0</v>
      </c>
      <c r="F9" s="1621"/>
      <c r="G9" s="1621"/>
    </row>
    <row r="10" spans="1:13" ht="12" customHeight="1">
      <c r="A10" s="1638" t="s">
        <v>1403</v>
      </c>
      <c r="B10" s="1630">
        <v>3</v>
      </c>
      <c r="C10" s="1639"/>
      <c r="D10" s="1639"/>
      <c r="E10" s="3822"/>
      <c r="F10" s="1621"/>
      <c r="G10" s="1621"/>
    </row>
    <row r="11" spans="1:13" ht="12" customHeight="1">
      <c r="A11" s="1640" t="s">
        <v>19</v>
      </c>
      <c r="B11" s="1627"/>
      <c r="C11" s="1641"/>
      <c r="D11" s="1641"/>
      <c r="E11" s="3823"/>
      <c r="F11" s="1621"/>
      <c r="G11" s="1621"/>
    </row>
    <row r="12" spans="1:13" ht="12" customHeight="1">
      <c r="A12" s="1638" t="s">
        <v>20</v>
      </c>
      <c r="B12" s="1630"/>
      <c r="C12" s="1642"/>
      <c r="D12" s="1642"/>
      <c r="E12" s="3823"/>
      <c r="F12" s="1621"/>
      <c r="G12" s="1621"/>
    </row>
    <row r="13" spans="1:13" ht="12" customHeight="1">
      <c r="A13" s="1635" t="s">
        <v>95</v>
      </c>
      <c r="B13" s="2672">
        <v>5</v>
      </c>
      <c r="C13" s="1636"/>
      <c r="D13" s="1636"/>
      <c r="E13" s="3823"/>
      <c r="F13" s="1621"/>
      <c r="G13" s="1621"/>
    </row>
    <row r="14" spans="1:13" ht="12" customHeight="1">
      <c r="A14" s="2599" t="s">
        <v>1026</v>
      </c>
      <c r="B14" s="2673">
        <v>7</v>
      </c>
      <c r="C14" s="2585"/>
      <c r="D14" s="2585"/>
      <c r="E14" s="3823"/>
      <c r="F14" s="1621"/>
      <c r="G14" s="1621"/>
    </row>
    <row r="15" spans="1:13" ht="12" customHeight="1">
      <c r="A15" s="2599" t="s">
        <v>1027</v>
      </c>
      <c r="B15" s="2673">
        <v>10</v>
      </c>
      <c r="C15" s="2585"/>
      <c r="D15" s="2585"/>
      <c r="E15" s="3823"/>
      <c r="F15" s="1621"/>
      <c r="G15" s="3705"/>
    </row>
    <row r="16" spans="1:13" ht="12" customHeight="1">
      <c r="A16" s="1635" t="s">
        <v>1028</v>
      </c>
      <c r="B16" s="2672">
        <v>12</v>
      </c>
      <c r="C16" s="2585"/>
      <c r="D16" s="2585"/>
      <c r="E16" s="3823"/>
      <c r="F16" s="1621"/>
      <c r="G16" s="1621"/>
    </row>
    <row r="17" spans="1:7" ht="12" customHeight="1">
      <c r="A17" s="1635" t="s">
        <v>1029</v>
      </c>
      <c r="B17" s="2672">
        <v>15</v>
      </c>
      <c r="C17" s="2585"/>
      <c r="D17" s="2585"/>
      <c r="E17" s="3823"/>
      <c r="F17" s="1621"/>
      <c r="G17" s="1621"/>
    </row>
    <row r="18" spans="1:7" ht="12" customHeight="1">
      <c r="A18" s="1635" t="s">
        <v>1030</v>
      </c>
      <c r="B18" s="2672">
        <v>20</v>
      </c>
      <c r="C18" s="2585"/>
      <c r="D18" s="2585"/>
      <c r="E18" s="3823"/>
      <c r="F18" s="1621"/>
      <c r="G18" s="1621"/>
    </row>
    <row r="19" spans="1:7" ht="12" customHeight="1">
      <c r="A19" s="1635" t="s">
        <v>1031</v>
      </c>
      <c r="B19" s="2672">
        <v>25</v>
      </c>
      <c r="C19" s="2585"/>
      <c r="D19" s="2585"/>
      <c r="E19" s="3823"/>
      <c r="F19" s="1621"/>
      <c r="G19" s="1621"/>
    </row>
    <row r="20" spans="1:7" ht="12" customHeight="1">
      <c r="A20" s="1635" t="s">
        <v>1032</v>
      </c>
      <c r="B20" s="2672">
        <v>30</v>
      </c>
      <c r="C20" s="2585"/>
      <c r="D20" s="2585"/>
      <c r="E20" s="3823"/>
      <c r="F20" s="1621"/>
      <c r="G20" s="1621"/>
    </row>
    <row r="21" spans="1:7" ht="12" customHeight="1">
      <c r="A21" s="1635" t="s">
        <v>1033</v>
      </c>
      <c r="B21" s="2672">
        <v>37</v>
      </c>
      <c r="C21" s="2585"/>
      <c r="D21" s="2585"/>
      <c r="E21" s="3823"/>
      <c r="F21" s="1621"/>
      <c r="G21" s="1621"/>
    </row>
    <row r="22" spans="1:7" ht="12" customHeight="1">
      <c r="A22" s="1635" t="s">
        <v>1034</v>
      </c>
      <c r="B22" s="2672">
        <v>40</v>
      </c>
      <c r="C22" s="2585"/>
      <c r="D22" s="2585"/>
      <c r="E22" s="3823"/>
      <c r="F22" s="1621"/>
      <c r="G22" s="1621"/>
    </row>
    <row r="23" spans="1:7" ht="12" customHeight="1">
      <c r="A23" s="1635" t="s">
        <v>757</v>
      </c>
      <c r="B23" s="2672">
        <v>45</v>
      </c>
      <c r="C23" s="2585"/>
      <c r="D23" s="2585"/>
      <c r="E23" s="3823"/>
      <c r="F23" s="1621"/>
      <c r="G23" s="1621"/>
    </row>
    <row r="24" spans="1:7" ht="12" customHeight="1">
      <c r="A24" s="1635" t="s">
        <v>1035</v>
      </c>
      <c r="B24" s="2672">
        <v>50</v>
      </c>
      <c r="C24" s="2585"/>
      <c r="D24" s="2585"/>
      <c r="E24" s="3823"/>
      <c r="F24" s="1621"/>
      <c r="G24" s="1621"/>
    </row>
    <row r="25" spans="1:7" ht="12" customHeight="1">
      <c r="A25" s="1635" t="s">
        <v>1036</v>
      </c>
      <c r="B25" s="2672">
        <v>52</v>
      </c>
      <c r="C25" s="2585"/>
      <c r="D25" s="2585"/>
      <c r="E25" s="3823"/>
      <c r="F25" s="1621"/>
      <c r="G25" s="1621"/>
    </row>
    <row r="26" spans="1:7" ht="12" customHeight="1">
      <c r="A26" s="1635" t="s">
        <v>1037</v>
      </c>
      <c r="B26" s="2672">
        <v>55</v>
      </c>
      <c r="C26" s="2585"/>
      <c r="D26" s="2585"/>
      <c r="E26" s="3824"/>
      <c r="F26" s="1621"/>
      <c r="G26" s="2833"/>
    </row>
    <row r="27" spans="1:7" ht="12" customHeight="1">
      <c r="A27" s="1635" t="s">
        <v>1038</v>
      </c>
      <c r="B27" s="2672">
        <v>65</v>
      </c>
      <c r="C27" s="2585"/>
      <c r="D27" s="2585"/>
      <c r="E27" s="3823"/>
      <c r="F27" s="1621"/>
      <c r="G27" s="1621"/>
    </row>
    <row r="28" spans="1:7" ht="12" customHeight="1">
      <c r="A28" s="1635" t="s">
        <v>1039</v>
      </c>
      <c r="B28" s="2674">
        <v>71</v>
      </c>
      <c r="C28" s="3314"/>
      <c r="D28" s="1636"/>
      <c r="E28" s="3823"/>
      <c r="F28" s="1621"/>
      <c r="G28" s="1621"/>
    </row>
    <row r="29" spans="1:7" ht="12" customHeight="1">
      <c r="A29" s="1635" t="s">
        <v>1040</v>
      </c>
      <c r="B29" s="2672">
        <v>72</v>
      </c>
      <c r="C29" s="2585"/>
      <c r="D29" s="1636"/>
      <c r="E29" s="3823"/>
      <c r="F29" s="1621"/>
      <c r="G29" s="1621"/>
    </row>
    <row r="30" spans="1:7" ht="12" customHeight="1">
      <c r="A30" s="1635" t="s">
        <v>93</v>
      </c>
      <c r="B30" s="2672">
        <v>75</v>
      </c>
      <c r="C30" s="2863">
        <f>'C042'!C45</f>
        <v>0</v>
      </c>
      <c r="D30" s="2863">
        <f>'C042'!D45</f>
        <v>0</v>
      </c>
      <c r="E30" s="3823"/>
      <c r="F30" s="1621"/>
      <c r="G30" s="1621"/>
    </row>
    <row r="31" spans="1:7" ht="12" customHeight="1">
      <c r="A31" s="2955" t="s">
        <v>281</v>
      </c>
      <c r="B31" s="2956">
        <v>77</v>
      </c>
      <c r="C31" s="3048"/>
      <c r="D31" s="3048"/>
      <c r="E31" s="3823"/>
      <c r="F31" s="1621"/>
      <c r="G31" s="1621"/>
    </row>
    <row r="32" spans="1:7" ht="12" customHeight="1">
      <c r="A32" s="2955" t="s">
        <v>282</v>
      </c>
      <c r="B32" s="2956">
        <v>78</v>
      </c>
      <c r="C32" s="3048"/>
      <c r="D32" s="3048"/>
      <c r="E32" s="3823"/>
      <c r="F32" s="1621"/>
      <c r="G32" s="1621"/>
    </row>
    <row r="33" spans="1:7" ht="12" customHeight="1">
      <c r="A33" s="3754" t="s">
        <v>1442</v>
      </c>
      <c r="B33" s="3757">
        <v>79</v>
      </c>
      <c r="C33" s="3760"/>
      <c r="D33" s="3762"/>
      <c r="E33" s="3823"/>
      <c r="F33" s="1621"/>
      <c r="G33" s="1621"/>
    </row>
    <row r="34" spans="1:7" ht="12" customHeight="1">
      <c r="A34" s="3755" t="s">
        <v>79</v>
      </c>
      <c r="B34" s="3759"/>
      <c r="C34" s="3761"/>
      <c r="D34" s="2863"/>
      <c r="E34" s="3823"/>
      <c r="F34" s="1621"/>
      <c r="G34" s="1621"/>
    </row>
    <row r="35" spans="1:7" ht="12" customHeight="1">
      <c r="A35" s="3756" t="s">
        <v>400</v>
      </c>
      <c r="B35" s="3771">
        <v>80</v>
      </c>
      <c r="C35" s="3763">
        <f>'C06'!C350</f>
        <v>0</v>
      </c>
      <c r="D35" s="3758">
        <f>'C06'!D350</f>
        <v>0</v>
      </c>
      <c r="E35" s="3823"/>
      <c r="F35" s="1621"/>
      <c r="G35" s="1621"/>
    </row>
    <row r="36" spans="1:7" ht="12" customHeight="1">
      <c r="A36" s="5066" t="s">
        <v>2512</v>
      </c>
      <c r="B36" s="5067">
        <v>81</v>
      </c>
      <c r="C36" s="3763">
        <f>'C08'!C319</f>
        <v>0</v>
      </c>
      <c r="D36" s="3758">
        <f>'C08'!D319</f>
        <v>0</v>
      </c>
      <c r="E36" s="3823"/>
      <c r="F36" s="1621"/>
      <c r="G36" s="1621"/>
    </row>
    <row r="37" spans="1:7" ht="12" customHeight="1">
      <c r="A37" s="1644" t="s">
        <v>52</v>
      </c>
      <c r="B37" s="3772">
        <v>82</v>
      </c>
      <c r="C37" s="2864">
        <f>SUM(C9:C36)</f>
        <v>0</v>
      </c>
      <c r="D37" s="1637">
        <f>SUM(D9:D36)</f>
        <v>0</v>
      </c>
      <c r="E37" s="3823"/>
      <c r="F37" s="1621"/>
      <c r="G37" s="1621"/>
    </row>
    <row r="38" spans="1:7" ht="12" customHeight="1">
      <c r="A38" s="1640" t="s">
        <v>111</v>
      </c>
      <c r="B38" s="2675"/>
      <c r="C38" s="1642"/>
      <c r="D38" s="1642"/>
      <c r="E38" s="3823"/>
      <c r="F38" s="1621"/>
      <c r="G38" s="1621"/>
    </row>
    <row r="39" spans="1:7" ht="12" customHeight="1">
      <c r="A39" s="1635" t="s">
        <v>156</v>
      </c>
      <c r="B39" s="2672">
        <v>85</v>
      </c>
      <c r="C39" s="1636"/>
      <c r="D39" s="1636"/>
      <c r="E39" s="3823"/>
      <c r="F39" s="1621"/>
      <c r="G39" s="1621"/>
    </row>
    <row r="40" spans="1:7" ht="12" customHeight="1">
      <c r="A40" s="1635" t="s">
        <v>338</v>
      </c>
      <c r="B40" s="2672">
        <v>90</v>
      </c>
      <c r="C40" s="1636"/>
      <c r="D40" s="1636"/>
      <c r="E40" s="3823"/>
      <c r="F40" s="1621"/>
      <c r="G40" s="1621"/>
    </row>
    <row r="41" spans="1:7" ht="12" customHeight="1">
      <c r="A41" s="1635" t="s">
        <v>339</v>
      </c>
      <c r="B41" s="2672">
        <v>95</v>
      </c>
      <c r="C41" s="1636"/>
      <c r="D41" s="1636"/>
      <c r="E41" s="3823"/>
      <c r="F41" s="1621"/>
      <c r="G41" s="1621"/>
    </row>
    <row r="42" spans="1:7" ht="12" customHeight="1">
      <c r="A42" s="1645" t="s">
        <v>1041</v>
      </c>
      <c r="B42" s="2676">
        <v>100</v>
      </c>
      <c r="C42" s="1636"/>
      <c r="D42" s="1636"/>
      <c r="E42" s="3825"/>
      <c r="F42" s="1621"/>
      <c r="G42" s="1621"/>
    </row>
    <row r="43" spans="1:7" ht="12" customHeight="1">
      <c r="A43" s="5070" t="s">
        <v>157</v>
      </c>
      <c r="B43" s="5071">
        <v>105</v>
      </c>
      <c r="C43" s="1639"/>
      <c r="D43" s="1639"/>
      <c r="E43" s="3823"/>
      <c r="F43" s="1621"/>
      <c r="G43" s="1621"/>
    </row>
    <row r="44" spans="1:7" ht="12" customHeight="1">
      <c r="A44" s="5072" t="s">
        <v>1501</v>
      </c>
      <c r="B44" s="5074"/>
      <c r="C44" s="5075"/>
      <c r="D44" s="5076"/>
      <c r="E44" s="5069"/>
      <c r="F44" s="1621"/>
      <c r="G44" s="1621"/>
    </row>
    <row r="45" spans="1:7" ht="12" customHeight="1">
      <c r="A45" s="5077" t="s">
        <v>1503</v>
      </c>
      <c r="B45" s="5078">
        <v>110</v>
      </c>
      <c r="C45" s="5073"/>
      <c r="D45" s="1636"/>
      <c r="E45" s="5103"/>
      <c r="F45" s="1621"/>
      <c r="G45" s="1621"/>
    </row>
    <row r="46" spans="1:7" ht="12" customHeight="1">
      <c r="A46" s="1645" t="s">
        <v>2513</v>
      </c>
      <c r="B46" s="5068">
        <v>175</v>
      </c>
      <c r="C46" s="1637">
        <f>SUM(C39:C45)</f>
        <v>0</v>
      </c>
      <c r="D46" s="1637">
        <f>SUM(D38:D45)</f>
        <v>0</v>
      </c>
      <c r="E46" s="3823"/>
      <c r="F46" s="1621"/>
      <c r="G46" s="1621"/>
    </row>
    <row r="47" spans="1:7" ht="12" customHeight="1">
      <c r="A47" s="1646" t="s">
        <v>290</v>
      </c>
      <c r="B47" s="1647">
        <v>190</v>
      </c>
      <c r="C47" s="1643">
        <f>SUM(C37-C46)</f>
        <v>0</v>
      </c>
      <c r="D47" s="1643">
        <f>SUM(D37-D46)</f>
        <v>0</v>
      </c>
      <c r="E47" s="3826"/>
      <c r="F47" s="1621"/>
      <c r="G47" s="1621"/>
    </row>
    <row r="48" spans="1:7" ht="12" customHeight="1">
      <c r="A48" s="1620"/>
      <c r="B48" s="2781" t="s">
        <v>1364</v>
      </c>
      <c r="C48" s="1621"/>
      <c r="D48" s="1621"/>
      <c r="E48" s="1620"/>
      <c r="F48" s="1621"/>
      <c r="G48" s="1621"/>
    </row>
    <row r="49" spans="1:7" ht="12" customHeight="1">
      <c r="A49" s="1620"/>
      <c r="B49" s="1624"/>
      <c r="C49" s="1621"/>
      <c r="D49" s="1621"/>
      <c r="E49" s="1620"/>
      <c r="F49" s="1621"/>
      <c r="G49" s="1621"/>
    </row>
    <row r="50" spans="1:7" ht="12" customHeight="1">
      <c r="A50" s="1620"/>
      <c r="B50" s="1624"/>
      <c r="C50" s="1621"/>
      <c r="D50" s="1621"/>
      <c r="E50" s="1620"/>
      <c r="F50" s="1621"/>
      <c r="G50" s="1621"/>
    </row>
    <row r="51" spans="1:7" ht="12" customHeight="1">
      <c r="A51" s="1648"/>
      <c r="B51" s="1648"/>
      <c r="C51" s="1649"/>
      <c r="D51" s="1649"/>
      <c r="E51" s="1648"/>
      <c r="F51" s="1649"/>
      <c r="G51" s="1621"/>
    </row>
    <row r="52" spans="1:7" ht="12" customHeight="1">
      <c r="A52" s="1650"/>
      <c r="B52" s="1648"/>
      <c r="C52" s="1649"/>
      <c r="D52" s="1649"/>
      <c r="E52" s="1649"/>
      <c r="F52" s="1649"/>
      <c r="G52" s="1621"/>
    </row>
    <row r="53" spans="1:7" ht="12" customHeight="1">
      <c r="A53" s="1620"/>
      <c r="B53" s="1620"/>
      <c r="C53" s="1621"/>
      <c r="D53" s="1621"/>
      <c r="E53" s="1621"/>
      <c r="F53" s="1621"/>
      <c r="G53" s="1621"/>
    </row>
    <row r="54" spans="1:7" ht="12" customHeight="1">
      <c r="A54" s="1620"/>
      <c r="B54" s="1620"/>
      <c r="C54" s="1621"/>
      <c r="D54" s="1621"/>
      <c r="E54" s="1621"/>
      <c r="F54" s="1621"/>
      <c r="G54" s="1621"/>
    </row>
    <row r="55" spans="1:7" ht="12" customHeight="1">
      <c r="A55" s="1620"/>
      <c r="B55" s="1620"/>
      <c r="C55" s="1621"/>
      <c r="D55" s="1621"/>
      <c r="E55" s="1621"/>
      <c r="F55" s="1621"/>
      <c r="G55" s="1621"/>
    </row>
    <row r="56" spans="1:7" ht="12" customHeight="1">
      <c r="A56" s="1620"/>
      <c r="B56" s="1620"/>
      <c r="C56" s="1621"/>
      <c r="D56" s="1621"/>
      <c r="E56" s="1621"/>
      <c r="F56" s="1621"/>
      <c r="G56" s="1621"/>
    </row>
    <row r="57" spans="1:7" ht="12" customHeight="1">
      <c r="A57" s="1620"/>
      <c r="B57" s="1620"/>
      <c r="C57" s="1621"/>
      <c r="D57" s="1621"/>
      <c r="E57" s="1621"/>
      <c r="F57" s="1621"/>
      <c r="G57" s="1621"/>
    </row>
    <row r="58" spans="1:7" ht="12" customHeight="1">
      <c r="A58" s="1620"/>
      <c r="B58" s="1620"/>
      <c r="C58" s="1621"/>
      <c r="D58" s="1621"/>
      <c r="E58" s="1621"/>
      <c r="F58" s="1621"/>
      <c r="G58" s="1621"/>
    </row>
    <row r="59" spans="1:7" ht="12" customHeight="1">
      <c r="A59" s="1620"/>
      <c r="B59" s="1620"/>
      <c r="C59" s="1621"/>
      <c r="D59" s="1621"/>
      <c r="E59" s="1621"/>
      <c r="F59" s="1621"/>
      <c r="G59" s="1621"/>
    </row>
    <row r="60" spans="1:7" ht="12" customHeight="1">
      <c r="A60" s="1620"/>
      <c r="B60" s="1620"/>
      <c r="C60" s="1621"/>
      <c r="D60" s="1621"/>
      <c r="E60" s="1621"/>
      <c r="F60" s="1621"/>
      <c r="G60" s="1621"/>
    </row>
    <row r="61" spans="1:7" ht="12" customHeight="1">
      <c r="A61" s="1620"/>
      <c r="B61" s="1620"/>
      <c r="C61" s="1621"/>
      <c r="D61" s="1621"/>
      <c r="E61" s="1621"/>
      <c r="F61" s="1621"/>
      <c r="G61" s="1621"/>
    </row>
    <row r="62" spans="1:7" ht="12" customHeight="1">
      <c r="A62" s="1620"/>
      <c r="B62" s="1620"/>
      <c r="C62" s="1621"/>
      <c r="D62" s="1621"/>
      <c r="E62" s="1621"/>
      <c r="F62" s="1621"/>
      <c r="G62" s="1621"/>
    </row>
    <row r="63" spans="1:7" ht="12" customHeight="1">
      <c r="A63" s="1620"/>
      <c r="B63" s="1620"/>
      <c r="C63" s="1621"/>
      <c r="D63" s="1621"/>
      <c r="E63" s="1621"/>
      <c r="F63" s="1621"/>
      <c r="G63" s="1621"/>
    </row>
    <row r="64" spans="1:7" ht="12" customHeight="1">
      <c r="A64" s="1620"/>
      <c r="B64" s="1620"/>
      <c r="C64" s="1621"/>
      <c r="D64" s="1621"/>
      <c r="E64" s="1621"/>
      <c r="F64" s="1621"/>
      <c r="G64" s="1621"/>
    </row>
    <row r="65" spans="1:7" ht="12" customHeight="1">
      <c r="A65" s="1620"/>
      <c r="B65" s="1620"/>
      <c r="C65" s="1621"/>
      <c r="D65" s="1621"/>
      <c r="E65" s="1621"/>
      <c r="F65" s="1621"/>
      <c r="G65" s="1621"/>
    </row>
    <row r="66" spans="1:7" ht="12" customHeight="1">
      <c r="A66" s="1620"/>
      <c r="B66" s="1620"/>
      <c r="C66" s="1621"/>
      <c r="D66" s="1621"/>
      <c r="E66" s="1621"/>
      <c r="F66" s="1621"/>
      <c r="G66" s="1621"/>
    </row>
    <row r="67" spans="1:7" ht="12" customHeight="1">
      <c r="A67" s="1620"/>
      <c r="B67" s="1620"/>
      <c r="C67" s="1621"/>
      <c r="D67" s="1621"/>
      <c r="E67" s="1621"/>
      <c r="F67" s="1621"/>
      <c r="G67" s="1621"/>
    </row>
    <row r="68" spans="1:7" ht="12" customHeight="1">
      <c r="A68" s="1620"/>
      <c r="B68" s="1620"/>
      <c r="C68" s="1621"/>
      <c r="D68" s="1621"/>
      <c r="E68" s="1621"/>
      <c r="F68" s="1621"/>
      <c r="G68" s="1621"/>
    </row>
    <row r="69" spans="1:7" ht="12" customHeight="1">
      <c r="A69" s="1620"/>
      <c r="B69" s="1620"/>
      <c r="C69" s="1621"/>
      <c r="D69" s="1621"/>
      <c r="E69" s="1621"/>
      <c r="F69" s="1621"/>
      <c r="G69" s="1621"/>
    </row>
    <row r="70" spans="1:7" ht="12" customHeight="1">
      <c r="A70" s="1620"/>
      <c r="B70" s="1620"/>
      <c r="C70" s="1621"/>
      <c r="D70" s="1621"/>
      <c r="E70" s="1621"/>
      <c r="F70" s="1621"/>
      <c r="G70" s="1621"/>
    </row>
    <row r="71" spans="1:7" ht="12" customHeight="1">
      <c r="A71" s="1620"/>
      <c r="B71" s="1620"/>
      <c r="C71" s="1621"/>
      <c r="D71" s="1621"/>
      <c r="E71" s="1621"/>
      <c r="F71" s="1621"/>
      <c r="G71" s="1621"/>
    </row>
    <row r="72" spans="1:7" ht="12" customHeight="1">
      <c r="A72" s="1620"/>
      <c r="B72" s="1620"/>
      <c r="C72" s="1621"/>
      <c r="D72" s="1621"/>
      <c r="E72" s="1621"/>
      <c r="F72" s="1621"/>
      <c r="G72" s="1621"/>
    </row>
    <row r="73" spans="1:7" ht="12" customHeight="1">
      <c r="A73" s="1620"/>
      <c r="B73" s="1620"/>
      <c r="C73" s="1621"/>
      <c r="D73" s="1621"/>
      <c r="E73" s="1621"/>
      <c r="F73" s="1621"/>
      <c r="G73" s="1621"/>
    </row>
    <row r="74" spans="1:7" ht="12" customHeight="1">
      <c r="A74" s="1620"/>
      <c r="B74" s="1620"/>
      <c r="C74" s="1621"/>
      <c r="D74" s="1621"/>
      <c r="E74" s="1621"/>
      <c r="F74" s="1621"/>
      <c r="G74" s="1621"/>
    </row>
    <row r="75" spans="1:7" ht="12" customHeight="1">
      <c r="A75" s="1620"/>
      <c r="B75" s="1620"/>
      <c r="C75" s="1621"/>
      <c r="D75" s="1621"/>
      <c r="E75" s="1621"/>
      <c r="F75" s="1621"/>
      <c r="G75" s="1621"/>
    </row>
    <row r="76" spans="1:7" ht="12" customHeight="1">
      <c r="A76" s="1620"/>
      <c r="B76" s="1620"/>
      <c r="C76" s="1621"/>
      <c r="D76" s="1621"/>
      <c r="E76" s="1621"/>
      <c r="F76" s="1621"/>
      <c r="G76" s="1621"/>
    </row>
    <row r="77" spans="1:7" ht="12" customHeight="1">
      <c r="A77" s="1620"/>
      <c r="B77" s="1620"/>
      <c r="C77" s="1621"/>
      <c r="D77" s="1621"/>
      <c r="E77" s="1621"/>
      <c r="F77" s="1621"/>
      <c r="G77" s="1621"/>
    </row>
    <row r="78" spans="1:7" ht="12" customHeight="1">
      <c r="A78" s="1620"/>
      <c r="B78" s="1620"/>
      <c r="C78" s="1621"/>
      <c r="D78" s="1621"/>
      <c r="E78" s="1621"/>
      <c r="F78" s="1621"/>
      <c r="G78" s="1621"/>
    </row>
    <row r="79" spans="1:7" ht="12" customHeight="1">
      <c r="A79" s="1620"/>
      <c r="B79" s="1620"/>
      <c r="C79" s="1621"/>
      <c r="D79" s="1621"/>
      <c r="E79" s="1621"/>
      <c r="F79" s="1621"/>
      <c r="G79" s="1621"/>
    </row>
    <row r="80" spans="1:7" ht="12" customHeight="1">
      <c r="A80" s="1620"/>
      <c r="B80" s="1620"/>
      <c r="C80" s="1621"/>
      <c r="D80" s="1621"/>
      <c r="E80" s="1621"/>
      <c r="F80" s="1621"/>
      <c r="G80" s="1621"/>
    </row>
    <row r="81" spans="1:7" ht="12" customHeight="1">
      <c r="A81" s="1620"/>
      <c r="B81" s="1620"/>
      <c r="C81" s="1621"/>
      <c r="D81" s="1621"/>
      <c r="E81" s="1621"/>
      <c r="F81" s="1621"/>
      <c r="G81" s="1621"/>
    </row>
    <row r="82" spans="1:7" ht="12" customHeight="1">
      <c r="A82" s="1620"/>
      <c r="B82" s="1620"/>
      <c r="C82" s="1621"/>
      <c r="D82" s="1621"/>
      <c r="E82" s="1621"/>
      <c r="F82" s="1621"/>
      <c r="G82" s="1621"/>
    </row>
    <row r="83" spans="1:7" ht="12" customHeight="1">
      <c r="A83" s="1620"/>
      <c r="B83" s="1620"/>
      <c r="C83" s="1621"/>
      <c r="D83" s="1621"/>
      <c r="E83" s="1621"/>
      <c r="F83" s="1621"/>
      <c r="G83" s="1621"/>
    </row>
    <row r="84" spans="1:7" ht="12" customHeight="1">
      <c r="A84" s="1620"/>
      <c r="B84" s="1620"/>
      <c r="C84" s="1621"/>
      <c r="D84" s="1621"/>
      <c r="E84" s="1621"/>
      <c r="F84" s="1621"/>
      <c r="G84" s="1621"/>
    </row>
    <row r="85" spans="1:7" ht="12" customHeight="1">
      <c r="A85" s="1620"/>
      <c r="B85" s="1620"/>
      <c r="C85" s="1621"/>
      <c r="D85" s="1621"/>
      <c r="E85" s="1621"/>
      <c r="F85" s="1621"/>
      <c r="G85" s="1621"/>
    </row>
    <row r="86" spans="1:7" ht="12" customHeight="1">
      <c r="A86" s="1620"/>
      <c r="B86" s="1620"/>
      <c r="C86" s="1621"/>
      <c r="D86" s="1621"/>
      <c r="E86" s="1621"/>
      <c r="F86" s="1621"/>
      <c r="G86" s="1621"/>
    </row>
    <row r="87" spans="1:7" ht="12" customHeight="1">
      <c r="A87" s="1620"/>
      <c r="B87" s="1620"/>
      <c r="C87" s="1621"/>
      <c r="D87" s="1621"/>
      <c r="E87" s="1621"/>
      <c r="F87" s="1621"/>
      <c r="G87" s="1621"/>
    </row>
    <row r="88" spans="1:7" ht="12" customHeight="1">
      <c r="A88" s="1620"/>
      <c r="B88" s="1620"/>
      <c r="C88" s="1621"/>
      <c r="D88" s="1621"/>
      <c r="E88" s="1621"/>
      <c r="F88" s="1621"/>
      <c r="G88" s="1621"/>
    </row>
    <row r="89" spans="1:7" ht="12" customHeight="1">
      <c r="A89" s="1620"/>
      <c r="B89" s="1620"/>
      <c r="C89" s="1621"/>
      <c r="D89" s="1621"/>
      <c r="E89" s="1621"/>
      <c r="F89" s="1621"/>
      <c r="G89" s="1621"/>
    </row>
    <row r="90" spans="1:7" ht="12" customHeight="1">
      <c r="A90" s="1620"/>
      <c r="B90" s="1620"/>
      <c r="C90" s="1621"/>
      <c r="D90" s="1621"/>
      <c r="E90" s="1621"/>
      <c r="F90" s="1621"/>
      <c r="G90" s="1621"/>
    </row>
    <row r="91" spans="1:7" ht="12" customHeight="1">
      <c r="A91" s="1620"/>
      <c r="B91" s="1620"/>
      <c r="C91" s="1621"/>
      <c r="D91" s="1621"/>
      <c r="E91" s="1621"/>
      <c r="F91" s="1621"/>
      <c r="G91" s="1621"/>
    </row>
    <row r="92" spans="1:7" ht="12" customHeight="1">
      <c r="A92" s="1620"/>
      <c r="B92" s="1620"/>
      <c r="C92" s="1621"/>
      <c r="D92" s="1621"/>
      <c r="E92" s="1621"/>
      <c r="F92" s="1621"/>
      <c r="G92" s="1621"/>
    </row>
    <row r="93" spans="1:7" ht="12" customHeight="1">
      <c r="A93" s="1620"/>
      <c r="B93" s="1620"/>
      <c r="C93" s="1621"/>
      <c r="D93" s="1621"/>
      <c r="E93" s="1621"/>
      <c r="F93" s="1621"/>
      <c r="G93" s="1621"/>
    </row>
    <row r="94" spans="1:7" ht="12" customHeight="1">
      <c r="A94" s="1620"/>
      <c r="B94" s="1620"/>
      <c r="C94" s="1621"/>
      <c r="D94" s="1621"/>
      <c r="E94" s="1621"/>
      <c r="F94" s="1621"/>
      <c r="G94" s="1621"/>
    </row>
    <row r="95" spans="1:7" ht="12" customHeight="1">
      <c r="A95" s="1620"/>
      <c r="B95" s="1620"/>
      <c r="C95" s="1621"/>
      <c r="D95" s="1621"/>
      <c r="E95" s="1621"/>
      <c r="F95" s="1621"/>
      <c r="G95" s="1621"/>
    </row>
    <row r="96" spans="1:7" ht="12" customHeight="1">
      <c r="A96" s="1620"/>
      <c r="B96" s="1620"/>
      <c r="C96" s="1621"/>
      <c r="D96" s="1621"/>
      <c r="E96" s="1621"/>
      <c r="F96" s="1621"/>
      <c r="G96" s="1621"/>
    </row>
    <row r="97" spans="1:7" ht="12" customHeight="1">
      <c r="A97" s="1620"/>
      <c r="B97" s="1620"/>
      <c r="C97" s="1621"/>
      <c r="D97" s="1621"/>
      <c r="E97" s="1621"/>
      <c r="F97" s="1621"/>
      <c r="G97" s="1621"/>
    </row>
    <row r="98" spans="1:7" ht="12" customHeight="1">
      <c r="A98" s="1620"/>
      <c r="B98" s="1620"/>
      <c r="C98" s="1621"/>
      <c r="D98" s="1621"/>
      <c r="E98" s="1621"/>
      <c r="F98" s="1621"/>
      <c r="G98" s="1621"/>
    </row>
    <row r="99" spans="1:7" ht="12" customHeight="1">
      <c r="A99" s="1620"/>
      <c r="B99" s="1620"/>
      <c r="C99" s="1621"/>
      <c r="D99" s="1621"/>
      <c r="E99" s="1621"/>
      <c r="F99" s="1621"/>
      <c r="G99" s="1621"/>
    </row>
    <row r="100" spans="1:7" ht="12" customHeight="1">
      <c r="A100" s="1620"/>
      <c r="B100" s="1620"/>
      <c r="C100" s="1621"/>
      <c r="D100" s="1621"/>
      <c r="E100" s="1621"/>
      <c r="F100" s="1621"/>
      <c r="G100" s="1621"/>
    </row>
    <row r="101" spans="1:7" ht="12" customHeight="1">
      <c r="A101" s="1620"/>
      <c r="B101" s="1620"/>
      <c r="C101" s="1621"/>
      <c r="D101" s="1621"/>
      <c r="E101" s="1621"/>
      <c r="F101" s="1621"/>
      <c r="G101" s="1621"/>
    </row>
    <row r="102" spans="1:7" ht="12" customHeight="1">
      <c r="A102" s="1620"/>
      <c r="B102" s="1620"/>
      <c r="C102" s="1621"/>
      <c r="D102" s="1621"/>
      <c r="E102" s="1621"/>
      <c r="F102" s="1621"/>
      <c r="G102" s="1621"/>
    </row>
    <row r="103" spans="1:7" ht="12" customHeight="1">
      <c r="A103" s="1620"/>
      <c r="B103" s="1620"/>
      <c r="C103" s="1621"/>
      <c r="D103" s="1621"/>
      <c r="E103" s="1621"/>
      <c r="F103" s="1621"/>
      <c r="G103" s="1621"/>
    </row>
    <row r="104" spans="1:7" ht="12" customHeight="1">
      <c r="A104" s="1620"/>
      <c r="B104" s="1620"/>
      <c r="C104" s="1621"/>
      <c r="D104" s="1621"/>
      <c r="E104" s="1621"/>
      <c r="F104" s="1621"/>
      <c r="G104" s="1621"/>
    </row>
    <row r="105" spans="1:7" ht="12" customHeight="1">
      <c r="A105" s="1620"/>
      <c r="B105" s="1620"/>
      <c r="C105" s="1621"/>
      <c r="D105" s="1621"/>
      <c r="E105" s="1621"/>
      <c r="F105" s="1621"/>
      <c r="G105" s="1621"/>
    </row>
    <row r="106" spans="1:7" ht="12" customHeight="1">
      <c r="A106" s="1620"/>
      <c r="B106" s="1620"/>
      <c r="C106" s="1621"/>
      <c r="D106" s="1621"/>
      <c r="E106" s="1621"/>
      <c r="F106" s="1621"/>
      <c r="G106" s="1621"/>
    </row>
    <row r="107" spans="1:7" ht="12" customHeight="1">
      <c r="A107" s="1620"/>
      <c r="B107" s="1620"/>
      <c r="C107" s="1621"/>
      <c r="D107" s="1621"/>
      <c r="E107" s="1621"/>
      <c r="F107" s="1621"/>
      <c r="G107" s="1621"/>
    </row>
    <row r="108" spans="1:7" ht="12" customHeight="1">
      <c r="A108" s="1620"/>
      <c r="B108" s="1620"/>
      <c r="C108" s="1621"/>
      <c r="D108" s="1621"/>
      <c r="E108" s="1621"/>
      <c r="F108" s="1621"/>
      <c r="G108" s="1621"/>
    </row>
    <row r="109" spans="1:7" ht="12" customHeight="1">
      <c r="A109" s="1620"/>
      <c r="B109" s="1620"/>
      <c r="C109" s="1621"/>
      <c r="D109" s="1621"/>
      <c r="E109" s="1621"/>
      <c r="F109" s="1621"/>
      <c r="G109" s="1621"/>
    </row>
    <row r="110" spans="1:7" ht="12" customHeight="1">
      <c r="A110" s="1620"/>
      <c r="B110" s="1620"/>
      <c r="C110" s="1621"/>
      <c r="D110" s="1621"/>
      <c r="E110" s="1621"/>
      <c r="F110" s="1621"/>
      <c r="G110" s="1621"/>
    </row>
    <row r="111" spans="1:7" ht="12" customHeight="1">
      <c r="A111" s="1620"/>
      <c r="B111" s="1620"/>
      <c r="C111" s="1621"/>
      <c r="D111" s="1621"/>
      <c r="E111" s="1621"/>
      <c r="F111" s="1621"/>
      <c r="G111" s="1621"/>
    </row>
    <row r="112" spans="1:7" ht="12" customHeight="1">
      <c r="A112" s="1620"/>
      <c r="B112" s="1620"/>
      <c r="C112" s="1621"/>
      <c r="D112" s="1621"/>
      <c r="E112" s="1621"/>
      <c r="F112" s="1621"/>
      <c r="G112" s="1621"/>
    </row>
    <row r="113" spans="1:7" ht="12" customHeight="1">
      <c r="A113" s="1620"/>
      <c r="B113" s="1620"/>
      <c r="C113" s="1621"/>
      <c r="D113" s="1621"/>
      <c r="E113" s="1621"/>
      <c r="F113" s="1621"/>
      <c r="G113" s="1621"/>
    </row>
    <row r="114" spans="1:7" ht="5.0999999999999996" customHeight="1">
      <c r="A114" s="1620"/>
      <c r="B114" s="1620"/>
      <c r="C114" s="1621"/>
      <c r="D114" s="1621"/>
      <c r="E114" s="1621"/>
      <c r="F114" s="1621"/>
      <c r="G114" s="1621"/>
    </row>
    <row r="115" spans="1:7" ht="12" customHeight="1">
      <c r="A115" s="1620"/>
      <c r="B115" s="1620"/>
      <c r="C115" s="1621"/>
      <c r="D115" s="1621"/>
      <c r="E115" s="1621"/>
      <c r="F115" s="1621"/>
      <c r="G115" s="1621"/>
    </row>
    <row r="116" spans="1:7" ht="12" customHeight="1">
      <c r="A116" s="1620"/>
      <c r="B116" s="1620"/>
      <c r="C116" s="1621"/>
      <c r="D116" s="1621"/>
      <c r="E116" s="1621"/>
      <c r="F116" s="1621"/>
      <c r="G116" s="1621"/>
    </row>
    <row r="117" spans="1:7" ht="12" customHeight="1">
      <c r="A117" s="1620"/>
      <c r="B117" s="1620"/>
      <c r="C117" s="1621"/>
      <c r="D117" s="1621"/>
      <c r="E117" s="1621"/>
      <c r="F117" s="1621"/>
      <c r="G117" s="1621"/>
    </row>
    <row r="118" spans="1:7" ht="12" customHeight="1">
      <c r="A118" s="1620"/>
      <c r="B118" s="1620"/>
      <c r="C118" s="1621"/>
      <c r="D118" s="1621"/>
      <c r="E118" s="1621"/>
      <c r="F118" s="1621"/>
      <c r="G118" s="1621"/>
    </row>
    <row r="119" spans="1:7" ht="12" customHeight="1">
      <c r="A119" s="1620"/>
      <c r="B119" s="1620"/>
      <c r="C119" s="1621"/>
      <c r="D119" s="1621"/>
      <c r="E119" s="1621"/>
      <c r="F119" s="1621"/>
      <c r="G119" s="1621"/>
    </row>
    <row r="120" spans="1:7" ht="12" customHeight="1">
      <c r="A120" s="1620"/>
      <c r="B120" s="1620"/>
      <c r="C120" s="1621"/>
      <c r="D120" s="1621"/>
      <c r="E120" s="1621"/>
      <c r="F120" s="1621"/>
      <c r="G120" s="1621"/>
    </row>
    <row r="121" spans="1:7" ht="12" customHeight="1">
      <c r="A121" s="1620"/>
      <c r="B121" s="1620"/>
      <c r="C121" s="1621"/>
      <c r="D121" s="1621"/>
      <c r="E121" s="1621"/>
      <c r="F121" s="1621"/>
      <c r="G121" s="1621"/>
    </row>
    <row r="122" spans="1:7" ht="12" customHeight="1">
      <c r="A122" s="1620"/>
      <c r="B122" s="1620"/>
      <c r="C122" s="1621"/>
      <c r="D122" s="1621"/>
      <c r="E122" s="1621"/>
      <c r="F122" s="1621"/>
      <c r="G122" s="1621"/>
    </row>
    <row r="123" spans="1:7" ht="12" customHeight="1">
      <c r="A123" s="1620"/>
      <c r="B123" s="1620"/>
      <c r="C123" s="1621"/>
      <c r="D123" s="1621"/>
      <c r="E123" s="1621"/>
      <c r="F123" s="1621"/>
      <c r="G123" s="1621"/>
    </row>
    <row r="124" spans="1:7" ht="12" customHeight="1">
      <c r="A124" s="1620"/>
      <c r="B124" s="1620"/>
      <c r="C124" s="1621"/>
      <c r="D124" s="1621"/>
      <c r="E124" s="1621"/>
      <c r="F124" s="1621"/>
      <c r="G124" s="1621"/>
    </row>
    <row r="125" spans="1:7" ht="12" customHeight="1">
      <c r="A125" s="1620"/>
      <c r="B125" s="1620"/>
      <c r="C125" s="1621"/>
      <c r="D125" s="1621"/>
      <c r="E125" s="1621"/>
      <c r="F125" s="1621"/>
      <c r="G125" s="1621"/>
    </row>
    <row r="126" spans="1:7" ht="12" customHeight="1">
      <c r="A126" s="1620"/>
      <c r="B126" s="1620"/>
      <c r="C126" s="1621"/>
      <c r="D126" s="1621"/>
      <c r="E126" s="1621"/>
      <c r="F126" s="1621"/>
      <c r="G126" s="1621"/>
    </row>
    <row r="127" spans="1:7" ht="12" customHeight="1">
      <c r="A127" s="1620"/>
      <c r="B127" s="1620"/>
      <c r="C127" s="1621"/>
      <c r="D127" s="1621"/>
      <c r="E127" s="1621"/>
      <c r="F127" s="1621"/>
      <c r="G127" s="1621"/>
    </row>
    <row r="128" spans="1:7" ht="12" customHeight="1">
      <c r="A128" s="1620"/>
      <c r="B128" s="1620"/>
      <c r="C128" s="1621"/>
      <c r="D128" s="1621"/>
      <c r="E128" s="1621"/>
      <c r="F128" s="1621"/>
      <c r="G128" s="1621"/>
    </row>
    <row r="129" spans="1:7" ht="12" customHeight="1">
      <c r="A129" s="1620"/>
      <c r="B129" s="1620"/>
      <c r="C129" s="1621"/>
      <c r="D129" s="1621"/>
      <c r="E129" s="1621"/>
      <c r="F129" s="1621"/>
      <c r="G129" s="1621"/>
    </row>
    <row r="130" spans="1:7" ht="12" customHeight="1">
      <c r="A130" s="1620"/>
      <c r="B130" s="1620"/>
      <c r="C130" s="1621"/>
      <c r="D130" s="1621"/>
      <c r="E130" s="1621"/>
      <c r="F130" s="1621"/>
      <c r="G130" s="1621"/>
    </row>
    <row r="131" spans="1:7" ht="12" customHeight="1">
      <c r="A131" s="1620"/>
      <c r="B131" s="1620"/>
      <c r="C131" s="1621"/>
      <c r="D131" s="1621"/>
      <c r="E131" s="1621"/>
      <c r="F131" s="1621"/>
      <c r="G131" s="1621"/>
    </row>
    <row r="132" spans="1:7" ht="12" customHeight="1">
      <c r="A132" s="1620"/>
      <c r="B132" s="1620"/>
      <c r="C132" s="1621"/>
      <c r="D132" s="1621"/>
      <c r="E132" s="1621"/>
      <c r="F132" s="1621"/>
      <c r="G132" s="1621"/>
    </row>
    <row r="133" spans="1:7" ht="12" customHeight="1">
      <c r="A133" s="1620"/>
      <c r="B133" s="1620"/>
      <c r="C133" s="1621"/>
      <c r="D133" s="1621"/>
      <c r="E133" s="1621"/>
      <c r="F133" s="1621"/>
      <c r="G133" s="1621"/>
    </row>
    <row r="134" spans="1:7" ht="12" customHeight="1">
      <c r="A134" s="1620"/>
      <c r="B134" s="1620"/>
      <c r="C134" s="1621"/>
      <c r="D134" s="1621"/>
      <c r="E134" s="1621"/>
      <c r="F134" s="1621"/>
      <c r="G134" s="1621"/>
    </row>
    <row r="135" spans="1:7" ht="12" customHeight="1">
      <c r="A135" s="1620"/>
      <c r="B135" s="1620"/>
      <c r="C135" s="1621"/>
      <c r="D135" s="1621"/>
      <c r="E135" s="1621"/>
      <c r="F135" s="1621"/>
      <c r="G135" s="1621"/>
    </row>
    <row r="136" spans="1:7" ht="12" customHeight="1">
      <c r="A136" s="1620"/>
      <c r="B136" s="1620"/>
      <c r="C136" s="1621"/>
      <c r="D136" s="1621"/>
      <c r="E136" s="1621"/>
      <c r="F136" s="1621"/>
      <c r="G136" s="1621"/>
    </row>
    <row r="137" spans="1:7" ht="12" customHeight="1">
      <c r="A137" s="1620"/>
      <c r="B137" s="1620"/>
      <c r="C137" s="1621"/>
      <c r="D137" s="1621"/>
      <c r="E137" s="1621"/>
      <c r="F137" s="1621"/>
      <c r="G137" s="1621"/>
    </row>
    <row r="138" spans="1:7" ht="12" customHeight="1">
      <c r="A138" s="1620"/>
      <c r="B138" s="1620"/>
      <c r="C138" s="1621"/>
      <c r="D138" s="1621"/>
      <c r="E138" s="1621"/>
      <c r="F138" s="1621"/>
      <c r="G138" s="1621"/>
    </row>
    <row r="139" spans="1:7" ht="12" customHeight="1">
      <c r="A139" s="1620"/>
      <c r="B139" s="1620"/>
      <c r="C139" s="1621"/>
      <c r="D139" s="1621"/>
      <c r="E139" s="1621"/>
      <c r="F139" s="1621"/>
      <c r="G139" s="1621"/>
    </row>
    <row r="140" spans="1:7" ht="12" customHeight="1">
      <c r="A140" s="1620"/>
      <c r="B140" s="1620"/>
      <c r="C140" s="1621"/>
      <c r="D140" s="1621"/>
      <c r="E140" s="1621"/>
      <c r="F140" s="1621"/>
      <c r="G140" s="1621"/>
    </row>
    <row r="141" spans="1:7" ht="12" customHeight="1">
      <c r="A141" s="1620"/>
      <c r="B141" s="1620"/>
      <c r="C141" s="1621"/>
      <c r="D141" s="1621"/>
      <c r="E141" s="1621"/>
      <c r="F141" s="1621"/>
      <c r="G141" s="1621"/>
    </row>
    <row r="142" spans="1:7" ht="12" customHeight="1">
      <c r="A142" s="1620"/>
      <c r="B142" s="1620"/>
      <c r="C142" s="1621"/>
      <c r="D142" s="1621"/>
      <c r="E142" s="1621"/>
      <c r="F142" s="1621"/>
      <c r="G142" s="1621"/>
    </row>
    <row r="143" spans="1:7" ht="12" customHeight="1">
      <c r="A143" s="1620"/>
      <c r="B143" s="1620"/>
      <c r="C143" s="1621"/>
      <c r="D143" s="1621"/>
      <c r="E143" s="1621"/>
      <c r="F143" s="1621"/>
      <c r="G143" s="1621"/>
    </row>
    <row r="144" spans="1:7" ht="12" customHeight="1">
      <c r="A144" s="1620"/>
      <c r="B144" s="1620"/>
      <c r="C144" s="1621"/>
      <c r="D144" s="1621"/>
      <c r="E144" s="1621"/>
      <c r="F144" s="1621"/>
      <c r="G144" s="1621"/>
    </row>
    <row r="145" spans="1:7" ht="12" customHeight="1">
      <c r="A145" s="1620"/>
      <c r="B145" s="1620"/>
      <c r="C145" s="1621"/>
      <c r="D145" s="1621"/>
      <c r="E145" s="1621"/>
      <c r="F145" s="1621"/>
      <c r="G145" s="1621"/>
    </row>
    <row r="146" spans="1:7" ht="12" customHeight="1">
      <c r="A146" s="1620"/>
      <c r="B146" s="1620"/>
      <c r="C146" s="1621"/>
      <c r="D146" s="1621"/>
      <c r="E146" s="1621"/>
      <c r="F146" s="1621"/>
      <c r="G146" s="1621"/>
    </row>
    <row r="147" spans="1:7" ht="12" customHeight="1">
      <c r="A147" s="1620"/>
      <c r="B147" s="1620"/>
      <c r="C147" s="1621"/>
      <c r="D147" s="1621"/>
      <c r="E147" s="1621"/>
      <c r="F147" s="1621"/>
      <c r="G147" s="1621"/>
    </row>
    <row r="148" spans="1:7" ht="12" customHeight="1">
      <c r="A148" s="1620"/>
      <c r="B148" s="1620"/>
      <c r="C148" s="1621"/>
      <c r="D148" s="1621"/>
      <c r="E148" s="1621"/>
      <c r="F148" s="1621"/>
      <c r="G148" s="1621"/>
    </row>
    <row r="149" spans="1:7" ht="12" customHeight="1">
      <c r="A149" s="1620"/>
      <c r="B149" s="1620"/>
      <c r="C149" s="1621"/>
      <c r="D149" s="1621"/>
      <c r="E149" s="1621"/>
      <c r="F149" s="1621"/>
      <c r="G149" s="1621"/>
    </row>
    <row r="150" spans="1:7" ht="12" customHeight="1">
      <c r="A150" s="1620"/>
      <c r="B150" s="1620"/>
      <c r="C150" s="1621"/>
      <c r="D150" s="1621"/>
      <c r="E150" s="1621"/>
      <c r="F150" s="1621"/>
      <c r="G150" s="1621"/>
    </row>
    <row r="151" spans="1:7" ht="12" customHeight="1">
      <c r="A151" s="1620"/>
      <c r="B151" s="1620"/>
      <c r="C151" s="1621"/>
      <c r="D151" s="1621"/>
      <c r="E151" s="1621"/>
      <c r="F151" s="1621"/>
      <c r="G151" s="1621"/>
    </row>
    <row r="152" spans="1:7" ht="12" customHeight="1">
      <c r="A152" s="1620"/>
      <c r="B152" s="1620"/>
      <c r="C152" s="1621"/>
      <c r="D152" s="1621"/>
      <c r="E152" s="1621"/>
      <c r="F152" s="1621"/>
      <c r="G152" s="1621"/>
    </row>
    <row r="153" spans="1:7" ht="12" customHeight="1">
      <c r="A153" s="1620"/>
      <c r="B153" s="1620"/>
      <c r="C153" s="1621"/>
      <c r="D153" s="1621"/>
      <c r="E153" s="1621"/>
      <c r="F153" s="1621"/>
      <c r="G153" s="1621"/>
    </row>
    <row r="154" spans="1:7" ht="12" customHeight="1">
      <c r="A154" s="1620"/>
      <c r="B154" s="1620"/>
      <c r="C154" s="1621"/>
      <c r="D154" s="1621"/>
      <c r="E154" s="1621"/>
      <c r="F154" s="1621"/>
      <c r="G154" s="1621"/>
    </row>
    <row r="155" spans="1:7" ht="12" customHeight="1">
      <c r="A155" s="1620"/>
      <c r="B155" s="1620"/>
      <c r="C155" s="1621"/>
      <c r="D155" s="1621"/>
      <c r="E155" s="1621"/>
      <c r="F155" s="1621"/>
      <c r="G155" s="1621"/>
    </row>
    <row r="156" spans="1:7" ht="12" customHeight="1">
      <c r="A156" s="1620"/>
      <c r="B156" s="1620"/>
      <c r="C156" s="1621"/>
      <c r="D156" s="1621"/>
      <c r="E156" s="1621"/>
      <c r="F156" s="1621"/>
      <c r="G156" s="1621"/>
    </row>
    <row r="157" spans="1:7" ht="12" customHeight="1">
      <c r="A157" s="1620"/>
      <c r="B157" s="1620"/>
      <c r="C157" s="1621"/>
      <c r="D157" s="1621"/>
      <c r="E157" s="1621"/>
      <c r="F157" s="1621"/>
      <c r="G157" s="1621"/>
    </row>
    <row r="158" spans="1:7" ht="12" customHeight="1">
      <c r="A158" s="1620"/>
      <c r="B158" s="1620"/>
      <c r="C158" s="1621"/>
      <c r="D158" s="1621"/>
      <c r="E158" s="1621"/>
      <c r="F158" s="1621"/>
      <c r="G158" s="1621"/>
    </row>
    <row r="159" spans="1:7" ht="12" customHeight="1">
      <c r="A159" s="1620"/>
      <c r="B159" s="1620"/>
      <c r="C159" s="1621"/>
      <c r="D159" s="1621"/>
      <c r="E159" s="1621"/>
      <c r="F159" s="1621"/>
      <c r="G159" s="1621"/>
    </row>
    <row r="160" spans="1:7" ht="12" customHeight="1">
      <c r="A160" s="1620"/>
      <c r="B160" s="1620"/>
      <c r="C160" s="1621"/>
      <c r="D160" s="1621"/>
      <c r="E160" s="1621"/>
      <c r="F160" s="1621"/>
      <c r="G160" s="1621"/>
    </row>
    <row r="161" spans="1:7" ht="12" customHeight="1">
      <c r="A161" s="1620"/>
      <c r="B161" s="1620"/>
      <c r="C161" s="1621"/>
      <c r="D161" s="1621"/>
      <c r="E161" s="1621"/>
      <c r="F161" s="1621"/>
      <c r="G161" s="1621"/>
    </row>
    <row r="162" spans="1:7" ht="12" customHeight="1">
      <c r="A162" s="1620"/>
      <c r="B162" s="1620"/>
      <c r="C162" s="1621"/>
      <c r="D162" s="1621"/>
      <c r="E162" s="1621"/>
      <c r="F162" s="1621"/>
      <c r="G162" s="1621"/>
    </row>
    <row r="163" spans="1:7" ht="12" customHeight="1">
      <c r="A163" s="1620"/>
      <c r="B163" s="1620"/>
      <c r="C163" s="1621"/>
      <c r="D163" s="1621"/>
      <c r="E163" s="1621"/>
      <c r="F163" s="1621"/>
      <c r="G163" s="1621"/>
    </row>
    <row r="164" spans="1:7" ht="12" customHeight="1">
      <c r="A164" s="1620"/>
      <c r="B164" s="1620"/>
      <c r="C164" s="1621"/>
      <c r="D164" s="1621"/>
      <c r="E164" s="1621"/>
      <c r="F164" s="1621"/>
      <c r="G164" s="1621"/>
    </row>
    <row r="165" spans="1:7" ht="12" customHeight="1">
      <c r="A165" s="1620"/>
      <c r="B165" s="1620"/>
      <c r="C165" s="1621"/>
      <c r="D165" s="1621"/>
      <c r="E165" s="1621"/>
      <c r="F165" s="1621"/>
      <c r="G165" s="1621"/>
    </row>
    <row r="166" spans="1:7" ht="12" customHeight="1">
      <c r="A166" s="1620"/>
      <c r="B166" s="1620"/>
      <c r="C166" s="1621"/>
      <c r="D166" s="1621"/>
      <c r="E166" s="1621"/>
      <c r="F166" s="1621"/>
      <c r="G166" s="1621"/>
    </row>
    <row r="167" spans="1:7" ht="12" customHeight="1">
      <c r="A167" s="1620"/>
      <c r="B167" s="1620"/>
      <c r="C167" s="1621"/>
      <c r="D167" s="1621"/>
      <c r="E167" s="1621"/>
      <c r="F167" s="1621"/>
      <c r="G167" s="1621"/>
    </row>
    <row r="168" spans="1:7" ht="12" customHeight="1">
      <c r="A168" s="1620"/>
      <c r="B168" s="1620"/>
      <c r="C168" s="1621"/>
      <c r="D168" s="1621"/>
      <c r="E168" s="1621"/>
      <c r="F168" s="1621"/>
      <c r="G168" s="1621"/>
    </row>
    <row r="169" spans="1:7" ht="12" customHeight="1">
      <c r="A169" s="1620"/>
      <c r="B169" s="1620"/>
      <c r="C169" s="1621"/>
      <c r="D169" s="1621"/>
      <c r="E169" s="1621"/>
      <c r="F169" s="1621"/>
      <c r="G169" s="1621"/>
    </row>
    <row r="170" spans="1:7" ht="12" customHeight="1">
      <c r="A170" s="1620"/>
      <c r="B170" s="1620"/>
      <c r="C170" s="1621"/>
      <c r="D170" s="1621"/>
      <c r="E170" s="1621"/>
      <c r="F170" s="1621"/>
      <c r="G170" s="1621"/>
    </row>
    <row r="171" spans="1:7" ht="12" customHeight="1">
      <c r="A171" s="1620"/>
      <c r="B171" s="1620"/>
      <c r="C171" s="1621"/>
      <c r="D171" s="1621"/>
      <c r="E171" s="1621"/>
      <c r="F171" s="1621"/>
      <c r="G171" s="1621"/>
    </row>
    <row r="172" spans="1:7" ht="12" customHeight="1">
      <c r="A172" s="1620"/>
      <c r="B172" s="1620"/>
      <c r="C172" s="1621"/>
      <c r="D172" s="1621"/>
      <c r="E172" s="1621"/>
      <c r="F172" s="1621"/>
      <c r="G172" s="1621"/>
    </row>
    <row r="173" spans="1:7" ht="12" customHeight="1">
      <c r="A173" s="1620"/>
      <c r="B173" s="1620"/>
      <c r="C173" s="1621"/>
      <c r="D173" s="1621"/>
      <c r="E173" s="1621"/>
      <c r="F173" s="1621"/>
      <c r="G173" s="1621"/>
    </row>
    <row r="174" spans="1:7" ht="12" customHeight="1">
      <c r="A174" s="1620"/>
      <c r="B174" s="1620"/>
      <c r="C174" s="1621"/>
      <c r="D174" s="1621"/>
      <c r="E174" s="1621"/>
      <c r="F174" s="1621"/>
      <c r="G174" s="1621"/>
    </row>
    <row r="175" spans="1:7" ht="12" customHeight="1">
      <c r="A175" s="1620"/>
      <c r="B175" s="1620"/>
      <c r="C175" s="1621"/>
      <c r="D175" s="1621"/>
      <c r="E175" s="1621"/>
      <c r="F175" s="1621"/>
      <c r="G175" s="1621"/>
    </row>
    <row r="176" spans="1:7" ht="12" customHeight="1">
      <c r="A176" s="1620"/>
      <c r="B176" s="1620"/>
      <c r="C176" s="1621"/>
      <c r="D176" s="1621"/>
      <c r="E176" s="1621"/>
      <c r="F176" s="1621"/>
      <c r="G176" s="1621"/>
    </row>
    <row r="177" spans="1:7" ht="12" customHeight="1">
      <c r="A177" s="1620"/>
      <c r="B177" s="1620"/>
      <c r="C177" s="1621"/>
      <c r="D177" s="1621"/>
      <c r="E177" s="1621"/>
      <c r="F177" s="1621"/>
      <c r="G177" s="1621"/>
    </row>
    <row r="178" spans="1:7" ht="12" customHeight="1">
      <c r="A178" s="1620"/>
      <c r="B178" s="1620"/>
      <c r="C178" s="1621"/>
      <c r="D178" s="1621"/>
      <c r="E178" s="1621"/>
      <c r="F178" s="1621"/>
      <c r="G178" s="1621"/>
    </row>
    <row r="179" spans="1:7" ht="12" customHeight="1">
      <c r="A179" s="1620"/>
      <c r="B179" s="1620"/>
      <c r="C179" s="1621"/>
      <c r="D179" s="1621"/>
      <c r="E179" s="1621"/>
      <c r="F179" s="1621"/>
      <c r="G179" s="1621"/>
    </row>
    <row r="180" spans="1:7" ht="12" customHeight="1">
      <c r="A180" s="1620"/>
      <c r="B180" s="1620"/>
      <c r="C180" s="1621"/>
      <c r="D180" s="1621"/>
      <c r="E180" s="1621"/>
      <c r="F180" s="1621"/>
      <c r="G180" s="1621"/>
    </row>
    <row r="181" spans="1:7" ht="12" customHeight="1">
      <c r="A181" s="1620"/>
      <c r="B181" s="1620"/>
      <c r="C181" s="1621"/>
      <c r="D181" s="1621"/>
      <c r="E181" s="1621"/>
      <c r="F181" s="1621"/>
      <c r="G181" s="1621"/>
    </row>
    <row r="182" spans="1:7" ht="12" customHeight="1">
      <c r="A182" s="1620"/>
      <c r="B182" s="1620"/>
      <c r="C182" s="1621"/>
      <c r="D182" s="1621"/>
      <c r="E182" s="1621"/>
      <c r="F182" s="1621"/>
      <c r="G182" s="1621"/>
    </row>
    <row r="183" spans="1:7" ht="12" customHeight="1">
      <c r="A183" s="1620"/>
      <c r="B183" s="1620"/>
      <c r="C183" s="1621"/>
      <c r="D183" s="1621"/>
      <c r="E183" s="1621"/>
      <c r="F183" s="1621"/>
      <c r="G183" s="1621"/>
    </row>
    <row r="184" spans="1:7" ht="12" customHeight="1">
      <c r="A184" s="1620"/>
      <c r="B184" s="1620"/>
      <c r="C184" s="1621"/>
      <c r="D184" s="1621"/>
      <c r="E184" s="1621"/>
      <c r="F184" s="1621"/>
      <c r="G184" s="1621"/>
    </row>
    <row r="185" spans="1:7" ht="12" customHeight="1">
      <c r="A185" s="1620"/>
      <c r="B185" s="1620"/>
      <c r="C185" s="1621"/>
      <c r="D185" s="1621"/>
      <c r="E185" s="1621"/>
      <c r="F185" s="1621"/>
      <c r="G185" s="1621"/>
    </row>
    <row r="186" spans="1:7" ht="12" customHeight="1">
      <c r="A186" s="1620"/>
      <c r="B186" s="1620"/>
      <c r="C186" s="1621"/>
      <c r="D186" s="1621"/>
      <c r="E186" s="1621"/>
      <c r="F186" s="1621"/>
      <c r="G186" s="1621"/>
    </row>
    <row r="187" spans="1:7" ht="12" customHeight="1">
      <c r="A187" s="1620"/>
      <c r="B187" s="1620"/>
      <c r="C187" s="1621"/>
      <c r="D187" s="1621"/>
      <c r="E187" s="1621"/>
      <c r="F187" s="1621"/>
      <c r="G187" s="1621"/>
    </row>
    <row r="188" spans="1:7" ht="12" customHeight="1">
      <c r="A188" s="1620"/>
      <c r="B188" s="1620"/>
      <c r="C188" s="1621"/>
      <c r="D188" s="1621"/>
      <c r="E188" s="1621"/>
      <c r="F188" s="1621"/>
      <c r="G188" s="1621"/>
    </row>
    <row r="189" spans="1:7" ht="12" customHeight="1">
      <c r="A189" s="1620"/>
      <c r="B189" s="1620"/>
      <c r="C189" s="1621"/>
      <c r="D189" s="1621"/>
      <c r="E189" s="1621"/>
      <c r="F189" s="1621"/>
      <c r="G189" s="1621"/>
    </row>
    <row r="190" spans="1:7" ht="12" customHeight="1">
      <c r="A190" s="1620"/>
      <c r="B190" s="1620"/>
      <c r="C190" s="1621"/>
      <c r="D190" s="1621"/>
      <c r="E190" s="1621"/>
      <c r="F190" s="1621"/>
      <c r="G190" s="1621"/>
    </row>
    <row r="191" spans="1:7" ht="12" customHeight="1">
      <c r="A191" s="1620"/>
      <c r="B191" s="1620"/>
      <c r="C191" s="1621"/>
      <c r="D191" s="1621"/>
      <c r="E191" s="1621"/>
      <c r="F191" s="1621"/>
      <c r="G191" s="1621"/>
    </row>
    <row r="192" spans="1:7" ht="12" customHeight="1">
      <c r="A192" s="1620"/>
      <c r="B192" s="1620"/>
      <c r="C192" s="1621"/>
      <c r="D192" s="1621"/>
      <c r="E192" s="1621"/>
      <c r="F192" s="1621"/>
      <c r="G192" s="1621"/>
    </row>
    <row r="193" spans="1:7" ht="12" customHeight="1">
      <c r="A193" s="1620"/>
      <c r="B193" s="1620"/>
      <c r="C193" s="1621"/>
      <c r="D193" s="1621"/>
      <c r="E193" s="1621"/>
      <c r="F193" s="1621"/>
      <c r="G193" s="1621"/>
    </row>
    <row r="194" spans="1:7" ht="12" customHeight="1">
      <c r="A194" s="1620"/>
      <c r="B194" s="1620"/>
      <c r="C194" s="1621"/>
      <c r="D194" s="1621"/>
      <c r="E194" s="1621"/>
      <c r="F194" s="1621"/>
      <c r="G194" s="1621"/>
    </row>
    <row r="195" spans="1:7" ht="12" customHeight="1">
      <c r="A195" s="1620"/>
      <c r="B195" s="1620"/>
      <c r="C195" s="1621"/>
      <c r="D195" s="1621"/>
      <c r="E195" s="1621"/>
      <c r="F195" s="1621"/>
      <c r="G195" s="1621"/>
    </row>
    <row r="196" spans="1:7" ht="12" customHeight="1">
      <c r="A196" s="1620"/>
      <c r="B196" s="1620"/>
      <c r="C196" s="1621"/>
      <c r="D196" s="1621"/>
      <c r="E196" s="1621"/>
      <c r="F196" s="1621"/>
      <c r="G196" s="1621"/>
    </row>
    <row r="197" spans="1:7" ht="12" customHeight="1">
      <c r="A197" s="1620"/>
      <c r="B197" s="1620"/>
      <c r="C197" s="1621"/>
      <c r="D197" s="1621"/>
      <c r="E197" s="1621"/>
      <c r="F197" s="1621"/>
      <c r="G197" s="1621"/>
    </row>
    <row r="198" spans="1:7" ht="12" customHeight="1">
      <c r="A198" s="1620"/>
      <c r="B198" s="1620"/>
      <c r="C198" s="1621"/>
      <c r="D198" s="1621"/>
      <c r="E198" s="1621"/>
      <c r="F198" s="1621"/>
      <c r="G198" s="1621"/>
    </row>
    <row r="199" spans="1:7" ht="12" customHeight="1">
      <c r="A199" s="1620"/>
      <c r="B199" s="1620"/>
      <c r="C199" s="1621"/>
      <c r="D199" s="1621"/>
      <c r="E199" s="1621"/>
      <c r="F199" s="1621"/>
      <c r="G199" s="1621"/>
    </row>
    <row r="200" spans="1:7" ht="12" customHeight="1">
      <c r="A200" s="1620"/>
      <c r="B200" s="1620"/>
      <c r="C200" s="1621"/>
      <c r="D200" s="1621"/>
      <c r="E200" s="1621"/>
      <c r="F200" s="1621"/>
      <c r="G200" s="1621"/>
    </row>
    <row r="201" spans="1:7" ht="12" customHeight="1">
      <c r="A201" s="1620"/>
      <c r="B201" s="1620"/>
      <c r="C201" s="1621"/>
      <c r="D201" s="1621"/>
      <c r="E201" s="1621"/>
      <c r="F201" s="1621"/>
      <c r="G201" s="1621"/>
    </row>
    <row r="202" spans="1:7" ht="12" customHeight="1">
      <c r="A202" s="1620"/>
      <c r="B202" s="1620"/>
      <c r="C202" s="1621"/>
      <c r="D202" s="1621"/>
      <c r="E202" s="1621"/>
      <c r="F202" s="1621"/>
      <c r="G202" s="1621"/>
    </row>
    <row r="203" spans="1:7" ht="12" customHeight="1">
      <c r="A203" s="1620"/>
      <c r="B203" s="1620"/>
      <c r="C203" s="1621"/>
      <c r="D203" s="1621"/>
      <c r="E203" s="1621"/>
      <c r="F203" s="1621"/>
      <c r="G203" s="1621"/>
    </row>
    <row r="204" spans="1:7" ht="12" customHeight="1">
      <c r="A204" s="1620"/>
      <c r="B204" s="1620"/>
      <c r="C204" s="1621"/>
      <c r="D204" s="1621"/>
      <c r="E204" s="1621"/>
      <c r="F204" s="1621"/>
      <c r="G204" s="1621"/>
    </row>
    <row r="205" spans="1:7" ht="12" customHeight="1">
      <c r="A205" s="1620"/>
      <c r="B205" s="1620"/>
      <c r="C205" s="1621"/>
      <c r="D205" s="1621"/>
      <c r="E205" s="1621"/>
      <c r="F205" s="1621"/>
      <c r="G205" s="1621"/>
    </row>
    <row r="206" spans="1:7" ht="12" customHeight="1">
      <c r="A206" s="1620"/>
      <c r="B206" s="1620"/>
      <c r="C206" s="1621"/>
      <c r="D206" s="1621"/>
      <c r="E206" s="1621"/>
      <c r="F206" s="1621"/>
      <c r="G206" s="1621"/>
    </row>
    <row r="207" spans="1:7" ht="12" customHeight="1">
      <c r="A207" s="1620"/>
      <c r="B207" s="1620"/>
      <c r="C207" s="1621"/>
      <c r="D207" s="1621"/>
      <c r="E207" s="1621"/>
      <c r="F207" s="1621"/>
      <c r="G207" s="1621"/>
    </row>
    <row r="208" spans="1:7" ht="12" customHeight="1">
      <c r="A208" s="1620"/>
      <c r="B208" s="1620"/>
      <c r="C208" s="1621"/>
      <c r="D208" s="1621"/>
      <c r="E208" s="1621"/>
      <c r="F208" s="1621"/>
      <c r="G208" s="1621"/>
    </row>
    <row r="209" spans="1:7" ht="12" customHeight="1">
      <c r="A209" s="1620"/>
      <c r="B209" s="1620"/>
      <c r="C209" s="1621"/>
      <c r="D209" s="1621"/>
      <c r="E209" s="1621"/>
      <c r="F209" s="1621"/>
      <c r="G209" s="1621"/>
    </row>
    <row r="210" spans="1:7" ht="12" customHeight="1">
      <c r="A210" s="1620"/>
      <c r="B210" s="1620"/>
      <c r="C210" s="1621"/>
      <c r="D210" s="1621"/>
      <c r="E210" s="1621"/>
      <c r="F210" s="1621"/>
      <c r="G210" s="1621"/>
    </row>
    <row r="211" spans="1:7" ht="12" customHeight="1">
      <c r="A211" s="1620"/>
      <c r="B211" s="1620"/>
      <c r="C211" s="1621"/>
      <c r="D211" s="1621"/>
      <c r="E211" s="1621"/>
      <c r="F211" s="1621"/>
      <c r="G211" s="1621"/>
    </row>
    <row r="212" spans="1:7" ht="12" customHeight="1">
      <c r="A212" s="1620"/>
      <c r="B212" s="1620"/>
      <c r="C212" s="1621"/>
      <c r="D212" s="1621"/>
      <c r="E212" s="1621"/>
      <c r="F212" s="1621"/>
      <c r="G212" s="1621"/>
    </row>
    <row r="213" spans="1:7" ht="12" customHeight="1">
      <c r="A213" s="1620"/>
      <c r="B213" s="1620"/>
      <c r="C213" s="1621"/>
      <c r="D213" s="1621"/>
      <c r="E213" s="1621"/>
      <c r="F213" s="1621"/>
      <c r="G213" s="1621"/>
    </row>
    <row r="214" spans="1:7" ht="12" customHeight="1">
      <c r="A214" s="1620"/>
      <c r="B214" s="1620"/>
      <c r="C214" s="1621"/>
      <c r="D214" s="1621"/>
      <c r="E214" s="1621"/>
      <c r="F214" s="1621"/>
      <c r="G214" s="1621"/>
    </row>
    <row r="215" spans="1:7" ht="12" customHeight="1">
      <c r="A215" s="1620"/>
      <c r="B215" s="1620"/>
      <c r="C215" s="1621"/>
      <c r="D215" s="1621"/>
      <c r="E215" s="1621"/>
      <c r="F215" s="1621"/>
      <c r="G215" s="1621"/>
    </row>
    <row r="216" spans="1:7" ht="12" customHeight="1">
      <c r="A216" s="1620"/>
      <c r="B216" s="1620"/>
      <c r="C216" s="1621"/>
      <c r="D216" s="1621"/>
      <c r="E216" s="1621"/>
      <c r="F216" s="1621"/>
      <c r="G216" s="1621"/>
    </row>
    <row r="217" spans="1:7" ht="12" customHeight="1">
      <c r="A217" s="1620"/>
      <c r="B217" s="1620"/>
      <c r="C217" s="1621"/>
      <c r="D217" s="1621"/>
      <c r="E217" s="1621"/>
      <c r="F217" s="1621"/>
      <c r="G217" s="1621"/>
    </row>
    <row r="218" spans="1:7" ht="12" customHeight="1">
      <c r="A218" s="1620"/>
      <c r="B218" s="1620"/>
      <c r="C218" s="1621"/>
      <c r="D218" s="1621"/>
      <c r="E218" s="1621"/>
      <c r="F218" s="1621"/>
      <c r="G218" s="1621"/>
    </row>
    <row r="219" spans="1:7" ht="12" customHeight="1">
      <c r="A219" s="1620"/>
      <c r="B219" s="1620"/>
      <c r="C219" s="1621"/>
      <c r="D219" s="1621"/>
      <c r="E219" s="1621"/>
      <c r="F219" s="1621"/>
      <c r="G219" s="1621"/>
    </row>
    <row r="220" spans="1:7" ht="12" customHeight="1">
      <c r="A220" s="1620"/>
      <c r="B220" s="1620"/>
      <c r="C220" s="1621"/>
      <c r="D220" s="1621"/>
      <c r="E220" s="1621"/>
      <c r="F220" s="1621"/>
      <c r="G220" s="1621"/>
    </row>
    <row r="221" spans="1:7" ht="12" customHeight="1">
      <c r="A221" s="1620"/>
      <c r="B221" s="1620"/>
      <c r="C221" s="1621"/>
      <c r="D221" s="1621"/>
      <c r="E221" s="1621"/>
      <c r="F221" s="1621"/>
      <c r="G221" s="1621"/>
    </row>
    <row r="222" spans="1:7" ht="12" customHeight="1">
      <c r="A222" s="1620"/>
      <c r="B222" s="1620"/>
      <c r="C222" s="1621"/>
      <c r="D222" s="1621"/>
      <c r="E222" s="1621"/>
      <c r="F222" s="1621"/>
      <c r="G222" s="1621"/>
    </row>
    <row r="223" spans="1:7" ht="12" customHeight="1">
      <c r="A223" s="1620"/>
      <c r="B223" s="1620"/>
      <c r="C223" s="1621"/>
      <c r="D223" s="1621"/>
      <c r="E223" s="1621"/>
      <c r="F223" s="1621"/>
      <c r="G223" s="1621"/>
    </row>
    <row r="224" spans="1:7" ht="12" customHeight="1">
      <c r="A224" s="1620"/>
      <c r="B224" s="1620"/>
      <c r="C224" s="1621"/>
      <c r="D224" s="1621"/>
      <c r="E224" s="1621"/>
      <c r="F224" s="1621"/>
      <c r="G224" s="1621"/>
    </row>
    <row r="225" spans="1:7" ht="12" customHeight="1">
      <c r="A225" s="1620"/>
      <c r="B225" s="1620"/>
      <c r="C225" s="1621"/>
      <c r="D225" s="1621"/>
      <c r="E225" s="1621"/>
      <c r="F225" s="1621"/>
      <c r="G225" s="1621"/>
    </row>
    <row r="226" spans="1:7" ht="12" customHeight="1">
      <c r="A226" s="1620"/>
      <c r="B226" s="1620"/>
      <c r="C226" s="1621"/>
      <c r="D226" s="1621"/>
      <c r="E226" s="1621"/>
      <c r="F226" s="1621"/>
      <c r="G226" s="1621"/>
    </row>
    <row r="227" spans="1:7" ht="12" customHeight="1">
      <c r="A227" s="1620"/>
      <c r="B227" s="1620"/>
      <c r="C227" s="1621"/>
      <c r="D227" s="1621"/>
      <c r="E227" s="1621"/>
      <c r="F227" s="1621"/>
      <c r="G227" s="1621"/>
    </row>
    <row r="228" spans="1:7" ht="12" customHeight="1">
      <c r="A228" s="1620"/>
      <c r="B228" s="1620"/>
      <c r="C228" s="1621"/>
      <c r="D228" s="1621"/>
      <c r="E228" s="1621"/>
      <c r="F228" s="1621"/>
      <c r="G228" s="1621"/>
    </row>
    <row r="229" spans="1:7" ht="12" customHeight="1">
      <c r="A229" s="1620"/>
      <c r="B229" s="1620"/>
      <c r="C229" s="1621"/>
      <c r="D229" s="1621"/>
      <c r="E229" s="1621"/>
      <c r="F229" s="1621"/>
      <c r="G229" s="1621"/>
    </row>
    <row r="230" spans="1:7" ht="12" customHeight="1">
      <c r="A230" s="1620"/>
      <c r="B230" s="1620"/>
      <c r="C230" s="1621"/>
      <c r="D230" s="1621"/>
      <c r="E230" s="1621"/>
      <c r="F230" s="1621"/>
      <c r="G230" s="1621"/>
    </row>
    <row r="231" spans="1:7" ht="12" customHeight="1">
      <c r="A231" s="1620"/>
      <c r="B231" s="1620"/>
      <c r="C231" s="1621"/>
      <c r="D231" s="1621"/>
      <c r="E231" s="1621"/>
      <c r="F231" s="1621"/>
      <c r="G231" s="1621"/>
    </row>
    <row r="232" spans="1:7" ht="12" customHeight="1">
      <c r="A232" s="1620"/>
      <c r="B232" s="1620"/>
      <c r="C232" s="1621"/>
      <c r="D232" s="1621"/>
      <c r="E232" s="1621"/>
      <c r="F232" s="1621"/>
      <c r="G232" s="1621"/>
    </row>
    <row r="233" spans="1:7" ht="12" customHeight="1">
      <c r="A233" s="1620"/>
      <c r="B233" s="1620"/>
      <c r="C233" s="1621"/>
      <c r="D233" s="1621"/>
      <c r="E233" s="1621"/>
      <c r="F233" s="1621"/>
      <c r="G233" s="1621"/>
    </row>
    <row r="234" spans="1:7" ht="12" customHeight="1">
      <c r="A234" s="1620"/>
      <c r="B234" s="1620"/>
      <c r="C234" s="1621"/>
      <c r="D234" s="1621"/>
      <c r="E234" s="1621"/>
      <c r="F234" s="1621"/>
      <c r="G234" s="1621"/>
    </row>
    <row r="235" spans="1:7" ht="12" customHeight="1">
      <c r="A235" s="1620"/>
      <c r="B235" s="1620"/>
      <c r="C235" s="1621"/>
      <c r="D235" s="1621"/>
      <c r="E235" s="1621"/>
      <c r="F235" s="1621"/>
      <c r="G235" s="1621"/>
    </row>
    <row r="236" spans="1:7" ht="12" customHeight="1">
      <c r="A236" s="1620"/>
      <c r="B236" s="1620"/>
      <c r="C236" s="1621"/>
      <c r="D236" s="1621"/>
      <c r="E236" s="1621"/>
      <c r="F236" s="1621"/>
      <c r="G236" s="1621"/>
    </row>
    <row r="237" spans="1:7" ht="12" customHeight="1">
      <c r="A237" s="1620"/>
      <c r="B237" s="1620"/>
      <c r="C237" s="1621"/>
      <c r="D237" s="1621"/>
      <c r="E237" s="1621"/>
      <c r="F237" s="1621"/>
      <c r="G237" s="1621"/>
    </row>
    <row r="238" spans="1:7" ht="12" customHeight="1">
      <c r="A238" s="1620"/>
      <c r="B238" s="1620"/>
      <c r="C238" s="1621"/>
      <c r="D238" s="1621"/>
      <c r="E238" s="1621"/>
      <c r="F238" s="1621"/>
      <c r="G238" s="1621"/>
    </row>
    <row r="239" spans="1:7" ht="12" customHeight="1">
      <c r="A239" s="1620"/>
      <c r="B239" s="1620"/>
      <c r="C239" s="1621"/>
      <c r="D239" s="1621"/>
      <c r="E239" s="1621"/>
      <c r="F239" s="1621"/>
      <c r="G239" s="1621"/>
    </row>
    <row r="240" spans="1:7" ht="12" customHeight="1">
      <c r="A240" s="1620"/>
      <c r="B240" s="1620"/>
      <c r="C240" s="1621"/>
      <c r="D240" s="1621"/>
      <c r="E240" s="1621"/>
      <c r="F240" s="1621"/>
      <c r="G240" s="1621"/>
    </row>
    <row r="241" spans="1:7" ht="12" customHeight="1">
      <c r="A241" s="1620"/>
      <c r="B241" s="1620"/>
      <c r="C241" s="1621"/>
      <c r="D241" s="1621"/>
      <c r="E241" s="1621"/>
      <c r="F241" s="1621"/>
      <c r="G241" s="1621"/>
    </row>
    <row r="242" spans="1:7" ht="12" customHeight="1">
      <c r="A242" s="1620"/>
      <c r="B242" s="1620"/>
      <c r="C242" s="1621"/>
      <c r="D242" s="1621"/>
      <c r="E242" s="1621"/>
      <c r="F242" s="1621"/>
      <c r="G242" s="1621"/>
    </row>
    <row r="243" spans="1:7" ht="12" customHeight="1">
      <c r="A243" s="1620"/>
      <c r="B243" s="1620"/>
      <c r="C243" s="1621"/>
      <c r="D243" s="1621"/>
      <c r="E243" s="1621"/>
      <c r="F243" s="1621"/>
      <c r="G243" s="1621"/>
    </row>
    <row r="244" spans="1:7" ht="12" customHeight="1">
      <c r="A244" s="1620"/>
      <c r="B244" s="1620"/>
      <c r="C244" s="1621"/>
      <c r="D244" s="1621"/>
      <c r="E244" s="1621"/>
      <c r="F244" s="1621"/>
      <c r="G244" s="1621"/>
    </row>
    <row r="245" spans="1:7" ht="12" customHeight="1">
      <c r="A245" s="1620"/>
      <c r="B245" s="1620"/>
      <c r="C245" s="1621"/>
      <c r="D245" s="1621"/>
      <c r="E245" s="1621"/>
      <c r="F245" s="1621"/>
      <c r="G245" s="1621"/>
    </row>
    <row r="246" spans="1:7" ht="12" customHeight="1">
      <c r="A246" s="1620"/>
      <c r="B246" s="1620"/>
      <c r="C246" s="1621"/>
      <c r="D246" s="1621"/>
      <c r="E246" s="1621"/>
      <c r="F246" s="1621"/>
      <c r="G246" s="1621"/>
    </row>
    <row r="247" spans="1:7" ht="12" customHeight="1">
      <c r="A247" s="1620"/>
      <c r="B247" s="1620"/>
      <c r="C247" s="1621"/>
      <c r="D247" s="1621"/>
      <c r="E247" s="1621"/>
      <c r="F247" s="1621"/>
      <c r="G247" s="1621"/>
    </row>
    <row r="248" spans="1:7" ht="12" customHeight="1">
      <c r="A248" s="1620"/>
      <c r="B248" s="1620"/>
      <c r="C248" s="1621"/>
      <c r="D248" s="1621"/>
      <c r="E248" s="1621"/>
      <c r="F248" s="1621"/>
      <c r="G248" s="1621"/>
    </row>
    <row r="249" spans="1:7" ht="12" customHeight="1">
      <c r="A249" s="1620"/>
      <c r="B249" s="1620"/>
      <c r="C249" s="1621"/>
      <c r="D249" s="1621"/>
      <c r="E249" s="1621"/>
      <c r="F249" s="1621"/>
      <c r="G249" s="1621"/>
    </row>
    <row r="250" spans="1:7" ht="12" customHeight="1">
      <c r="A250" s="1620"/>
      <c r="B250" s="1620"/>
      <c r="C250" s="1621"/>
      <c r="D250" s="1621"/>
      <c r="E250" s="1621"/>
      <c r="F250" s="1621"/>
      <c r="G250" s="1621"/>
    </row>
    <row r="251" spans="1:7" ht="12" customHeight="1">
      <c r="A251" s="1620"/>
      <c r="B251" s="1620"/>
      <c r="C251" s="1621"/>
      <c r="D251" s="1621"/>
      <c r="E251" s="1621"/>
      <c r="F251" s="1621"/>
      <c r="G251" s="1621"/>
    </row>
    <row r="252" spans="1:7" ht="12" customHeight="1">
      <c r="A252" s="1620"/>
      <c r="B252" s="1620"/>
      <c r="C252" s="1621"/>
      <c r="D252" s="1621"/>
      <c r="E252" s="1621"/>
      <c r="F252" s="1621"/>
      <c r="G252" s="1621"/>
    </row>
    <row r="253" spans="1:7" ht="12" customHeight="1">
      <c r="A253" s="1620"/>
      <c r="B253" s="1620"/>
      <c r="C253" s="1621"/>
      <c r="D253" s="1621"/>
      <c r="E253" s="1621"/>
      <c r="F253" s="1621"/>
      <c r="G253" s="1621"/>
    </row>
    <row r="254" spans="1:7" ht="12" customHeight="1">
      <c r="A254" s="1620"/>
      <c r="B254" s="1620"/>
      <c r="C254" s="1621"/>
      <c r="D254" s="1621"/>
      <c r="E254" s="1621"/>
      <c r="F254" s="1621"/>
      <c r="G254" s="1621"/>
    </row>
    <row r="255" spans="1:7" ht="12" customHeight="1">
      <c r="A255" s="1620"/>
      <c r="B255" s="1620"/>
      <c r="C255" s="1621"/>
      <c r="D255" s="1621"/>
      <c r="E255" s="1621"/>
      <c r="F255" s="1621"/>
      <c r="G255" s="1621"/>
    </row>
    <row r="256" spans="1:7" ht="12" customHeight="1">
      <c r="A256" s="1620"/>
      <c r="B256" s="1620"/>
      <c r="C256" s="1621"/>
      <c r="D256" s="1621"/>
      <c r="E256" s="1621"/>
      <c r="F256" s="1621"/>
      <c r="G256" s="1621"/>
    </row>
    <row r="257" spans="1:7" ht="12" customHeight="1">
      <c r="A257" s="1620"/>
      <c r="B257" s="1620"/>
      <c r="C257" s="1621"/>
      <c r="D257" s="1621"/>
      <c r="E257" s="1621"/>
      <c r="F257" s="1621"/>
      <c r="G257" s="1621"/>
    </row>
    <row r="258" spans="1:7" ht="12" customHeight="1">
      <c r="A258" s="1620"/>
      <c r="B258" s="1620"/>
      <c r="C258" s="1621"/>
      <c r="D258" s="1621"/>
      <c r="E258" s="1621"/>
      <c r="F258" s="1621"/>
      <c r="G258" s="1621"/>
    </row>
    <row r="259" spans="1:7" ht="12" customHeight="1">
      <c r="A259" s="1620"/>
      <c r="B259" s="1620"/>
      <c r="C259" s="1621"/>
      <c r="D259" s="1621"/>
      <c r="E259" s="1621"/>
      <c r="F259" s="1621"/>
      <c r="G259" s="1621"/>
    </row>
    <row r="260" spans="1:7" ht="12" customHeight="1">
      <c r="A260" s="1620"/>
      <c r="B260" s="1620"/>
      <c r="C260" s="1621"/>
      <c r="D260" s="1621"/>
      <c r="E260" s="1621"/>
      <c r="F260" s="1621"/>
      <c r="G260" s="1621"/>
    </row>
    <row r="261" spans="1:7" ht="12" customHeight="1">
      <c r="A261" s="1620"/>
      <c r="B261" s="1620"/>
      <c r="C261" s="1621"/>
      <c r="D261" s="1621"/>
      <c r="E261" s="1621"/>
      <c r="F261" s="1621"/>
      <c r="G261" s="1621"/>
    </row>
    <row r="262" spans="1:7" ht="12" customHeight="1">
      <c r="A262" s="1620"/>
      <c r="B262" s="1620"/>
      <c r="C262" s="1621"/>
      <c r="D262" s="1621"/>
      <c r="E262" s="1621"/>
      <c r="F262" s="1621"/>
      <c r="G262" s="1621"/>
    </row>
    <row r="263" spans="1:7" ht="12" customHeight="1">
      <c r="A263" s="1620"/>
      <c r="B263" s="1620"/>
      <c r="C263" s="1621"/>
      <c r="D263" s="1621"/>
      <c r="E263" s="1621"/>
      <c r="F263" s="1621"/>
      <c r="G263" s="1621"/>
    </row>
    <row r="264" spans="1:7" ht="12" customHeight="1">
      <c r="A264" s="1620"/>
      <c r="B264" s="1620"/>
      <c r="C264" s="1621"/>
      <c r="D264" s="1621"/>
      <c r="E264" s="1621"/>
      <c r="F264" s="1621"/>
      <c r="G264" s="1621"/>
    </row>
    <row r="265" spans="1:7" ht="12" customHeight="1">
      <c r="A265" s="1620"/>
      <c r="B265" s="1620"/>
      <c r="C265" s="1621"/>
      <c r="D265" s="1621"/>
      <c r="E265" s="1621"/>
      <c r="F265" s="1621"/>
      <c r="G265" s="1621"/>
    </row>
    <row r="266" spans="1:7" ht="12" customHeight="1">
      <c r="A266" s="1620"/>
      <c r="B266" s="1620"/>
      <c r="C266" s="1621"/>
      <c r="D266" s="1621"/>
      <c r="E266" s="1621"/>
      <c r="F266" s="1621"/>
      <c r="G266" s="1621"/>
    </row>
    <row r="267" spans="1:7" ht="12" customHeight="1">
      <c r="A267" s="1620"/>
      <c r="B267" s="1620"/>
      <c r="C267" s="1621"/>
      <c r="D267" s="1621"/>
      <c r="E267" s="1621"/>
      <c r="F267" s="1621"/>
      <c r="G267" s="1621"/>
    </row>
    <row r="268" spans="1:7" ht="12" customHeight="1">
      <c r="A268" s="1620"/>
      <c r="B268" s="1620"/>
      <c r="C268" s="1621"/>
      <c r="D268" s="1621"/>
      <c r="E268" s="1621"/>
      <c r="F268" s="1621"/>
      <c r="G268" s="1621"/>
    </row>
    <row r="269" spans="1:7" ht="12" customHeight="1">
      <c r="A269" s="1620"/>
      <c r="B269" s="1620"/>
      <c r="C269" s="1621"/>
      <c r="D269" s="1621"/>
      <c r="E269" s="1621"/>
      <c r="F269" s="1621"/>
      <c r="G269" s="1621"/>
    </row>
    <row r="270" spans="1:7" ht="12" customHeight="1">
      <c r="A270" s="1620"/>
      <c r="B270" s="1620"/>
      <c r="C270" s="1621"/>
      <c r="D270" s="1621"/>
      <c r="E270" s="1621"/>
      <c r="F270" s="1621"/>
      <c r="G270" s="1621"/>
    </row>
    <row r="271" spans="1:7" ht="12" customHeight="1">
      <c r="A271" s="1620"/>
      <c r="B271" s="1620"/>
      <c r="C271" s="1621"/>
      <c r="D271" s="1621"/>
      <c r="E271" s="1621"/>
      <c r="F271" s="1621"/>
      <c r="G271" s="1621"/>
    </row>
    <row r="272" spans="1:7" ht="12" customHeight="1">
      <c r="A272" s="1620"/>
      <c r="B272" s="1620"/>
      <c r="C272" s="1621"/>
      <c r="D272" s="1621"/>
      <c r="E272" s="1621"/>
      <c r="F272" s="1621"/>
      <c r="G272" s="1621"/>
    </row>
    <row r="273" spans="1:7" ht="12" customHeight="1">
      <c r="A273" s="1620"/>
      <c r="B273" s="1620"/>
      <c r="C273" s="1621"/>
      <c r="D273" s="1621"/>
      <c r="E273" s="1621"/>
      <c r="F273" s="1621"/>
      <c r="G273" s="1621"/>
    </row>
    <row r="274" spans="1:7" ht="12" customHeight="1">
      <c r="A274" s="1620"/>
      <c r="B274" s="1620"/>
      <c r="C274" s="1621"/>
      <c r="D274" s="1621"/>
      <c r="E274" s="1621"/>
      <c r="F274" s="1621"/>
      <c r="G274" s="1621"/>
    </row>
    <row r="275" spans="1:7" ht="12" customHeight="1">
      <c r="A275" s="1620"/>
      <c r="B275" s="1620"/>
      <c r="C275" s="1621"/>
      <c r="D275" s="1621"/>
      <c r="E275" s="1621"/>
      <c r="F275" s="1621"/>
      <c r="G275" s="1621"/>
    </row>
    <row r="276" spans="1:7" ht="12" customHeight="1">
      <c r="A276" s="1620"/>
      <c r="B276" s="1620"/>
      <c r="C276" s="1621"/>
      <c r="D276" s="1621"/>
      <c r="E276" s="1621"/>
      <c r="F276" s="1621"/>
      <c r="G276" s="1621"/>
    </row>
    <row r="277" spans="1:7" ht="12" customHeight="1">
      <c r="A277" s="1620"/>
      <c r="B277" s="1620"/>
      <c r="C277" s="1621"/>
      <c r="D277" s="1621"/>
      <c r="E277" s="1621"/>
      <c r="F277" s="1621"/>
      <c r="G277" s="1621"/>
    </row>
    <row r="278" spans="1:7" ht="12" customHeight="1">
      <c r="A278" s="1620"/>
      <c r="B278" s="1620"/>
      <c r="C278" s="1621"/>
      <c r="D278" s="1621"/>
      <c r="E278" s="1621"/>
      <c r="F278" s="1621"/>
      <c r="G278" s="1621"/>
    </row>
    <row r="279" spans="1:7" ht="12" customHeight="1">
      <c r="A279" s="1620"/>
      <c r="B279" s="1620"/>
      <c r="C279" s="1621"/>
      <c r="D279" s="1621"/>
      <c r="E279" s="1621"/>
      <c r="F279" s="1621"/>
      <c r="G279" s="1621"/>
    </row>
    <row r="280" spans="1:7" ht="12" customHeight="1">
      <c r="A280" s="1620"/>
      <c r="B280" s="1620"/>
      <c r="C280" s="1621"/>
      <c r="D280" s="1621"/>
      <c r="E280" s="1621"/>
      <c r="F280" s="1621"/>
      <c r="G280" s="1621"/>
    </row>
    <row r="281" spans="1:7" ht="12" customHeight="1">
      <c r="A281" s="1620"/>
      <c r="B281" s="1620"/>
      <c r="C281" s="1621"/>
      <c r="D281" s="1621"/>
      <c r="E281" s="1621"/>
      <c r="F281" s="1621"/>
      <c r="G281" s="1621"/>
    </row>
    <row r="282" spans="1:7" ht="12" customHeight="1">
      <c r="A282" s="1620"/>
      <c r="B282" s="1620"/>
      <c r="C282" s="1621"/>
      <c r="D282" s="1621"/>
      <c r="E282" s="1621"/>
      <c r="F282" s="1621"/>
      <c r="G282" s="1621"/>
    </row>
    <row r="283" spans="1:7" ht="12" customHeight="1">
      <c r="A283" s="1620"/>
      <c r="B283" s="1620"/>
      <c r="C283" s="1621"/>
      <c r="D283" s="1621"/>
      <c r="E283" s="1621"/>
      <c r="F283" s="1621"/>
      <c r="G283" s="1621"/>
    </row>
    <row r="284" spans="1:7" ht="12" customHeight="1">
      <c r="A284" s="1620"/>
      <c r="B284" s="1620"/>
      <c r="C284" s="1621"/>
      <c r="D284" s="1621"/>
      <c r="E284" s="1621"/>
      <c r="F284" s="1621"/>
      <c r="G284" s="1621"/>
    </row>
    <row r="285" spans="1:7" ht="12" customHeight="1">
      <c r="A285" s="1620"/>
      <c r="B285" s="1620"/>
      <c r="C285" s="1621"/>
      <c r="D285" s="1621"/>
      <c r="E285" s="1621"/>
      <c r="F285" s="1621"/>
      <c r="G285" s="1621"/>
    </row>
    <row r="286" spans="1:7" ht="12" customHeight="1">
      <c r="A286" s="1620"/>
      <c r="B286" s="1620"/>
      <c r="C286" s="1621"/>
      <c r="D286" s="1621"/>
      <c r="E286" s="1621"/>
      <c r="F286" s="1621"/>
      <c r="G286" s="1621"/>
    </row>
    <row r="287" spans="1:7" ht="12" customHeight="1">
      <c r="A287" s="1620"/>
      <c r="B287" s="1620"/>
      <c r="C287" s="1621"/>
      <c r="D287" s="1621"/>
      <c r="E287" s="1621"/>
      <c r="F287" s="1621"/>
      <c r="G287" s="1621"/>
    </row>
    <row r="288" spans="1:7" ht="12" customHeight="1">
      <c r="A288" s="1620"/>
      <c r="B288" s="1620"/>
      <c r="C288" s="1621"/>
      <c r="D288" s="1621"/>
      <c r="E288" s="1621"/>
      <c r="F288" s="1621"/>
      <c r="G288" s="1621"/>
    </row>
    <row r="289" spans="1:7" ht="12" customHeight="1">
      <c r="A289" s="1620"/>
      <c r="B289" s="1620"/>
      <c r="C289" s="1621"/>
      <c r="D289" s="1621"/>
      <c r="E289" s="1621"/>
      <c r="F289" s="1621"/>
      <c r="G289" s="1621"/>
    </row>
    <row r="290" spans="1:7" ht="12" customHeight="1">
      <c r="A290" s="1620"/>
      <c r="B290" s="1620"/>
      <c r="C290" s="1621"/>
      <c r="D290" s="1621"/>
      <c r="E290" s="1621"/>
      <c r="F290" s="1621"/>
      <c r="G290" s="1621"/>
    </row>
    <row r="291" spans="1:7" ht="12" customHeight="1">
      <c r="A291" s="1620"/>
      <c r="B291" s="1620"/>
      <c r="C291" s="1621"/>
      <c r="D291" s="1621"/>
      <c r="E291" s="1621"/>
      <c r="F291" s="1621"/>
      <c r="G291" s="1621"/>
    </row>
    <row r="292" spans="1:7" ht="12" customHeight="1">
      <c r="A292" s="1620"/>
      <c r="B292" s="1620"/>
      <c r="C292" s="1621"/>
      <c r="D292" s="1621"/>
      <c r="E292" s="1621"/>
      <c r="F292" s="1621"/>
      <c r="G292" s="1621"/>
    </row>
    <row r="293" spans="1:7" ht="12" customHeight="1">
      <c r="A293" s="1620"/>
      <c r="B293" s="1620"/>
      <c r="C293" s="1621"/>
      <c r="D293" s="1621"/>
      <c r="E293" s="1621"/>
      <c r="F293" s="1621"/>
      <c r="G293" s="1621"/>
    </row>
    <row r="294" spans="1:7" ht="12" customHeight="1">
      <c r="A294" s="1620"/>
      <c r="B294" s="1620"/>
      <c r="C294" s="1621"/>
      <c r="D294" s="1621"/>
      <c r="E294" s="1621"/>
      <c r="F294" s="1621"/>
      <c r="G294" s="1621"/>
    </row>
    <row r="295" spans="1:7" ht="12" customHeight="1">
      <c r="A295" s="1620"/>
      <c r="B295" s="1620"/>
      <c r="C295" s="1621"/>
      <c r="D295" s="1621"/>
      <c r="E295" s="1621"/>
      <c r="F295" s="1621"/>
      <c r="G295" s="1621"/>
    </row>
    <row r="296" spans="1:7" ht="12" customHeight="1">
      <c r="A296" s="1620"/>
      <c r="B296" s="1620"/>
      <c r="C296" s="1621"/>
      <c r="D296" s="1621"/>
      <c r="E296" s="1621"/>
      <c r="F296" s="1621"/>
      <c r="G296" s="1621"/>
    </row>
    <row r="297" spans="1:7" ht="12" customHeight="1">
      <c r="A297" s="1620"/>
      <c r="B297" s="1620"/>
      <c r="C297" s="1621"/>
      <c r="D297" s="1621"/>
      <c r="E297" s="1621"/>
      <c r="F297" s="1621"/>
      <c r="G297" s="1621"/>
    </row>
    <row r="298" spans="1:7" ht="12" customHeight="1">
      <c r="A298" s="1620"/>
      <c r="B298" s="1620"/>
      <c r="C298" s="1621"/>
      <c r="D298" s="1621"/>
      <c r="E298" s="1621"/>
      <c r="F298" s="1621"/>
      <c r="G298" s="1621"/>
    </row>
    <row r="299" spans="1:7" ht="12" customHeight="1">
      <c r="A299" s="1620"/>
      <c r="B299" s="1620"/>
      <c r="C299" s="1621"/>
      <c r="D299" s="1621"/>
      <c r="E299" s="1621"/>
      <c r="F299" s="1621"/>
      <c r="G299" s="1621"/>
    </row>
    <row r="300" spans="1:7" ht="12" customHeight="1">
      <c r="A300" s="1620"/>
      <c r="B300" s="1620"/>
      <c r="C300" s="1621"/>
      <c r="D300" s="1621"/>
      <c r="E300" s="1621"/>
      <c r="F300" s="1621"/>
      <c r="G300" s="1621"/>
    </row>
    <row r="301" spans="1:7" ht="12" customHeight="1">
      <c r="A301" s="1620"/>
      <c r="B301" s="1620"/>
      <c r="C301" s="1621"/>
      <c r="D301" s="1621"/>
      <c r="E301" s="1621"/>
      <c r="F301" s="1621"/>
      <c r="G301" s="1621"/>
    </row>
  </sheetData>
  <sheetProtection algorithmName="SHA-512" hashValue="V5cQEHxRngWO2TizJe5SyvSDfIJK1jFwElevtH4GhwRjOR365oj1Bvz1x9uW4zxFWXr9LW56rbd3sFmdjQsayg==" saltValue="ccViBmpVcvZmAnVFgkKWuQ==" spinCount="100000" sheet="1" objects="1" scenarios="1"/>
  <phoneticPr fontId="10" type="noConversion"/>
  <dataValidations count="2">
    <dataValidation type="whole" operator="greaterThanOrEqual" showInputMessage="1" showErrorMessage="1" errorTitle="Invalid Data Entry" error="Please enter a positive number or press the delete key or enter zero." sqref="C39:D45 C10:D10 C13:D36">
      <formula1>0</formula1>
    </dataValidation>
    <dataValidation type="whole" operator="greaterThanOrEqual" showInputMessage="1" showErrorMessage="1" errorTitle="Invalid beginning cash balance" error="Please enter a number or press the delete key or enter zero." sqref="C9">
      <formula1>-1000000000</formula1>
    </dataValidation>
  </dataValidations>
  <hyperlinks>
    <hyperlink ref="G1" location="Contents!F1" display="Return to Contents page"/>
  </hyperlinks>
  <printOptions horizontalCentered="1"/>
  <pageMargins left="0.25" right="0.25" top="0.19" bottom="0.19" header="0.5" footer="0.5"/>
  <pageSetup orientation="portrait" blackAndWhite="1" r:id="rId1"/>
  <headerFooter alignWithMargins="0">
    <oddFooter>&amp;L&amp;D     &amp;T &amp;CCode No. 47</oddFooter>
  </headerFooter>
  <rowBreaks count="1" manualBreakCount="1">
    <brk id="59" max="65535" man="1"/>
  </rowBreak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theme="4" tint="0.39997558519241921"/>
  </sheetPr>
  <dimension ref="A1:AI49"/>
  <sheetViews>
    <sheetView topLeftCell="A5" workbookViewId="0">
      <selection activeCell="E20" sqref="E20"/>
    </sheetView>
  </sheetViews>
  <sheetFormatPr defaultRowHeight="12.75"/>
  <cols>
    <col min="1" max="1" width="39.5703125" customWidth="1"/>
    <col min="2" max="2" width="6.42578125" customWidth="1"/>
    <col min="3" max="3" width="15" customWidth="1"/>
    <col min="4" max="4" width="15.42578125" customWidth="1"/>
    <col min="5" max="5" width="15.28515625" customWidth="1"/>
    <col min="6" max="6" width="3" customWidth="1"/>
    <col min="7" max="7" width="20.85546875" customWidth="1"/>
    <col min="8" max="8" width="15" customWidth="1"/>
    <col min="9" max="9" width="13.85546875" customWidth="1"/>
    <col min="13" max="13" width="12.140625" customWidth="1"/>
    <col min="14" max="14" width="10.7109375" customWidth="1"/>
    <col min="15" max="15" width="10.85546875" customWidth="1"/>
    <col min="16" max="16" width="10.7109375" customWidth="1"/>
    <col min="17" max="17" width="11.140625" customWidth="1"/>
    <col min="18" max="18" width="11.28515625" customWidth="1"/>
    <col min="19" max="19" width="10.85546875" customWidth="1"/>
    <col min="22" max="22" width="9.140625" style="4019"/>
  </cols>
  <sheetData>
    <row r="1" spans="1:30">
      <c r="A1" s="1424" t="s">
        <v>1019</v>
      </c>
      <c r="B1" s="1425">
        <f>OPEN!B4</f>
        <v>270</v>
      </c>
      <c r="C1" s="1426"/>
      <c r="D1" s="1426"/>
      <c r="E1" s="1424" t="s">
        <v>1020</v>
      </c>
      <c r="F1" s="2697"/>
      <c r="G1" s="3013" t="s">
        <v>866</v>
      </c>
      <c r="H1" s="2697"/>
      <c r="I1" s="2697"/>
    </row>
    <row r="2" spans="1:30">
      <c r="A2" s="1426"/>
      <c r="B2" s="1425"/>
      <c r="C2" s="1426"/>
      <c r="D2" s="1426"/>
      <c r="E2" s="1424" t="s">
        <v>1212</v>
      </c>
      <c r="F2" s="2697"/>
      <c r="G2" s="2697"/>
      <c r="H2" s="2697"/>
      <c r="I2" s="2697"/>
    </row>
    <row r="3" spans="1:30">
      <c r="A3" s="1426"/>
      <c r="B3" s="1425"/>
      <c r="C3" s="1426"/>
      <c r="D3" s="1426"/>
      <c r="E3" s="1424" t="str">
        <f>OPEN!N2</f>
        <v>2016-2017</v>
      </c>
      <c r="F3" s="2697"/>
      <c r="G3" s="2697"/>
      <c r="H3" s="2697"/>
      <c r="I3" s="2697"/>
    </row>
    <row r="4" spans="1:30">
      <c r="A4" s="1426"/>
      <c r="B4" s="1425"/>
      <c r="C4" s="1426"/>
      <c r="D4" s="1426"/>
      <c r="E4" s="1426"/>
      <c r="F4" s="2697"/>
      <c r="G4" s="2697"/>
      <c r="H4" s="2697"/>
      <c r="I4" s="2697"/>
    </row>
    <row r="5" spans="1:30">
      <c r="A5" s="1426"/>
      <c r="B5" s="1425"/>
      <c r="C5" s="1428" t="s">
        <v>1213</v>
      </c>
      <c r="D5" s="1428" t="s">
        <v>1213</v>
      </c>
      <c r="E5" s="1428" t="s">
        <v>1213</v>
      </c>
      <c r="F5" s="2697"/>
      <c r="G5" s="2697"/>
      <c r="H5" s="2697"/>
      <c r="I5" s="2697"/>
    </row>
    <row r="6" spans="1:30">
      <c r="A6" s="1429" t="s">
        <v>1375</v>
      </c>
      <c r="B6" s="1430" t="s">
        <v>1045</v>
      </c>
      <c r="C6" s="1431" t="str">
        <f>OPEN!N4</f>
        <v>2014-2015</v>
      </c>
      <c r="D6" s="1431" t="str">
        <f>OPEN!O4</f>
        <v>2015-2016</v>
      </c>
      <c r="E6" s="1431" t="str">
        <f>OPEN!P4</f>
        <v>2016-2017</v>
      </c>
      <c r="F6" s="2697"/>
      <c r="G6" s="2697"/>
      <c r="H6" s="2697"/>
      <c r="I6" s="2697"/>
    </row>
    <row r="7" spans="1:30">
      <c r="A7" s="2742" t="s">
        <v>1376</v>
      </c>
      <c r="B7" s="2744">
        <v>51</v>
      </c>
      <c r="C7" s="1435" t="s">
        <v>1139</v>
      </c>
      <c r="D7" s="1435" t="s">
        <v>1139</v>
      </c>
      <c r="E7" s="1435" t="s">
        <v>1215</v>
      </c>
      <c r="F7" s="2697"/>
      <c r="G7" s="2697"/>
      <c r="H7" s="2697"/>
      <c r="I7" s="2697"/>
    </row>
    <row r="8" spans="1:30">
      <c r="A8" s="1437"/>
      <c r="B8" s="1438" t="s">
        <v>1051</v>
      </c>
      <c r="C8" s="1439">
        <v>1</v>
      </c>
      <c r="D8" s="1439">
        <v>2</v>
      </c>
      <c r="E8" s="1439">
        <v>3</v>
      </c>
      <c r="F8" s="2697"/>
      <c r="G8" s="2697"/>
      <c r="H8" s="2697"/>
      <c r="I8" s="2697"/>
    </row>
    <row r="9" spans="1:30">
      <c r="A9" s="1440" t="s">
        <v>1402</v>
      </c>
      <c r="B9" s="1441">
        <v>1</v>
      </c>
      <c r="C9" s="2746" t="s">
        <v>787</v>
      </c>
      <c r="D9" s="2748" t="s">
        <v>787</v>
      </c>
      <c r="E9" s="4079" t="s">
        <v>787</v>
      </c>
      <c r="F9" s="2697"/>
      <c r="G9" s="2697"/>
      <c r="H9" s="2697"/>
      <c r="I9" s="2697"/>
    </row>
    <row r="10" spans="1:30">
      <c r="A10" s="1443" t="s">
        <v>1403</v>
      </c>
      <c r="B10" s="1444">
        <v>3</v>
      </c>
      <c r="C10" s="2747" t="s">
        <v>787</v>
      </c>
      <c r="D10" s="2749" t="s">
        <v>787</v>
      </c>
      <c r="E10" s="1462"/>
      <c r="F10" s="2697"/>
      <c r="G10" s="2697"/>
      <c r="H10" s="2697"/>
      <c r="I10" s="2697"/>
    </row>
    <row r="11" spans="1:30">
      <c r="A11" s="1445" t="s">
        <v>19</v>
      </c>
      <c r="B11" s="1446"/>
      <c r="C11" s="3225"/>
      <c r="D11" s="1462"/>
      <c r="E11" s="2760"/>
      <c r="F11" s="2697"/>
      <c r="G11" s="2697"/>
      <c r="H11" s="2697"/>
      <c r="I11" s="2697"/>
    </row>
    <row r="12" spans="1:30">
      <c r="A12" s="1443" t="s">
        <v>33</v>
      </c>
      <c r="B12" s="1444"/>
      <c r="C12" s="3226"/>
      <c r="D12" s="1463"/>
      <c r="E12" s="2760"/>
      <c r="F12" s="2697"/>
      <c r="G12" s="3215" t="s">
        <v>297</v>
      </c>
      <c r="H12" s="2697"/>
      <c r="I12" s="3751"/>
      <c r="AD12" s="3820"/>
    </row>
    <row r="13" spans="1:30">
      <c r="A13" s="1443" t="s">
        <v>727</v>
      </c>
      <c r="B13" s="3879">
        <v>5</v>
      </c>
      <c r="C13" s="3227">
        <f>VLOOKUP($B$1,DATA!A3:AT288,29,FALSE)</f>
        <v>231281</v>
      </c>
      <c r="D13" s="5113" t="s">
        <v>787</v>
      </c>
      <c r="E13" s="3870"/>
      <c r="F13" s="2697"/>
      <c r="G13" s="3216">
        <f>E15</f>
        <v>266624</v>
      </c>
      <c r="H13" s="3064"/>
      <c r="I13" s="2697"/>
    </row>
    <row r="14" spans="1:30" s="4038" customFormat="1">
      <c r="A14" s="3265" t="s">
        <v>79</v>
      </c>
      <c r="B14" s="4048"/>
      <c r="C14" s="4049"/>
      <c r="D14" s="3221"/>
      <c r="E14" s="3870"/>
      <c r="F14" s="2697"/>
      <c r="G14" s="3216"/>
      <c r="H14" s="3064"/>
      <c r="I14" s="2697"/>
    </row>
    <row r="15" spans="1:30" s="4038" customFormat="1">
      <c r="A15" s="5134" t="s">
        <v>1863</v>
      </c>
      <c r="B15" s="2745">
        <v>7</v>
      </c>
      <c r="C15" s="3237"/>
      <c r="D15" s="2547">
        <f>'C06'!D352</f>
        <v>193062</v>
      </c>
      <c r="E15" s="2762">
        <f>'F195'!$H$32</f>
        <v>266624</v>
      </c>
      <c r="F15" s="2697"/>
      <c r="G15" s="4050"/>
      <c r="H15" s="3064"/>
      <c r="I15" s="2697"/>
    </row>
    <row r="16" spans="1:30">
      <c r="A16" s="4046" t="s">
        <v>52</v>
      </c>
      <c r="B16" s="4047">
        <v>70</v>
      </c>
      <c r="C16" s="2547">
        <f>C13+C15</f>
        <v>231281</v>
      </c>
      <c r="D16" s="2547">
        <f>D15</f>
        <v>193062</v>
      </c>
      <c r="E16" s="2762">
        <f>E15</f>
        <v>266624</v>
      </c>
      <c r="F16" s="2697"/>
      <c r="G16" s="3212"/>
      <c r="H16" s="2697"/>
      <c r="I16" s="2697"/>
    </row>
    <row r="17" spans="1:35">
      <c r="A17" s="1607" t="s">
        <v>111</v>
      </c>
      <c r="B17" s="2753"/>
      <c r="C17" s="2758"/>
      <c r="D17" s="1596"/>
      <c r="E17" s="2756"/>
      <c r="F17" s="2697"/>
      <c r="G17" s="3212" t="s">
        <v>296</v>
      </c>
      <c r="H17" s="2697"/>
      <c r="I17" s="2697"/>
      <c r="L17" s="2697"/>
      <c r="M17" s="3211" t="str">
        <f>"Salary line items in the budget (100) for "&amp; OPEN!P14</f>
        <v>Salary line items in the budget (100) for 2016-17</v>
      </c>
      <c r="N17" s="2697"/>
      <c r="O17" s="2697"/>
      <c r="P17" s="2697"/>
      <c r="Q17" s="2697"/>
      <c r="R17" s="2697"/>
      <c r="S17" s="2697"/>
      <c r="T17" s="2697"/>
      <c r="U17" s="2697"/>
      <c r="V17" s="2697"/>
      <c r="W17" s="2697"/>
      <c r="X17" s="2697"/>
      <c r="Y17" s="2697"/>
      <c r="Z17" s="2697"/>
      <c r="AA17" s="2697"/>
      <c r="AB17" s="2697"/>
      <c r="AC17" s="2697"/>
      <c r="AD17" s="2697"/>
      <c r="AE17" s="2697"/>
      <c r="AF17" s="2697"/>
      <c r="AG17" s="2697"/>
      <c r="AH17" s="2697"/>
      <c r="AI17" s="2697"/>
    </row>
    <row r="18" spans="1:35">
      <c r="A18" s="1608" t="s">
        <v>770</v>
      </c>
      <c r="B18" s="2754"/>
      <c r="C18" s="2758"/>
      <c r="D18" s="1596"/>
      <c r="E18" s="2757"/>
      <c r="F18" s="2697"/>
      <c r="G18" s="3217" t="s">
        <v>298</v>
      </c>
      <c r="H18" s="2697"/>
      <c r="I18" s="2697"/>
      <c r="L18" s="403"/>
      <c r="M18" s="403" t="s">
        <v>122</v>
      </c>
      <c r="N18" s="403" t="s">
        <v>123</v>
      </c>
      <c r="O18" s="403" t="s">
        <v>124</v>
      </c>
      <c r="P18" s="403" t="s">
        <v>125</v>
      </c>
      <c r="Q18" s="403" t="s">
        <v>126</v>
      </c>
      <c r="R18" s="403" t="s">
        <v>127</v>
      </c>
      <c r="S18" s="403" t="s">
        <v>128</v>
      </c>
      <c r="T18" s="403" t="s">
        <v>129</v>
      </c>
      <c r="U18" s="403" t="s">
        <v>539</v>
      </c>
      <c r="V18" s="3880" t="s">
        <v>1858</v>
      </c>
      <c r="W18" s="403" t="s">
        <v>130</v>
      </c>
      <c r="X18" s="403" t="s">
        <v>131</v>
      </c>
      <c r="Y18" s="403" t="s">
        <v>132</v>
      </c>
      <c r="Z18" s="403" t="s">
        <v>133</v>
      </c>
      <c r="AA18" s="403" t="s">
        <v>134</v>
      </c>
      <c r="AB18" s="403" t="s">
        <v>135</v>
      </c>
      <c r="AC18" s="403" t="s">
        <v>136</v>
      </c>
      <c r="AD18" s="403" t="s">
        <v>137</v>
      </c>
      <c r="AE18" s="403" t="s">
        <v>138</v>
      </c>
      <c r="AF18" s="403" t="s">
        <v>139</v>
      </c>
      <c r="AG18" s="403" t="s">
        <v>140</v>
      </c>
      <c r="AH18" s="403" t="s">
        <v>747</v>
      </c>
      <c r="AI18" s="403"/>
    </row>
    <row r="19" spans="1:35">
      <c r="A19" s="1609" t="s">
        <v>771</v>
      </c>
      <c r="B19" s="2745">
        <v>75</v>
      </c>
      <c r="C19" s="1464">
        <v>147843</v>
      </c>
      <c r="D19" s="1464">
        <v>120814</v>
      </c>
      <c r="E19" s="2761">
        <v>161924</v>
      </c>
      <c r="F19" s="2697"/>
      <c r="G19" s="3218">
        <f>AH19</f>
        <v>1593547</v>
      </c>
      <c r="H19" s="2697"/>
      <c r="I19" s="2697"/>
      <c r="L19" s="403">
        <v>1000</v>
      </c>
      <c r="M19" s="3617">
        <f>SUM('C06'!E76:E77)</f>
        <v>1048000</v>
      </c>
      <c r="N19" s="3617">
        <f>SUM('C07'!E35:E36)</f>
        <v>60000</v>
      </c>
      <c r="O19" s="3617">
        <f>SUM('C08'!E49:E50)</f>
        <v>72000</v>
      </c>
      <c r="P19" s="3617">
        <f>SUM('C010'!E69:E70)</f>
        <v>0</v>
      </c>
      <c r="Q19" s="3617">
        <f>SUM('C011'!E38:E39)</f>
        <v>0</v>
      </c>
      <c r="R19" s="3617">
        <f>SUM('C012'!E33:E34)</f>
        <v>0</v>
      </c>
      <c r="S19" s="3617">
        <f>SUM('C013'!E39:E40)</f>
        <v>161497</v>
      </c>
      <c r="T19" s="3617">
        <f>SUM('C014'!E34:E35)</f>
        <v>0</v>
      </c>
      <c r="U19" s="3617">
        <f>SUM('C015'!E39:E40)</f>
        <v>0</v>
      </c>
      <c r="V19" s="4034"/>
      <c r="W19" s="3617">
        <f>SUM('C018'!E34:E35)</f>
        <v>7000</v>
      </c>
      <c r="X19" s="3617">
        <f>SUM('C022'!E33:E34)</f>
        <v>0</v>
      </c>
      <c r="Y19" s="3618"/>
      <c r="Z19" s="3618"/>
      <c r="AA19" s="3618"/>
      <c r="AB19" s="3617">
        <f>SUM('C029'!E37:E38)</f>
        <v>12000</v>
      </c>
      <c r="AC19" s="3617">
        <f>SUM('C030'!E42:E43)</f>
        <v>3050</v>
      </c>
      <c r="AD19" s="3617">
        <f>SUM('C034'!E45:E46)</f>
        <v>230000</v>
      </c>
      <c r="AE19" s="3617">
        <f>SUM('C035'!E45:E46)</f>
        <v>0</v>
      </c>
      <c r="AF19" s="3617">
        <f>SUM('C057'!E28:E29)</f>
        <v>0</v>
      </c>
      <c r="AG19" s="3617">
        <f>SUM('C078'!E34:E35)</f>
        <v>0</v>
      </c>
      <c r="AH19" s="3617">
        <f t="shared" ref="AH19:AH29" si="0">SUM(M19:AG19)</f>
        <v>1593547</v>
      </c>
      <c r="AI19" s="403"/>
    </row>
    <row r="20" spans="1:35">
      <c r="A20" s="1608" t="s">
        <v>1377</v>
      </c>
      <c r="B20" s="2754"/>
      <c r="C20" s="2759"/>
      <c r="D20" s="1603"/>
      <c r="E20" s="2757"/>
      <c r="F20" s="2697"/>
      <c r="G20" s="3212"/>
      <c r="H20" s="2697"/>
      <c r="I20" s="2697"/>
      <c r="L20" s="403">
        <v>2100</v>
      </c>
      <c r="M20" s="3617">
        <f>SUM('C06'!E100:E101)</f>
        <v>64866</v>
      </c>
      <c r="N20" s="3617">
        <f>SUM('C07'!E59:E60)</f>
        <v>0</v>
      </c>
      <c r="O20" s="3617">
        <f>SUM('C08'!E83:E84)</f>
        <v>0</v>
      </c>
      <c r="P20" s="3617">
        <f>SUM('C010'!E90:E91)</f>
        <v>0</v>
      </c>
      <c r="Q20" s="3617">
        <f>SUM('C011'!E61:E62)</f>
        <v>0</v>
      </c>
      <c r="R20" s="3617">
        <f>SUM('C012'!E56:E57)</f>
        <v>0</v>
      </c>
      <c r="S20" s="3617">
        <f>SUM('C013'!E62:E63)</f>
        <v>0</v>
      </c>
      <c r="T20" s="3617">
        <f>SUM('C014'!E58:E59)</f>
        <v>0</v>
      </c>
      <c r="U20" s="3617">
        <f>SUM('C015'!E70:E71)</f>
        <v>0</v>
      </c>
      <c r="V20" s="4034"/>
      <c r="W20" s="3617">
        <f>SUM('C018'!E57:E58)</f>
        <v>0</v>
      </c>
      <c r="X20" s="3617">
        <f>SUM('C022'!E57:E58)</f>
        <v>0</v>
      </c>
      <c r="Y20" s="3618"/>
      <c r="Z20" s="3618"/>
      <c r="AA20" s="3617">
        <f>SUM('C028'!E36:E37)</f>
        <v>0</v>
      </c>
      <c r="AB20" s="3617">
        <f>SUM('C029'!E61:E62)</f>
        <v>0</v>
      </c>
      <c r="AC20" s="3617">
        <f>SUM('C030'!E77:E78)</f>
        <v>0</v>
      </c>
      <c r="AD20" s="3617">
        <f>SUM('C034'!E77:E78)</f>
        <v>0</v>
      </c>
      <c r="AE20" s="3617">
        <f>SUM('C035'!E77:E78)</f>
        <v>0</v>
      </c>
      <c r="AF20" s="3617">
        <f>SUM('C057'!E52:E53)</f>
        <v>0</v>
      </c>
      <c r="AG20" s="3617">
        <f>SUM('C078'!E57:E58)</f>
        <v>0</v>
      </c>
      <c r="AH20" s="3617">
        <f t="shared" si="0"/>
        <v>64866</v>
      </c>
      <c r="AI20" s="403"/>
    </row>
    <row r="21" spans="1:35">
      <c r="A21" s="1609" t="s">
        <v>771</v>
      </c>
      <c r="B21" s="2745">
        <v>80</v>
      </c>
      <c r="C21" s="1464">
        <v>7821</v>
      </c>
      <c r="D21" s="1464">
        <v>5576</v>
      </c>
      <c r="E21" s="2761">
        <v>10000</v>
      </c>
      <c r="F21" s="2697"/>
      <c r="G21" s="3218">
        <f>AH20</f>
        <v>64866</v>
      </c>
      <c r="H21" s="2697"/>
      <c r="I21" s="2697"/>
      <c r="L21" s="403">
        <v>2200</v>
      </c>
      <c r="M21" s="3617">
        <f>SUM('C06'!E114:E115)</f>
        <v>81000</v>
      </c>
      <c r="N21" s="3617">
        <f>SUM('C07'!E81:E82)</f>
        <v>0</v>
      </c>
      <c r="O21" s="3617">
        <f>SUM('C08'!E97:E98)</f>
        <v>0</v>
      </c>
      <c r="P21" s="3617">
        <f>SUM('C010'!E104:E105)</f>
        <v>0</v>
      </c>
      <c r="Q21" s="3617">
        <f>SUM('C011'!E85:E86)</f>
        <v>0</v>
      </c>
      <c r="R21" s="3617">
        <f>SUM('C012'!E79:E80)</f>
        <v>0</v>
      </c>
      <c r="S21" s="3617">
        <f>SUM('C013'!E84:E85)</f>
        <v>0</v>
      </c>
      <c r="T21" s="3617">
        <f>SUM('C014'!E83:E84)</f>
        <v>0</v>
      </c>
      <c r="U21" s="3617">
        <f>SUM('C015'!E84:E85)</f>
        <v>0</v>
      </c>
      <c r="V21" s="4034"/>
      <c r="W21" s="3617">
        <f>SUM('C018'!E81:E82)</f>
        <v>0</v>
      </c>
      <c r="X21" s="3617">
        <f>SUM('C022'!E80:E81)</f>
        <v>0</v>
      </c>
      <c r="Y21" s="3618"/>
      <c r="Z21" s="3617">
        <f>SUM('C026'!E26:E27)</f>
        <v>0</v>
      </c>
      <c r="AA21" s="3617">
        <f>SUM('C028'!E66:E67)</f>
        <v>0</v>
      </c>
      <c r="AB21" s="3617">
        <f>SUM('C029'!E84:E85)</f>
        <v>0</v>
      </c>
      <c r="AC21" s="3617">
        <f>SUM('C030'!E91:E92)</f>
        <v>0</v>
      </c>
      <c r="AD21" s="3617">
        <f>SUM('C034'!E91:E92)</f>
        <v>0</v>
      </c>
      <c r="AE21" s="3617">
        <f>SUM('C035'!E91:E92)</f>
        <v>0</v>
      </c>
      <c r="AF21" s="3617">
        <f>SUM('C057'!E74:E75)</f>
        <v>0</v>
      </c>
      <c r="AG21" s="3617">
        <f>SUM('C078'!E81:E82)</f>
        <v>0</v>
      </c>
      <c r="AH21" s="3617">
        <f t="shared" si="0"/>
        <v>81000</v>
      </c>
      <c r="AI21" s="403"/>
    </row>
    <row r="22" spans="1:35">
      <c r="A22" s="1608" t="s">
        <v>1378</v>
      </c>
      <c r="B22" s="2754"/>
      <c r="C22" s="2759"/>
      <c r="D22" s="1603"/>
      <c r="E22" s="2757"/>
      <c r="F22" s="2697"/>
      <c r="G22" s="3212"/>
      <c r="H22" s="2697"/>
      <c r="I22" s="2697"/>
      <c r="L22" s="403">
        <v>2300</v>
      </c>
      <c r="M22" s="3617">
        <f>SUM('C06'!E142:E143)</f>
        <v>143000</v>
      </c>
      <c r="N22" s="3617">
        <f>SUM('C07'!E100:E101)</f>
        <v>0</v>
      </c>
      <c r="O22" s="3617">
        <f>SUM('C08'!E114:E115)</f>
        <v>0</v>
      </c>
      <c r="P22" s="3617">
        <f>SUM('C010'!E131:E132)</f>
        <v>0</v>
      </c>
      <c r="Q22" s="3618"/>
      <c r="R22" s="3618"/>
      <c r="S22" s="3618"/>
      <c r="T22" s="3618"/>
      <c r="U22" s="3618"/>
      <c r="V22" s="3618"/>
      <c r="W22" s="3618"/>
      <c r="X22" s="3618"/>
      <c r="Y22" s="3618"/>
      <c r="Z22" s="3618"/>
      <c r="AA22" s="3618"/>
      <c r="AB22" s="3618"/>
      <c r="AC22" s="3617">
        <f>SUM('C030'!E109:E110)</f>
        <v>0</v>
      </c>
      <c r="AD22" s="3618"/>
      <c r="AE22" s="3617">
        <f>SUM('C035'!E108:E109)</f>
        <v>0</v>
      </c>
      <c r="AF22" s="3617">
        <f>SUM('C057'!E91:E92)</f>
        <v>0</v>
      </c>
      <c r="AG22" s="3617">
        <f>SUM('C078'!E99:E100)</f>
        <v>0</v>
      </c>
      <c r="AH22" s="3617">
        <f t="shared" si="0"/>
        <v>143000</v>
      </c>
      <c r="AI22" s="403"/>
    </row>
    <row r="23" spans="1:35">
      <c r="A23" s="1609" t="s">
        <v>771</v>
      </c>
      <c r="B23" s="2745">
        <v>85</v>
      </c>
      <c r="C23" s="1464">
        <v>6160</v>
      </c>
      <c r="D23" s="1464">
        <v>3366</v>
      </c>
      <c r="E23" s="2761">
        <v>8200</v>
      </c>
      <c r="F23" s="2697"/>
      <c r="G23" s="3218">
        <f>AH21</f>
        <v>81000</v>
      </c>
      <c r="H23" s="2697"/>
      <c r="I23" s="2697"/>
      <c r="L23" s="403">
        <v>2400</v>
      </c>
      <c r="M23" s="3617">
        <f>SUM('C06'!E161:E162)</f>
        <v>184000</v>
      </c>
      <c r="N23" s="3617">
        <f>SUM('C07'!E119:E120)</f>
        <v>0</v>
      </c>
      <c r="O23" s="3617">
        <f>SUM('C08'!E141:E142)</f>
        <v>0</v>
      </c>
      <c r="P23" s="3618"/>
      <c r="Q23" s="3617">
        <f>SUM('C011'!E102:E103)</f>
        <v>0</v>
      </c>
      <c r="R23" s="3617">
        <f>SUM('C012'!E93:E94)</f>
        <v>0</v>
      </c>
      <c r="S23" s="3617">
        <f>SUM('C013'!E101:E102)</f>
        <v>0</v>
      </c>
      <c r="T23" s="3617">
        <f>SUM('C014'!E101:E102)</f>
        <v>0</v>
      </c>
      <c r="U23" s="3617">
        <f>SUM('C015'!E101:E102)</f>
        <v>0</v>
      </c>
      <c r="V23" s="4034"/>
      <c r="W23" s="3617">
        <f>SUM('C018'!E99:E100)</f>
        <v>0</v>
      </c>
      <c r="X23" s="3617">
        <f>SUM('C022'!E96:E97)</f>
        <v>0</v>
      </c>
      <c r="Y23" s="3618"/>
      <c r="Z23" s="3618"/>
      <c r="AA23" s="3618"/>
      <c r="AB23" s="3617">
        <f>SUM('C029'!E101:E102)</f>
        <v>0</v>
      </c>
      <c r="AC23" s="3617">
        <f>SUM('C030'!E123:E124)</f>
        <v>0</v>
      </c>
      <c r="AD23" s="3617">
        <f>SUM('C034'!E108:E109)</f>
        <v>0</v>
      </c>
      <c r="AE23" s="3617">
        <f>SUM('C035'!E133:E134)</f>
        <v>0</v>
      </c>
      <c r="AF23" s="3617">
        <f>SUM('C057'!E108:E109)</f>
        <v>0</v>
      </c>
      <c r="AG23" s="3617">
        <f>SUM('C078'!E113:E114)</f>
        <v>0</v>
      </c>
      <c r="AH23" s="3617">
        <f t="shared" si="0"/>
        <v>184000</v>
      </c>
      <c r="AI23" s="403"/>
    </row>
    <row r="24" spans="1:35">
      <c r="A24" s="1608" t="s">
        <v>1379</v>
      </c>
      <c r="B24" s="2754"/>
      <c r="C24" s="2759"/>
      <c r="D24" s="1603"/>
      <c r="E24" s="2757"/>
      <c r="F24" s="2697"/>
      <c r="G24" s="3212"/>
      <c r="H24" s="2697"/>
      <c r="I24" s="2697"/>
      <c r="L24" s="403">
        <v>2500</v>
      </c>
      <c r="M24" s="3617">
        <f>SUM('C06'!E179:E180)</f>
        <v>24000</v>
      </c>
      <c r="N24" s="3617">
        <f>SUM('C07'!E145:E146)</f>
        <v>0</v>
      </c>
      <c r="O24" s="3617">
        <f>SUM('C08'!E157:E158)</f>
        <v>0</v>
      </c>
      <c r="P24" s="3618"/>
      <c r="Q24" s="3617">
        <f>SUM('C011'!E115:E116)</f>
        <v>0</v>
      </c>
      <c r="R24" s="3618"/>
      <c r="S24" s="3617">
        <f>SUM('C013'!E114:E115)</f>
        <v>0</v>
      </c>
      <c r="T24" s="3617">
        <f>SUM('C014'!E114:E115)</f>
        <v>0</v>
      </c>
      <c r="U24" s="3617">
        <f>SUM('C015'!E114:E115)</f>
        <v>0</v>
      </c>
      <c r="V24" s="4034"/>
      <c r="W24" s="3617">
        <f>SUM('C018'!E112:E113)</f>
        <v>0</v>
      </c>
      <c r="X24" s="3612">
        <f>SUM('C022'!E109:E110)</f>
        <v>0</v>
      </c>
      <c r="Y24" s="3618"/>
      <c r="Z24" s="3612">
        <f>SUM('C026'!E43:E44)</f>
        <v>0</v>
      </c>
      <c r="AA24" s="3617">
        <f>SUM('C028'!E80:E81)</f>
        <v>0</v>
      </c>
      <c r="AB24" s="3617">
        <f>SUM('C029'!E155:E156)</f>
        <v>0</v>
      </c>
      <c r="AC24" s="3617">
        <f>SUM('C030'!E144:E145)</f>
        <v>0</v>
      </c>
      <c r="AD24" s="3617">
        <f>SUM('C034'!E121:E122)</f>
        <v>0</v>
      </c>
      <c r="AE24" s="3617">
        <f>SUM('C035'!E149:E150)</f>
        <v>0</v>
      </c>
      <c r="AF24" s="3612">
        <f>SUM('C057'!E132:E133)</f>
        <v>0</v>
      </c>
      <c r="AG24" s="3612">
        <f>SUM('C078'!E136:E137)</f>
        <v>0</v>
      </c>
      <c r="AH24" s="3617">
        <f t="shared" si="0"/>
        <v>24000</v>
      </c>
      <c r="AI24" s="403"/>
    </row>
    <row r="25" spans="1:35">
      <c r="A25" s="1609" t="s">
        <v>771</v>
      </c>
      <c r="B25" s="2745">
        <v>90</v>
      </c>
      <c r="C25" s="1464">
        <v>14817</v>
      </c>
      <c r="D25" s="1464">
        <v>16194</v>
      </c>
      <c r="E25" s="2761">
        <v>20000</v>
      </c>
      <c r="F25" s="2697"/>
      <c r="G25" s="3218">
        <f>AH22</f>
        <v>143000</v>
      </c>
      <c r="H25" s="2697"/>
      <c r="I25" s="2697"/>
      <c r="L25" s="403">
        <v>2600</v>
      </c>
      <c r="M25" s="3617">
        <f>SUM('C06'!E202+'C06'!E231)</f>
        <v>125000</v>
      </c>
      <c r="N25" s="3617">
        <f>SUM('C07'!E159)</f>
        <v>0</v>
      </c>
      <c r="O25" s="3617">
        <f>SUM('C08'!E171+'C08'!E209)</f>
        <v>62829</v>
      </c>
      <c r="P25" s="3617">
        <f>SUM('C010'!E145)</f>
        <v>0</v>
      </c>
      <c r="Q25" s="3617">
        <f>SUM('C011'!E137)</f>
        <v>0</v>
      </c>
      <c r="R25" s="3617">
        <f>SUM('C012'!E106)</f>
        <v>0</v>
      </c>
      <c r="S25" s="3617">
        <f>SUM('C013'!E136)</f>
        <v>0</v>
      </c>
      <c r="T25" s="3617">
        <f>SUM('C014'!E136)</f>
        <v>0</v>
      </c>
      <c r="U25" s="3617">
        <f>SUM('C015'!E136)</f>
        <v>0</v>
      </c>
      <c r="V25" s="3617">
        <f>SUM('C016'!E80)</f>
        <v>30000</v>
      </c>
      <c r="W25" s="3617">
        <f>SUM('C018'!E134+'C018'!E156)</f>
        <v>0</v>
      </c>
      <c r="X25" s="3617">
        <f>SUM('C022'!E123)</f>
        <v>0</v>
      </c>
      <c r="Y25" s="3617">
        <f>SUM('C024'!E63)</f>
        <v>13000</v>
      </c>
      <c r="Z25" s="3618"/>
      <c r="AA25" s="3618"/>
      <c r="AB25" s="3617">
        <f>SUM('C029'!E117)</f>
        <v>0</v>
      </c>
      <c r="AC25" s="3617">
        <f>SUM('C030'!E158)</f>
        <v>0</v>
      </c>
      <c r="AD25" s="3617">
        <f>SUM('C034'!E143)</f>
        <v>0</v>
      </c>
      <c r="AE25" s="3617">
        <f>SUM('C035'!E163)</f>
        <v>0</v>
      </c>
      <c r="AF25" s="3617">
        <f>SUM('C057'!E146)</f>
        <v>0</v>
      </c>
      <c r="AG25" s="3617">
        <f>SUM('C078'!E150)</f>
        <v>0</v>
      </c>
      <c r="AH25" s="3617">
        <f t="shared" si="0"/>
        <v>230829</v>
      </c>
      <c r="AI25" s="403"/>
    </row>
    <row r="26" spans="1:35">
      <c r="A26" s="1608" t="s">
        <v>1380</v>
      </c>
      <c r="B26" s="2754"/>
      <c r="C26" s="2759"/>
      <c r="D26" s="1603"/>
      <c r="E26" s="2757"/>
      <c r="F26" s="2697"/>
      <c r="G26" s="3212"/>
      <c r="H26" s="2697"/>
      <c r="I26" s="2697"/>
      <c r="L26" s="403">
        <v>2700</v>
      </c>
      <c r="M26" s="3617">
        <f>SUM('C06'!E261+'C06'!E271+'C06'!E286+'C06'!E299)</f>
        <v>53575</v>
      </c>
      <c r="N26" s="3617">
        <f>SUM('C07'!E198)</f>
        <v>0</v>
      </c>
      <c r="O26" s="3617">
        <f>SUM('C08'!E230+'C08'!E240+'C08'!E255+'C08'!E278)</f>
        <v>0</v>
      </c>
      <c r="P26" s="3618"/>
      <c r="Q26" s="3617">
        <f>SUM('C011'!E161)</f>
        <v>0</v>
      </c>
      <c r="R26" s="3618"/>
      <c r="S26" s="3617">
        <f>SUM('C013'!E160)</f>
        <v>0</v>
      </c>
      <c r="T26" s="3617">
        <f>SUM('C014'!E161)</f>
        <v>0</v>
      </c>
      <c r="U26" s="3619"/>
      <c r="V26" s="3612">
        <f>SUM('C016'!E100)</f>
        <v>0</v>
      </c>
      <c r="W26" s="3618"/>
      <c r="X26" s="3618"/>
      <c r="Y26" s="3618"/>
      <c r="Z26" s="3618"/>
      <c r="AA26" s="3618"/>
      <c r="AB26" s="3618"/>
      <c r="AC26" s="3617">
        <f>SUM('C030'!E184+'C030'!E195+'C030'!E223+'C030'!E235)</f>
        <v>0</v>
      </c>
      <c r="AD26" s="3618"/>
      <c r="AE26" s="3617">
        <f>SUM('C035'!E200)</f>
        <v>0</v>
      </c>
      <c r="AF26" s="3618"/>
      <c r="AG26" s="3617">
        <f>SUM('C078'!E176+'C078'!E187+'C078'!E215+'C078'!E227)</f>
        <v>0</v>
      </c>
      <c r="AH26" s="3617">
        <f t="shared" si="0"/>
        <v>53575</v>
      </c>
      <c r="AI26" s="403"/>
    </row>
    <row r="27" spans="1:35">
      <c r="A27" s="1609" t="s">
        <v>771</v>
      </c>
      <c r="B27" s="2745">
        <v>95</v>
      </c>
      <c r="C27" s="1464">
        <v>22833</v>
      </c>
      <c r="D27" s="1464">
        <v>17891</v>
      </c>
      <c r="E27" s="2761">
        <v>20000</v>
      </c>
      <c r="F27" s="2697"/>
      <c r="G27" s="3218">
        <f>AH23</f>
        <v>184000</v>
      </c>
      <c r="H27" s="2697"/>
      <c r="I27" s="2697"/>
      <c r="L27" s="3880">
        <v>2900</v>
      </c>
      <c r="M27" s="3617">
        <f>SUM('C06'!E321:E322)</f>
        <v>0</v>
      </c>
      <c r="N27" s="3617">
        <f>SUM('C07'!E213:E214)</f>
        <v>0</v>
      </c>
      <c r="O27" s="3617">
        <f>SUM('C08'!E291:E292)</f>
        <v>0</v>
      </c>
      <c r="P27" s="3881"/>
      <c r="Q27" s="3612">
        <f>SUM('C011'!E166:E167)</f>
        <v>0</v>
      </c>
      <c r="R27" s="3893"/>
      <c r="S27" s="3612">
        <f>SUM('C013'!E165:E166)</f>
        <v>0</v>
      </c>
      <c r="T27" s="3612">
        <f>SUM('C014'!E166:E167)</f>
        <v>0</v>
      </c>
      <c r="U27" s="3612">
        <f>SUM('C015'!E161:E162)</f>
        <v>0</v>
      </c>
      <c r="V27" s="4034"/>
      <c r="W27" s="3612">
        <f>SUM('C018'!E169:E170)</f>
        <v>0</v>
      </c>
      <c r="X27" s="3612">
        <f>SUM('C022'!E156:E157)</f>
        <v>0</v>
      </c>
      <c r="Y27" s="3893"/>
      <c r="Z27" s="3612">
        <f>SUM('C026'!E57:E58)</f>
        <v>0</v>
      </c>
      <c r="AA27" s="3881">
        <f>SUM('C028'!E94:E95)</f>
        <v>0</v>
      </c>
      <c r="AB27" s="3881">
        <f>SUM('C029'!E169:E170)</f>
        <v>0</v>
      </c>
      <c r="AC27" s="3612">
        <f>SUM('C030'!E248:E249)</f>
        <v>0</v>
      </c>
      <c r="AD27" s="3612">
        <f>SUM('C034'!E173:E174)</f>
        <v>0</v>
      </c>
      <c r="AE27" s="3612">
        <f>SUM('C035'!E215:E216)</f>
        <v>0</v>
      </c>
      <c r="AF27" s="3612">
        <f>SUM('C057'!E174:E175)</f>
        <v>0</v>
      </c>
      <c r="AG27" s="3612">
        <f>SUM('C078'!E240:E241)</f>
        <v>0</v>
      </c>
      <c r="AH27" s="3617">
        <f t="shared" si="0"/>
        <v>0</v>
      </c>
      <c r="AI27" s="3881"/>
    </row>
    <row r="28" spans="1:35">
      <c r="A28" s="1608" t="s">
        <v>1755</v>
      </c>
      <c r="B28" s="2754"/>
      <c r="C28" s="2759"/>
      <c r="D28" s="1603"/>
      <c r="E28" s="2757"/>
      <c r="F28" s="2697"/>
      <c r="G28" s="3212"/>
      <c r="H28" s="2697"/>
      <c r="I28" s="2697"/>
      <c r="L28" s="403">
        <v>3000</v>
      </c>
      <c r="M28" s="3620"/>
      <c r="N28" s="3915"/>
      <c r="O28" s="3620"/>
      <c r="P28" s="3620"/>
      <c r="Q28" s="3620"/>
      <c r="R28" s="3620"/>
      <c r="S28" s="3620"/>
      <c r="T28" s="3620"/>
      <c r="U28" s="3620"/>
      <c r="V28" s="3614">
        <f>SUM('C016'!E132)</f>
        <v>0</v>
      </c>
      <c r="W28" s="3620"/>
      <c r="X28" s="3620"/>
      <c r="Y28" s="3894">
        <f>SUM('C024'!E85:E86)</f>
        <v>90000</v>
      </c>
      <c r="Z28" s="3620"/>
      <c r="AA28" s="3620"/>
      <c r="AB28" s="3620"/>
      <c r="AC28" s="3620"/>
      <c r="AD28" s="3620"/>
      <c r="AE28" s="3894">
        <f>SUM('C035'!E230:E231)</f>
        <v>0</v>
      </c>
      <c r="AF28" s="3620"/>
      <c r="AG28" s="3620"/>
      <c r="AH28">
        <f t="shared" si="0"/>
        <v>90000</v>
      </c>
      <c r="AI28" s="2697"/>
    </row>
    <row r="29" spans="1:35">
      <c r="A29" s="1609" t="s">
        <v>771</v>
      </c>
      <c r="B29" s="2745">
        <v>100</v>
      </c>
      <c r="C29" s="1464">
        <v>2172</v>
      </c>
      <c r="D29" s="1464">
        <v>2046</v>
      </c>
      <c r="E29" s="2761">
        <v>5000</v>
      </c>
      <c r="F29" s="2697"/>
      <c r="G29" s="3218">
        <f>AH24</f>
        <v>24000</v>
      </c>
      <c r="H29" s="2697"/>
      <c r="I29" s="2697"/>
      <c r="L29" s="2697"/>
      <c r="M29" s="3213">
        <f t="shared" ref="M29:AG29" si="1">SUM(M19:M28)</f>
        <v>1723441</v>
      </c>
      <c r="N29" s="3213">
        <f t="shared" si="1"/>
        <v>60000</v>
      </c>
      <c r="O29" s="3213">
        <f t="shared" si="1"/>
        <v>134829</v>
      </c>
      <c r="P29" s="3213">
        <f t="shared" si="1"/>
        <v>0</v>
      </c>
      <c r="Q29" s="3213">
        <f t="shared" si="1"/>
        <v>0</v>
      </c>
      <c r="R29" s="3213">
        <f t="shared" si="1"/>
        <v>0</v>
      </c>
      <c r="S29" s="3213">
        <f t="shared" si="1"/>
        <v>161497</v>
      </c>
      <c r="T29" s="3213">
        <f t="shared" si="1"/>
        <v>0</v>
      </c>
      <c r="U29" s="3213">
        <f t="shared" si="1"/>
        <v>0</v>
      </c>
      <c r="V29" s="3213">
        <f>SUM(V19:V28)</f>
        <v>30000</v>
      </c>
      <c r="W29" s="3213">
        <f t="shared" si="1"/>
        <v>7000</v>
      </c>
      <c r="X29" s="3213">
        <f t="shared" si="1"/>
        <v>0</v>
      </c>
      <c r="Y29" s="3213">
        <f t="shared" si="1"/>
        <v>103000</v>
      </c>
      <c r="Z29" s="3213">
        <f t="shared" si="1"/>
        <v>0</v>
      </c>
      <c r="AA29" s="3213">
        <f t="shared" si="1"/>
        <v>0</v>
      </c>
      <c r="AB29" s="3213">
        <f t="shared" si="1"/>
        <v>12000</v>
      </c>
      <c r="AC29" s="3213">
        <f t="shared" si="1"/>
        <v>3050</v>
      </c>
      <c r="AD29" s="3213">
        <f t="shared" si="1"/>
        <v>230000</v>
      </c>
      <c r="AE29" s="3213">
        <f t="shared" si="1"/>
        <v>0</v>
      </c>
      <c r="AF29" s="3213">
        <f t="shared" si="1"/>
        <v>0</v>
      </c>
      <c r="AG29" s="3213">
        <f t="shared" si="1"/>
        <v>0</v>
      </c>
      <c r="AH29" s="3213">
        <f t="shared" si="0"/>
        <v>2464817</v>
      </c>
    </row>
    <row r="30" spans="1:35">
      <c r="A30" s="1608" t="s">
        <v>1381</v>
      </c>
      <c r="B30" s="2754"/>
      <c r="C30" s="2759"/>
      <c r="D30" s="1603"/>
      <c r="E30" s="2757"/>
      <c r="F30" s="2697"/>
      <c r="G30" s="3212"/>
      <c r="H30" s="2697"/>
      <c r="I30" s="2697"/>
    </row>
    <row r="31" spans="1:35">
      <c r="A31" s="1609" t="s">
        <v>771</v>
      </c>
      <c r="B31" s="2745">
        <v>105</v>
      </c>
      <c r="C31" s="1464">
        <v>18566</v>
      </c>
      <c r="D31" s="1464">
        <v>18366</v>
      </c>
      <c r="E31" s="2761">
        <v>24000</v>
      </c>
      <c r="F31" s="2697"/>
      <c r="G31" s="3218">
        <f>AH25</f>
        <v>230829</v>
      </c>
      <c r="H31" s="2697"/>
      <c r="I31" s="2697"/>
    </row>
    <row r="32" spans="1:35">
      <c r="A32" s="1608" t="s">
        <v>1382</v>
      </c>
      <c r="B32" s="2754"/>
      <c r="C32" s="2759"/>
      <c r="D32" s="1603"/>
      <c r="E32" s="2757"/>
      <c r="F32" s="2697"/>
      <c r="G32" s="3212"/>
      <c r="H32" s="2697"/>
      <c r="I32" s="2697"/>
    </row>
    <row r="33" spans="1:34">
      <c r="A33" s="1609" t="s">
        <v>771</v>
      </c>
      <c r="B33" s="2745">
        <v>110</v>
      </c>
      <c r="C33" s="3267">
        <v>3362</v>
      </c>
      <c r="D33" s="1464">
        <v>2125</v>
      </c>
      <c r="E33" s="2761">
        <v>6500</v>
      </c>
      <c r="F33" s="2697"/>
      <c r="G33" s="3218">
        <f>AH26</f>
        <v>53575</v>
      </c>
      <c r="H33" s="2697"/>
      <c r="I33" s="2697"/>
    </row>
    <row r="34" spans="1:34" s="3860" customFormat="1">
      <c r="A34" s="1608" t="s">
        <v>1756</v>
      </c>
      <c r="B34" s="3879"/>
      <c r="C34" s="3220"/>
      <c r="D34" s="3870"/>
      <c r="E34" s="3870"/>
      <c r="F34" s="2697"/>
      <c r="G34" s="3218"/>
      <c r="H34" s="2697"/>
      <c r="I34" s="2697"/>
      <c r="L34"/>
      <c r="M34"/>
      <c r="N34"/>
      <c r="O34"/>
      <c r="P34"/>
      <c r="Q34"/>
      <c r="R34"/>
      <c r="S34"/>
      <c r="T34"/>
      <c r="U34"/>
      <c r="V34" s="4019"/>
      <c r="W34"/>
      <c r="X34"/>
      <c r="Y34"/>
      <c r="Z34"/>
      <c r="AA34"/>
      <c r="AB34"/>
      <c r="AC34"/>
      <c r="AD34"/>
      <c r="AE34"/>
      <c r="AF34"/>
      <c r="AG34"/>
      <c r="AH34"/>
    </row>
    <row r="35" spans="1:34" s="3860" customFormat="1">
      <c r="A35" s="1609" t="s">
        <v>771</v>
      </c>
      <c r="B35" s="2745">
        <v>113</v>
      </c>
      <c r="C35" s="3872"/>
      <c r="D35" s="2761"/>
      <c r="E35" s="2761"/>
      <c r="F35" s="2697"/>
      <c r="G35" s="3218">
        <f>AH27</f>
        <v>0</v>
      </c>
      <c r="H35" s="2697"/>
      <c r="I35" s="2697"/>
      <c r="V35" s="3820"/>
    </row>
    <row r="36" spans="1:34">
      <c r="A36" s="1608" t="s">
        <v>1383</v>
      </c>
      <c r="B36" s="2754"/>
      <c r="C36" s="1603"/>
      <c r="D36" s="3120"/>
      <c r="E36" s="2757"/>
      <c r="F36" s="2697"/>
      <c r="G36" s="3212"/>
      <c r="H36" s="2697"/>
      <c r="I36" s="2697"/>
      <c r="L36" s="3860"/>
      <c r="M36" s="3860"/>
      <c r="N36" s="3860"/>
      <c r="O36" s="3860"/>
      <c r="P36" s="3860"/>
      <c r="Q36" s="3860"/>
      <c r="R36" s="3860"/>
      <c r="S36" s="3860"/>
      <c r="T36" s="3860"/>
      <c r="U36" s="3860"/>
      <c r="W36" s="3860"/>
      <c r="X36" s="3860"/>
      <c r="Y36" s="3860"/>
      <c r="Z36" s="3860"/>
      <c r="AA36" s="3860"/>
      <c r="AB36" s="3860"/>
      <c r="AC36" s="3860"/>
      <c r="AD36" s="3860"/>
      <c r="AE36" s="3860"/>
      <c r="AF36" s="3860"/>
      <c r="AG36" s="3860"/>
      <c r="AH36" s="3860"/>
    </row>
    <row r="37" spans="1:34">
      <c r="A37" s="1609" t="s">
        <v>771</v>
      </c>
      <c r="B37" s="2745">
        <v>115</v>
      </c>
      <c r="C37" s="1464">
        <v>7707</v>
      </c>
      <c r="D37" s="2761">
        <v>6684</v>
      </c>
      <c r="E37" s="2761">
        <v>11000</v>
      </c>
      <c r="F37" s="2697"/>
      <c r="G37" s="3219">
        <f>AH28</f>
        <v>90000</v>
      </c>
      <c r="H37" s="2697"/>
      <c r="I37" s="2697"/>
    </row>
    <row r="38" spans="1:34">
      <c r="A38" s="1604" t="s">
        <v>761</v>
      </c>
      <c r="B38" s="2755">
        <v>175</v>
      </c>
      <c r="C38" s="1592">
        <f>IF(G44=C16,G44,"Exp. &lt;&gt; Resources")</f>
        <v>231281</v>
      </c>
      <c r="D38" s="2763">
        <f>IF(H44=D16,H44,"Exp. &lt;&gt; Resources")</f>
        <v>193062</v>
      </c>
      <c r="E38" s="2763">
        <f>IF(I44=E16, I44,"Exp. &lt;&gt; Resources")</f>
        <v>266624</v>
      </c>
      <c r="F38" s="2697"/>
      <c r="G38" s="3218">
        <f>SUM(G19:G37)</f>
        <v>2464817</v>
      </c>
      <c r="H38" s="2697"/>
      <c r="I38" s="2697"/>
    </row>
    <row r="39" spans="1:34">
      <c r="A39" s="1609" t="s">
        <v>1250</v>
      </c>
      <c r="B39" s="2764">
        <v>190</v>
      </c>
      <c r="C39" s="2766" t="s">
        <v>787</v>
      </c>
      <c r="D39" s="2750" t="s">
        <v>787</v>
      </c>
      <c r="E39" s="2765" t="s">
        <v>787</v>
      </c>
      <c r="F39" s="2697"/>
      <c r="G39" s="2697"/>
      <c r="H39" s="2697"/>
      <c r="I39" s="2697"/>
    </row>
    <row r="40" spans="1:34">
      <c r="A40" s="1426"/>
      <c r="B40" s="2782"/>
      <c r="C40" s="1426"/>
      <c r="D40" s="1426"/>
      <c r="E40" s="1426"/>
      <c r="F40" s="2697"/>
      <c r="G40" s="2697"/>
      <c r="H40" s="2697"/>
      <c r="I40" s="2697"/>
    </row>
    <row r="41" spans="1:34" ht="13.5" customHeight="1">
      <c r="A41" s="3308" t="str">
        <f>IF(E16=E19,"Please spread expenditures out over categories besides just 1000.","")</f>
        <v/>
      </c>
      <c r="B41" s="2751"/>
      <c r="C41" s="2751"/>
      <c r="D41" s="2751"/>
      <c r="E41" s="2751"/>
      <c r="F41" s="2697"/>
      <c r="G41" s="3616" t="s">
        <v>1384</v>
      </c>
      <c r="H41" s="2977"/>
      <c r="I41" s="2697"/>
    </row>
    <row r="42" spans="1:34" ht="14.25" customHeight="1">
      <c r="A42" s="3426"/>
      <c r="B42" s="2752"/>
      <c r="C42" s="2752"/>
      <c r="D42" s="2752"/>
      <c r="E42" s="2752"/>
      <c r="G42" s="2978" t="str">
        <f>C6</f>
        <v>2014-2015</v>
      </c>
      <c r="H42" s="2978" t="str">
        <f>D6</f>
        <v>2015-2016</v>
      </c>
      <c r="I42" s="2978" t="str">
        <f>E6</f>
        <v>2016-2017</v>
      </c>
    </row>
    <row r="43" spans="1:34" ht="14.25">
      <c r="A43" s="3804"/>
      <c r="B43" s="1479"/>
      <c r="C43" s="1427"/>
      <c r="D43" s="1427"/>
      <c r="E43" s="1427"/>
      <c r="G43" s="3612">
        <f>C16</f>
        <v>231281</v>
      </c>
      <c r="H43" s="3612">
        <f>D16</f>
        <v>193062</v>
      </c>
      <c r="I43" s="3613">
        <f>E16</f>
        <v>266624</v>
      </c>
      <c r="J43" s="3210" t="s">
        <v>982</v>
      </c>
    </row>
    <row r="44" spans="1:34" ht="14.25">
      <c r="A44" s="2743"/>
      <c r="B44" s="1479"/>
      <c r="C44" s="1427"/>
      <c r="D44" s="1427"/>
      <c r="E44" s="1427"/>
      <c r="F44" s="3798"/>
      <c r="G44" s="3614">
        <f>SUM(C19:C37)</f>
        <v>231281</v>
      </c>
      <c r="H44" s="3614">
        <f>SUM(D19:D37)</f>
        <v>193062</v>
      </c>
      <c r="I44" s="3615">
        <f>SUM(E19:E37)</f>
        <v>266624</v>
      </c>
      <c r="J44" s="3210" t="s">
        <v>981</v>
      </c>
    </row>
    <row r="45" spans="1:34" ht="14.25">
      <c r="A45" s="2743"/>
      <c r="B45" s="1479"/>
      <c r="C45" s="1427"/>
      <c r="D45" s="1427"/>
      <c r="E45" s="1427"/>
      <c r="G45" s="3612">
        <f>SUM(G43-G44)</f>
        <v>0</v>
      </c>
      <c r="H45" s="3613">
        <f>SUM(H43-H44)</f>
        <v>0</v>
      </c>
      <c r="I45" s="3613">
        <f>SUM(I43-I44)</f>
        <v>0</v>
      </c>
      <c r="J45" s="3210" t="s">
        <v>983</v>
      </c>
    </row>
    <row r="46" spans="1:34">
      <c r="G46" s="2697"/>
      <c r="H46" s="2697"/>
      <c r="I46" s="2697"/>
      <c r="J46" s="3210" t="s">
        <v>984</v>
      </c>
    </row>
    <row r="47" spans="1:34">
      <c r="G47" s="2697"/>
      <c r="H47" s="2697"/>
    </row>
    <row r="49" spans="2:2">
      <c r="B49" s="3427" t="s">
        <v>1364</v>
      </c>
    </row>
  </sheetData>
  <sheetProtection algorithmName="SHA-512" hashValue="yne6v+sauhPcx+I0yftnxzpHzmj182na/sw36SUXT28DqvkUvWSkfAR+Y7dWRn+h+921R7BOhwtev0xmPAV8jA==" saltValue="duQS00LktoQ6kQS1s5+T5Q==" spinCount="100000" sheet="1" objects="1" scenarios="1"/>
  <phoneticPr fontId="9" type="noConversion"/>
  <dataValidations count="4">
    <dataValidation type="whole" operator="greaterThanOrEqual" showInputMessage="1" showErrorMessage="1" errorTitle="Invalid Data Entry " error="Please enter a positive number or press the delete key or enter zero." sqref="E33:E34 E37 E31 E29 E21 E23 E25 E27 E19 E13:E14">
      <formula1>0</formula1>
    </dataValidation>
    <dataValidation operator="greaterThanOrEqual" showInputMessage="1" showErrorMessage="1" errorTitle="Invalid Data Entry " error="Please enter a positive number or press the delete key or enter zero." sqref="D10 C37:D37 C31:D31 C29:D29 C19:D19 C21:D21 C23:D23 C25:D25 C27:D27 C13:D15 C33:D34"/>
    <dataValidation type="whole" operator="greaterThanOrEqual" showInputMessage="1" showErrorMessage="1" errorTitle="Invalid Data Entry" error="Please enter a positive number or press the delete key or enter a zero." sqref="C35:E35">
      <formula1>0</formula1>
    </dataValidation>
    <dataValidation operator="greaterThanOrEqual" errorTitle="Invalid Data Entry " error="Please enter a positive number or press the delete key or enter zero." sqref="E15"/>
  </dataValidations>
  <hyperlinks>
    <hyperlink ref="G1" location="Contents!F1" display="Return to Contents page"/>
  </hyperlinks>
  <printOptions horizontalCentered="1"/>
  <pageMargins left="0.5" right="0.5" top="0.75" bottom="1" header="0.5" footer="0.5"/>
  <pageSetup orientation="portrait" blackAndWhite="1" r:id="rId1"/>
  <headerFooter alignWithMargins="0">
    <oddFooter>&amp;L&amp;D  &amp;T &amp;CCode No. 51</oddFooter>
  </headerFooter>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4" tint="0.39997558519241921"/>
  </sheetPr>
  <dimension ref="A1:Q294"/>
  <sheetViews>
    <sheetView zoomScaleNormal="100" workbookViewId="0">
      <selection activeCell="E260" sqref="E260"/>
    </sheetView>
  </sheetViews>
  <sheetFormatPr defaultColWidth="10.7109375" defaultRowHeight="12.6" customHeight="1"/>
  <cols>
    <col min="1" max="1" width="41.5703125" style="1660" customWidth="1"/>
    <col min="2" max="2" width="4.85546875" style="1732" customWidth="1"/>
    <col min="3" max="3" width="15.7109375" style="1656" customWidth="1"/>
    <col min="4" max="4" width="16.5703125" style="1656" customWidth="1"/>
    <col min="5" max="5" width="15.7109375" style="1656" customWidth="1"/>
    <col min="6" max="6" width="2.28515625" style="1656" customWidth="1"/>
    <col min="7" max="7" width="21" style="1656" customWidth="1"/>
    <col min="8" max="16384" width="10.7109375" style="1656"/>
  </cols>
  <sheetData>
    <row r="1" spans="1:17" ht="12.6" customHeight="1">
      <c r="A1" s="1652" t="s">
        <v>1019</v>
      </c>
      <c r="B1" s="1653">
        <f>OPEN!$B$4</f>
        <v>270</v>
      </c>
      <c r="C1" s="1654"/>
      <c r="D1" s="1654"/>
      <c r="E1" s="1652" t="s">
        <v>1020</v>
      </c>
      <c r="F1" s="1655"/>
      <c r="G1" s="3013" t="s">
        <v>866</v>
      </c>
    </row>
    <row r="2" spans="1:17" ht="12.6" customHeight="1">
      <c r="A2" s="1654"/>
      <c r="B2" s="1653"/>
      <c r="C2" s="1654"/>
      <c r="D2" s="1654"/>
      <c r="E2" s="1652" t="s">
        <v>1212</v>
      </c>
      <c r="F2" s="1655"/>
    </row>
    <row r="3" spans="1:17" ht="12.6" customHeight="1">
      <c r="A3" s="1654"/>
      <c r="B3" s="1653"/>
      <c r="C3" s="1654"/>
      <c r="D3" s="1654"/>
      <c r="E3" s="1652" t="str">
        <f>OPEN!N2</f>
        <v>2016-2017</v>
      </c>
      <c r="F3" s="1655"/>
    </row>
    <row r="4" spans="1:17" ht="11.25" customHeight="1">
      <c r="A4" s="1654"/>
      <c r="B4" s="1653"/>
      <c r="C4" s="1654"/>
      <c r="D4" s="1654"/>
      <c r="E4" s="1654"/>
      <c r="F4" s="1655"/>
    </row>
    <row r="5" spans="1:17" ht="12.6" customHeight="1">
      <c r="A5" s="1654"/>
      <c r="B5" s="1653"/>
      <c r="C5" s="1657" t="s">
        <v>1213</v>
      </c>
      <c r="D5" s="1657" t="s">
        <v>1213</v>
      </c>
      <c r="E5" s="1657" t="s">
        <v>1213</v>
      </c>
      <c r="F5" s="1655"/>
    </row>
    <row r="6" spans="1:17" ht="12.6" customHeight="1">
      <c r="A6" s="1654"/>
      <c r="B6" s="1658" t="s">
        <v>1045</v>
      </c>
      <c r="C6" s="1659" t="str">
        <f>OPEN!N4</f>
        <v>2014-2015</v>
      </c>
      <c r="D6" s="1659" t="str">
        <f>OPEN!O4</f>
        <v>2015-2016</v>
      </c>
      <c r="E6" s="1659" t="str">
        <f>E3</f>
        <v>2016-2017</v>
      </c>
      <c r="F6" s="1655"/>
      <c r="K6" s="1660"/>
      <c r="L6" s="1660"/>
      <c r="M6" s="1660"/>
      <c r="N6" s="1661"/>
      <c r="O6" s="1660"/>
      <c r="P6" s="1660"/>
      <c r="Q6" s="1660"/>
    </row>
    <row r="7" spans="1:17" ht="12.6" customHeight="1">
      <c r="A7" s="1662" t="s">
        <v>780</v>
      </c>
      <c r="B7" s="1663">
        <v>53</v>
      </c>
      <c r="C7" s="1664" t="s">
        <v>1139</v>
      </c>
      <c r="D7" s="1664" t="s">
        <v>1139</v>
      </c>
      <c r="E7" s="3546" t="s">
        <v>1215</v>
      </c>
      <c r="F7" s="1655"/>
      <c r="N7" s="1660"/>
      <c r="O7" s="1665"/>
      <c r="P7" s="1665"/>
      <c r="Q7" s="1665"/>
    </row>
    <row r="8" spans="1:17" ht="12.6" customHeight="1">
      <c r="A8" s="1666"/>
      <c r="B8" s="1667" t="s">
        <v>1051</v>
      </c>
      <c r="C8" s="1668">
        <v>1</v>
      </c>
      <c r="D8" s="1668">
        <v>2</v>
      </c>
      <c r="E8" s="1668">
        <v>3</v>
      </c>
      <c r="F8" s="1655"/>
      <c r="G8" s="1669"/>
      <c r="H8" s="5098"/>
      <c r="N8" s="1660"/>
      <c r="O8" s="1665"/>
      <c r="P8" s="1665"/>
      <c r="Q8" s="1665"/>
    </row>
    <row r="9" spans="1:17" ht="12.6" customHeight="1">
      <c r="A9" s="1670" t="s">
        <v>1402</v>
      </c>
      <c r="B9" s="1671">
        <v>1</v>
      </c>
      <c r="C9" s="1708">
        <v>270532</v>
      </c>
      <c r="D9" s="1672">
        <f>C15</f>
        <v>300089</v>
      </c>
      <c r="E9" s="2581">
        <f>D15</f>
        <v>267979</v>
      </c>
      <c r="F9" s="1655"/>
      <c r="N9" s="1660"/>
      <c r="O9" s="1665"/>
      <c r="P9" s="1665"/>
      <c r="Q9" s="1665"/>
    </row>
    <row r="10" spans="1:17" ht="12.6" customHeight="1">
      <c r="A10" s="1673" t="s">
        <v>1403</v>
      </c>
      <c r="B10" s="1674">
        <v>3</v>
      </c>
      <c r="C10" s="1704"/>
      <c r="D10" s="1675"/>
      <c r="E10" s="1700"/>
      <c r="F10" s="1655"/>
      <c r="N10" s="1660"/>
      <c r="O10" s="1665"/>
      <c r="P10" s="1665"/>
      <c r="Q10" s="1665"/>
    </row>
    <row r="11" spans="1:17" ht="12.6" customHeight="1">
      <c r="A11" s="1676" t="s">
        <v>1242</v>
      </c>
      <c r="B11" s="1677"/>
      <c r="C11" s="1701"/>
      <c r="D11" s="1678"/>
      <c r="E11" s="1700"/>
      <c r="F11" s="1655"/>
      <c r="N11" s="1660"/>
      <c r="O11" s="1665"/>
      <c r="P11" s="1665"/>
      <c r="Q11" s="1665"/>
    </row>
    <row r="12" spans="1:17" ht="12.6" customHeight="1">
      <c r="A12" s="1673" t="s">
        <v>80</v>
      </c>
      <c r="B12" s="1671">
        <v>5</v>
      </c>
      <c r="C12" s="2549">
        <f>'C06'!$C$353</f>
        <v>69454</v>
      </c>
      <c r="D12" s="1679">
        <f>'C06'!$D$353</f>
        <v>0</v>
      </c>
      <c r="E12" s="1700"/>
      <c r="F12" s="1655"/>
      <c r="N12" s="1660"/>
      <c r="O12" s="1665"/>
      <c r="P12" s="1665"/>
      <c r="Q12" s="1665"/>
    </row>
    <row r="13" spans="1:17" ht="12.6" customHeight="1">
      <c r="A13" s="1680" t="s">
        <v>1245</v>
      </c>
      <c r="B13" s="1681">
        <v>170</v>
      </c>
      <c r="C13" s="2549">
        <f>SUM(C9:C12)</f>
        <v>339986</v>
      </c>
      <c r="D13" s="1679">
        <f>SUM(D9:D12)</f>
        <v>300089</v>
      </c>
      <c r="E13" s="1700"/>
      <c r="F13" s="1655"/>
      <c r="N13" s="1660"/>
      <c r="O13" s="1660"/>
      <c r="P13" s="1660"/>
      <c r="Q13" s="1660"/>
    </row>
    <row r="14" spans="1:17" ht="12.6" customHeight="1">
      <c r="A14" s="1670" t="s">
        <v>1248</v>
      </c>
      <c r="B14" s="1681">
        <v>175</v>
      </c>
      <c r="C14" s="2550">
        <f>C278</f>
        <v>39897</v>
      </c>
      <c r="D14" s="1672">
        <f>D278</f>
        <v>32110</v>
      </c>
      <c r="E14" s="3599" t="str">
        <f>IF(AND(E260&gt;0,E260&gt;E9),"&lt;--ERROR-check transfer to general","")</f>
        <v/>
      </c>
      <c r="F14" s="1655"/>
      <c r="N14" s="1661"/>
      <c r="O14" s="1660"/>
      <c r="P14" s="1660"/>
      <c r="Q14" s="1660"/>
    </row>
    <row r="15" spans="1:17" ht="12.6" customHeight="1">
      <c r="A15" s="1670" t="s">
        <v>1250</v>
      </c>
      <c r="B15" s="1681">
        <v>190</v>
      </c>
      <c r="C15" s="2550">
        <f>SUM(C13-C14)</f>
        <v>300089</v>
      </c>
      <c r="D15" s="1672">
        <f>SUM(D13-D14)</f>
        <v>267979</v>
      </c>
      <c r="E15" s="1673"/>
      <c r="F15" s="1655"/>
      <c r="N15" s="1660"/>
      <c r="O15" s="1682"/>
      <c r="P15" s="1682"/>
      <c r="Q15" s="1682"/>
    </row>
    <row r="16" spans="1:17" ht="9" customHeight="1">
      <c r="A16" s="1654"/>
      <c r="B16" s="1653"/>
      <c r="C16" s="1654"/>
      <c r="D16" s="1654"/>
      <c r="E16" s="1654"/>
      <c r="F16" s="1655"/>
      <c r="N16" s="1660"/>
      <c r="O16" s="1682"/>
      <c r="P16" s="1682"/>
      <c r="Q16" s="1682"/>
    </row>
    <row r="17" spans="1:17" ht="11.85" customHeight="1">
      <c r="A17" s="1683"/>
      <c r="B17" s="1684"/>
      <c r="C17" s="1685" t="s">
        <v>1213</v>
      </c>
      <c r="D17" s="1685" t="s">
        <v>1213</v>
      </c>
      <c r="E17" s="1685" t="s">
        <v>1213</v>
      </c>
      <c r="F17" s="1686"/>
      <c r="N17" s="1660"/>
      <c r="O17" s="1682"/>
      <c r="P17" s="1682"/>
      <c r="Q17" s="1682"/>
    </row>
    <row r="18" spans="1:17" ht="11.85" customHeight="1">
      <c r="A18" s="1687" t="s">
        <v>780</v>
      </c>
      <c r="B18" s="1688" t="s">
        <v>1045</v>
      </c>
      <c r="C18" s="1689" t="str">
        <f>C6</f>
        <v>2014-2015</v>
      </c>
      <c r="D18" s="1689" t="str">
        <f>D6</f>
        <v>2015-2016</v>
      </c>
      <c r="E18" s="1659" t="str">
        <f>E6</f>
        <v>2016-2017</v>
      </c>
      <c r="F18" s="1686"/>
      <c r="N18" s="1660"/>
      <c r="O18" s="1682"/>
      <c r="P18" s="1682"/>
      <c r="Q18" s="1682"/>
    </row>
    <row r="19" spans="1:17" ht="11.85" customHeight="1">
      <c r="A19" s="1687" t="s">
        <v>81</v>
      </c>
      <c r="B19" s="1690">
        <v>53</v>
      </c>
      <c r="C19" s="1691" t="s">
        <v>1139</v>
      </c>
      <c r="D19" s="1691" t="s">
        <v>1139</v>
      </c>
      <c r="E19" s="3544" t="s">
        <v>1215</v>
      </c>
      <c r="F19" s="1686"/>
      <c r="N19" s="1660"/>
      <c r="O19" s="1660"/>
      <c r="P19" s="1660"/>
      <c r="Q19" s="1660"/>
    </row>
    <row r="20" spans="1:17" ht="11.85" customHeight="1">
      <c r="A20" s="1692"/>
      <c r="B20" s="1693" t="s">
        <v>1051</v>
      </c>
      <c r="C20" s="1694">
        <v>1</v>
      </c>
      <c r="D20" s="1694">
        <v>2</v>
      </c>
      <c r="E20" s="1694">
        <v>3</v>
      </c>
      <c r="F20" s="1686"/>
      <c r="N20" s="1660"/>
      <c r="O20" s="1682"/>
      <c r="P20" s="1682"/>
      <c r="Q20" s="1682"/>
    </row>
    <row r="21" spans="1:17" ht="11.85" customHeight="1">
      <c r="A21" s="1695" t="s">
        <v>1267</v>
      </c>
      <c r="B21" s="1696"/>
      <c r="C21" s="1676"/>
      <c r="D21" s="1709"/>
      <c r="E21" s="1676"/>
      <c r="F21" s="1686"/>
    </row>
    <row r="22" spans="1:17" ht="11.85" customHeight="1">
      <c r="A22" s="1698" t="s">
        <v>1268</v>
      </c>
      <c r="B22" s="1699"/>
      <c r="C22" s="1700"/>
      <c r="D22" s="1678"/>
      <c r="E22" s="1700"/>
      <c r="F22" s="1686"/>
    </row>
    <row r="23" spans="1:17" ht="11.85" customHeight="1">
      <c r="A23" s="1702" t="s">
        <v>1269</v>
      </c>
      <c r="B23" s="1703">
        <v>210</v>
      </c>
      <c r="C23" s="1704"/>
      <c r="D23" s="1675"/>
      <c r="E23" s="1700"/>
      <c r="F23" s="1686"/>
    </row>
    <row r="24" spans="1:17" ht="11.85" customHeight="1">
      <c r="A24" s="1705" t="s">
        <v>1270</v>
      </c>
      <c r="B24" s="1706">
        <v>215</v>
      </c>
      <c r="C24" s="1708"/>
      <c r="D24" s="1707"/>
      <c r="E24" s="1700"/>
      <c r="F24" s="1686"/>
    </row>
    <row r="25" spans="1:17" ht="11.85" customHeight="1">
      <c r="A25" s="1695" t="s">
        <v>1271</v>
      </c>
      <c r="B25" s="1696"/>
      <c r="C25" s="1697"/>
      <c r="D25" s="1709"/>
      <c r="E25" s="1700"/>
      <c r="F25" s="1686"/>
    </row>
    <row r="26" spans="1:17" ht="11.85" customHeight="1">
      <c r="A26" s="1702" t="s">
        <v>1272</v>
      </c>
      <c r="B26" s="1703">
        <v>220</v>
      </c>
      <c r="C26" s="1704"/>
      <c r="D26" s="1675"/>
      <c r="E26" s="1700"/>
      <c r="F26" s="1686"/>
    </row>
    <row r="27" spans="1:17" ht="11.85" customHeight="1">
      <c r="A27" s="1705" t="s">
        <v>1273</v>
      </c>
      <c r="B27" s="1706">
        <v>225</v>
      </c>
      <c r="C27" s="1708"/>
      <c r="D27" s="1707"/>
      <c r="E27" s="1700"/>
      <c r="F27" s="1686"/>
    </row>
    <row r="28" spans="1:17" ht="11.85" customHeight="1">
      <c r="A28" s="1705" t="s">
        <v>1276</v>
      </c>
      <c r="B28" s="1706">
        <v>230</v>
      </c>
      <c r="C28" s="1708"/>
      <c r="D28" s="1707"/>
      <c r="E28" s="1700"/>
      <c r="F28" s="1686"/>
    </row>
    <row r="29" spans="1:17" ht="11.85" customHeight="1">
      <c r="A29" s="1695" t="s">
        <v>781</v>
      </c>
      <c r="B29" s="1703">
        <v>235</v>
      </c>
      <c r="C29" s="2551"/>
      <c r="D29" s="1710"/>
      <c r="E29" s="1700"/>
      <c r="F29" s="1686"/>
    </row>
    <row r="30" spans="1:17" ht="11.85" customHeight="1">
      <c r="A30" s="2959" t="s">
        <v>711</v>
      </c>
      <c r="B30" s="2960">
        <v>237</v>
      </c>
      <c r="C30" s="2551"/>
      <c r="D30" s="1710"/>
      <c r="E30" s="1700"/>
      <c r="F30" s="1686"/>
    </row>
    <row r="31" spans="1:17" ht="11.85" customHeight="1">
      <c r="A31" s="1695" t="s">
        <v>1282</v>
      </c>
      <c r="B31" s="1696"/>
      <c r="C31" s="1697"/>
      <c r="D31" s="1709"/>
      <c r="E31" s="1700"/>
      <c r="F31" s="1686"/>
    </row>
    <row r="32" spans="1:17" ht="11.85" customHeight="1">
      <c r="A32" s="1698" t="s">
        <v>1283</v>
      </c>
      <c r="B32" s="1699"/>
      <c r="C32" s="1701"/>
      <c r="D32" s="1678"/>
      <c r="E32" s="1700"/>
      <c r="F32" s="1686"/>
    </row>
    <row r="33" spans="1:6" ht="11.85" customHeight="1">
      <c r="A33" s="1702" t="s">
        <v>1284</v>
      </c>
      <c r="B33" s="1703">
        <v>240</v>
      </c>
      <c r="C33" s="1704"/>
      <c r="D33" s="1675"/>
      <c r="E33" s="1700"/>
      <c r="F33" s="1686"/>
    </row>
    <row r="34" spans="1:6" ht="11.85" customHeight="1">
      <c r="A34" s="1695" t="s">
        <v>1285</v>
      </c>
      <c r="B34" s="1696">
        <v>245</v>
      </c>
      <c r="C34" s="2551"/>
      <c r="D34" s="1710"/>
      <c r="E34" s="1700"/>
      <c r="F34" s="1686"/>
    </row>
    <row r="35" spans="1:6" ht="11.85" customHeight="1">
      <c r="A35" s="1705" t="s">
        <v>782</v>
      </c>
      <c r="B35" s="1706">
        <v>250</v>
      </c>
      <c r="C35" s="1708"/>
      <c r="D35" s="1707"/>
      <c r="E35" s="1700"/>
      <c r="F35" s="1686"/>
    </row>
    <row r="36" spans="1:6" ht="11.85" customHeight="1">
      <c r="A36" s="1705" t="s">
        <v>1287</v>
      </c>
      <c r="B36" s="1706">
        <v>255</v>
      </c>
      <c r="C36" s="1708"/>
      <c r="D36" s="1707"/>
      <c r="E36" s="1700"/>
      <c r="F36" s="1686"/>
    </row>
    <row r="37" spans="1:6" ht="11.85" customHeight="1">
      <c r="A37" s="1698" t="s">
        <v>1288</v>
      </c>
      <c r="B37" s="1699"/>
      <c r="C37" s="1701"/>
      <c r="D37" s="1678"/>
      <c r="E37" s="1700"/>
      <c r="F37" s="1686"/>
    </row>
    <row r="38" spans="1:6" ht="11.85" customHeight="1">
      <c r="A38" s="1702" t="s">
        <v>1289</v>
      </c>
      <c r="B38" s="1703">
        <v>260</v>
      </c>
      <c r="C38" s="1704">
        <v>39897</v>
      </c>
      <c r="D38" s="1675"/>
      <c r="E38" s="1700"/>
      <c r="F38" s="1686"/>
    </row>
    <row r="39" spans="1:6" ht="11.85" customHeight="1">
      <c r="A39" s="1711" t="s">
        <v>1290</v>
      </c>
      <c r="B39" s="1696">
        <v>265</v>
      </c>
      <c r="C39" s="1708"/>
      <c r="D39" s="1707"/>
      <c r="E39" s="1700"/>
      <c r="F39" s="1686"/>
    </row>
    <row r="40" spans="1:6" ht="11.85" customHeight="1">
      <c r="A40" s="2961" t="s">
        <v>1256</v>
      </c>
      <c r="B40" s="2962">
        <v>267</v>
      </c>
      <c r="C40" s="1708"/>
      <c r="D40" s="1707"/>
      <c r="E40" s="1700"/>
      <c r="F40" s="1686"/>
    </row>
    <row r="41" spans="1:6" ht="11.85" customHeight="1">
      <c r="A41" s="1705" t="s">
        <v>1291</v>
      </c>
      <c r="B41" s="1706">
        <v>270</v>
      </c>
      <c r="C41" s="1708"/>
      <c r="D41" s="1707"/>
      <c r="E41" s="1700"/>
      <c r="F41" s="1686"/>
    </row>
    <row r="42" spans="1:6" ht="11.85" customHeight="1">
      <c r="A42" s="1702" t="s">
        <v>1292</v>
      </c>
      <c r="B42" s="1703">
        <v>275</v>
      </c>
      <c r="C42" s="1704"/>
      <c r="D42" s="1675"/>
      <c r="E42" s="1700"/>
      <c r="F42" s="1686"/>
    </row>
    <row r="43" spans="1:6" ht="11.85" customHeight="1">
      <c r="A43" s="1705" t="s">
        <v>1293</v>
      </c>
      <c r="B43" s="1706">
        <v>280</v>
      </c>
      <c r="C43" s="1708"/>
      <c r="D43" s="1707"/>
      <c r="E43" s="1700"/>
      <c r="F43" s="1686"/>
    </row>
    <row r="44" spans="1:6" ht="11.85" customHeight="1">
      <c r="A44" s="1695" t="s">
        <v>1294</v>
      </c>
      <c r="B44" s="1696"/>
      <c r="C44" s="1697"/>
      <c r="D44" s="1709"/>
      <c r="E44" s="1700"/>
      <c r="F44" s="1686"/>
    </row>
    <row r="45" spans="1:6" ht="11.85" customHeight="1">
      <c r="A45" s="1698" t="s">
        <v>1295</v>
      </c>
      <c r="B45" s="1699"/>
      <c r="C45" s="1701"/>
      <c r="D45" s="1678"/>
      <c r="E45" s="1700"/>
      <c r="F45" s="1686"/>
    </row>
    <row r="46" spans="1:6" ht="11.85" customHeight="1">
      <c r="A46" s="1698" t="s">
        <v>1268</v>
      </c>
      <c r="B46" s="1699"/>
      <c r="C46" s="1701"/>
      <c r="D46" s="1678"/>
      <c r="E46" s="1700"/>
      <c r="F46" s="1686"/>
    </row>
    <row r="47" spans="1:6" ht="11.85" customHeight="1">
      <c r="A47" s="1702" t="s">
        <v>1269</v>
      </c>
      <c r="B47" s="1703">
        <v>285</v>
      </c>
      <c r="C47" s="1704"/>
      <c r="D47" s="1675"/>
      <c r="E47" s="1700"/>
      <c r="F47" s="1686"/>
    </row>
    <row r="48" spans="1:6" ht="11.85" customHeight="1">
      <c r="A48" s="1705" t="s">
        <v>1270</v>
      </c>
      <c r="B48" s="1706">
        <v>290</v>
      </c>
      <c r="C48" s="1708"/>
      <c r="D48" s="1707"/>
      <c r="E48" s="1700"/>
      <c r="F48" s="1686"/>
    </row>
    <row r="49" spans="1:6" ht="11.85" customHeight="1">
      <c r="A49" s="1695" t="s">
        <v>1271</v>
      </c>
      <c r="B49" s="1696"/>
      <c r="C49" s="1697"/>
      <c r="D49" s="1709"/>
      <c r="E49" s="1700"/>
      <c r="F49" s="1686"/>
    </row>
    <row r="50" spans="1:6" ht="11.85" customHeight="1">
      <c r="A50" s="1702" t="s">
        <v>1272</v>
      </c>
      <c r="B50" s="1703">
        <v>295</v>
      </c>
      <c r="C50" s="1704"/>
      <c r="D50" s="1675"/>
      <c r="E50" s="1700"/>
      <c r="F50" s="1686"/>
    </row>
    <row r="51" spans="1:6" ht="11.85" customHeight="1">
      <c r="A51" s="1702" t="s">
        <v>1273</v>
      </c>
      <c r="B51" s="1703">
        <v>300</v>
      </c>
      <c r="C51" s="1704"/>
      <c r="D51" s="1675"/>
      <c r="E51" s="1700"/>
      <c r="F51" s="1686"/>
    </row>
    <row r="52" spans="1:6" ht="11.85" customHeight="1">
      <c r="A52" s="1705" t="s">
        <v>1276</v>
      </c>
      <c r="B52" s="1706">
        <v>305</v>
      </c>
      <c r="C52" s="1708"/>
      <c r="D52" s="1707"/>
      <c r="E52" s="1700"/>
      <c r="F52" s="1686"/>
    </row>
    <row r="53" spans="1:6" ht="11.85" customHeight="1">
      <c r="A53" s="1695" t="s">
        <v>781</v>
      </c>
      <c r="B53" s="1703">
        <v>310</v>
      </c>
      <c r="C53" s="2551"/>
      <c r="D53" s="1710"/>
      <c r="E53" s="1700"/>
      <c r="F53" s="1686"/>
    </row>
    <row r="54" spans="1:6" ht="11.85" customHeight="1">
      <c r="A54" s="2959" t="s">
        <v>711</v>
      </c>
      <c r="B54" s="2963">
        <v>313</v>
      </c>
      <c r="C54" s="2551"/>
      <c r="D54" s="1710"/>
      <c r="E54" s="1700"/>
      <c r="F54" s="1686"/>
    </row>
    <row r="55" spans="1:6" ht="11.85" customHeight="1">
      <c r="A55" s="1705" t="s">
        <v>1282</v>
      </c>
      <c r="B55" s="1706">
        <v>315</v>
      </c>
      <c r="C55" s="1708"/>
      <c r="D55" s="1707"/>
      <c r="E55" s="1700"/>
      <c r="F55" s="1686"/>
    </row>
    <row r="56" spans="1:6" ht="11.85" customHeight="1">
      <c r="A56" s="1702" t="s">
        <v>1288</v>
      </c>
      <c r="B56" s="1703">
        <v>320</v>
      </c>
      <c r="C56" s="1704"/>
      <c r="D56" s="1675"/>
      <c r="E56" s="1700"/>
      <c r="F56" s="1686"/>
    </row>
    <row r="57" spans="1:6" ht="11.85" customHeight="1">
      <c r="A57" s="1695" t="s">
        <v>1292</v>
      </c>
      <c r="B57" s="1696">
        <v>325</v>
      </c>
      <c r="C57" s="2551"/>
      <c r="D57" s="1710"/>
      <c r="E57" s="1700"/>
      <c r="F57" s="1686"/>
    </row>
    <row r="58" spans="1:6" ht="11.85" customHeight="1">
      <c r="A58" s="1705" t="s">
        <v>1293</v>
      </c>
      <c r="B58" s="1706">
        <v>330</v>
      </c>
      <c r="C58" s="1708"/>
      <c r="D58" s="1707"/>
      <c r="E58" s="1673"/>
      <c r="F58" s="1686"/>
    </row>
    <row r="59" spans="1:6" ht="13.5" customHeight="1">
      <c r="A59" s="1654"/>
      <c r="B59" s="1654"/>
      <c r="C59" s="1654"/>
      <c r="D59" s="1654"/>
      <c r="E59" s="1654"/>
      <c r="F59" s="1655"/>
    </row>
    <row r="60" spans="1:6" ht="12.6" customHeight="1">
      <c r="A60" s="1712"/>
      <c r="B60" s="1712"/>
      <c r="C60" s="1712"/>
      <c r="D60" s="1712"/>
      <c r="E60" s="1712"/>
      <c r="F60" s="1713"/>
    </row>
    <row r="61" spans="1:6" ht="12.6" customHeight="1">
      <c r="A61" s="1652" t="s">
        <v>1019</v>
      </c>
      <c r="B61" s="1653">
        <f>B1</f>
        <v>270</v>
      </c>
      <c r="C61" s="1654"/>
      <c r="D61" s="1654"/>
      <c r="E61" s="1652" t="s">
        <v>1020</v>
      </c>
      <c r="F61" s="1655"/>
    </row>
    <row r="62" spans="1:6" ht="12.6" customHeight="1">
      <c r="A62" s="1654"/>
      <c r="B62" s="1653"/>
      <c r="C62" s="1654"/>
      <c r="D62" s="1654"/>
      <c r="E62" s="1652" t="s">
        <v>1212</v>
      </c>
      <c r="F62" s="1655"/>
    </row>
    <row r="63" spans="1:6" ht="12.6" customHeight="1">
      <c r="A63" s="1654"/>
      <c r="B63" s="1653"/>
      <c r="C63" s="1654"/>
      <c r="D63" s="1654"/>
      <c r="E63" s="1652" t="str">
        <f>E3</f>
        <v>2016-2017</v>
      </c>
      <c r="F63" s="1655"/>
    </row>
    <row r="64" spans="1:6" ht="12.6" customHeight="1">
      <c r="A64" s="1654"/>
      <c r="B64" s="1653"/>
      <c r="C64" s="1654"/>
      <c r="D64" s="1654"/>
      <c r="E64" s="1654"/>
      <c r="F64" s="1655"/>
    </row>
    <row r="65" spans="1:6" ht="12.6" customHeight="1">
      <c r="A65" s="1654"/>
      <c r="B65" s="1653"/>
      <c r="C65" s="1657" t="s">
        <v>1213</v>
      </c>
      <c r="D65" s="1657" t="s">
        <v>1213</v>
      </c>
      <c r="E65" s="1657" t="s">
        <v>1213</v>
      </c>
      <c r="F65" s="1655"/>
    </row>
    <row r="66" spans="1:6" ht="12.6" customHeight="1">
      <c r="A66" s="1654"/>
      <c r="B66" s="1658" t="s">
        <v>1045</v>
      </c>
      <c r="C66" s="1659" t="str">
        <f>C6</f>
        <v>2014-2015</v>
      </c>
      <c r="D66" s="1659" t="str">
        <f>D6</f>
        <v>2015-2016</v>
      </c>
      <c r="E66" s="1659" t="str">
        <f>E3</f>
        <v>2016-2017</v>
      </c>
      <c r="F66" s="1655"/>
    </row>
    <row r="67" spans="1:6" ht="12.6" customHeight="1">
      <c r="A67" s="1712" t="s">
        <v>783</v>
      </c>
      <c r="B67" s="1663">
        <v>53</v>
      </c>
      <c r="C67" s="1664" t="s">
        <v>1139</v>
      </c>
      <c r="D67" s="1664" t="s">
        <v>1139</v>
      </c>
      <c r="E67" s="3544" t="s">
        <v>1215</v>
      </c>
      <c r="F67" s="1655"/>
    </row>
    <row r="68" spans="1:6" ht="12.6" customHeight="1">
      <c r="A68" s="1666"/>
      <c r="B68" s="1667" t="s">
        <v>1051</v>
      </c>
      <c r="C68" s="1668">
        <v>1</v>
      </c>
      <c r="D68" s="1668">
        <v>2</v>
      </c>
      <c r="E68" s="1668">
        <v>3</v>
      </c>
      <c r="F68" s="1655"/>
    </row>
    <row r="69" spans="1:6" ht="12.6" customHeight="1">
      <c r="A69" s="1695" t="s">
        <v>1296</v>
      </c>
      <c r="B69" s="1696"/>
      <c r="C69" s="1676"/>
      <c r="D69" s="1709"/>
      <c r="E69" s="1676"/>
      <c r="F69" s="1686"/>
    </row>
    <row r="70" spans="1:6" ht="12.6" customHeight="1">
      <c r="A70" s="1698" t="s">
        <v>1268</v>
      </c>
      <c r="B70" s="1699"/>
      <c r="C70" s="1700"/>
      <c r="D70" s="1678"/>
      <c r="E70" s="1700"/>
      <c r="F70" s="1686"/>
    </row>
    <row r="71" spans="1:6" ht="12.6" customHeight="1">
      <c r="A71" s="1702" t="s">
        <v>1269</v>
      </c>
      <c r="B71" s="1703">
        <v>335</v>
      </c>
      <c r="C71" s="1704"/>
      <c r="D71" s="1675"/>
      <c r="E71" s="1700"/>
      <c r="F71" s="1686"/>
    </row>
    <row r="72" spans="1:6" ht="12.6" customHeight="1">
      <c r="A72" s="1705" t="s">
        <v>1270</v>
      </c>
      <c r="B72" s="1706">
        <v>340</v>
      </c>
      <c r="C72" s="1708"/>
      <c r="D72" s="1707">
        <v>32110</v>
      </c>
      <c r="E72" s="1700"/>
      <c r="F72" s="1686"/>
    </row>
    <row r="73" spans="1:6" ht="12.6" customHeight="1">
      <c r="A73" s="1676" t="s">
        <v>1271</v>
      </c>
      <c r="B73" s="1677"/>
      <c r="C73" s="1697"/>
      <c r="D73" s="1709"/>
      <c r="E73" s="1700"/>
      <c r="F73" s="1655"/>
    </row>
    <row r="74" spans="1:6" ht="12.6" customHeight="1">
      <c r="A74" s="1673" t="s">
        <v>1272</v>
      </c>
      <c r="B74" s="1671">
        <v>345</v>
      </c>
      <c r="C74" s="1704"/>
      <c r="D74" s="1675"/>
      <c r="E74" s="1700"/>
      <c r="F74" s="1655"/>
    </row>
    <row r="75" spans="1:6" ht="12.6" customHeight="1">
      <c r="A75" s="1670" t="s">
        <v>1273</v>
      </c>
      <c r="B75" s="1681">
        <v>350</v>
      </c>
      <c r="C75" s="1708"/>
      <c r="D75" s="1707"/>
      <c r="E75" s="1700"/>
      <c r="F75" s="1655"/>
    </row>
    <row r="76" spans="1:6" ht="12.6" customHeight="1">
      <c r="A76" s="1670" t="s">
        <v>1276</v>
      </c>
      <c r="B76" s="1681">
        <v>355</v>
      </c>
      <c r="C76" s="1708"/>
      <c r="D76" s="1707"/>
      <c r="E76" s="1700"/>
      <c r="F76" s="1655"/>
    </row>
    <row r="77" spans="1:6" ht="12.6" customHeight="1">
      <c r="A77" s="1695" t="s">
        <v>781</v>
      </c>
      <c r="B77" s="1677">
        <v>360</v>
      </c>
      <c r="C77" s="2551"/>
      <c r="D77" s="1710"/>
      <c r="E77" s="1700"/>
      <c r="F77" s="1655"/>
    </row>
    <row r="78" spans="1:6" ht="12.6" customHeight="1">
      <c r="A78" s="2959" t="s">
        <v>1303</v>
      </c>
      <c r="B78" s="2964">
        <v>363</v>
      </c>
      <c r="C78" s="2551"/>
      <c r="D78" s="1710"/>
      <c r="E78" s="1700"/>
      <c r="F78" s="1655"/>
    </row>
    <row r="79" spans="1:6" ht="12.6" customHeight="1">
      <c r="A79" s="1670" t="s">
        <v>1282</v>
      </c>
      <c r="B79" s="1681">
        <v>365</v>
      </c>
      <c r="C79" s="1708"/>
      <c r="D79" s="1707"/>
      <c r="E79" s="1700"/>
      <c r="F79" s="1655"/>
    </row>
    <row r="80" spans="1:6" ht="12.6" customHeight="1">
      <c r="A80" s="1676" t="s">
        <v>1288</v>
      </c>
      <c r="B80" s="1677"/>
      <c r="C80" s="1697"/>
      <c r="D80" s="1709"/>
      <c r="E80" s="1700"/>
      <c r="F80" s="1655"/>
    </row>
    <row r="81" spans="1:6" ht="12.6" customHeight="1">
      <c r="A81" s="1700" t="s">
        <v>1300</v>
      </c>
      <c r="B81" s="1674"/>
      <c r="C81" s="1701"/>
      <c r="D81" s="1678"/>
      <c r="E81" s="1700"/>
      <c r="F81" s="1655"/>
    </row>
    <row r="82" spans="1:6" ht="12.6" customHeight="1">
      <c r="A82" s="1673" t="s">
        <v>1301</v>
      </c>
      <c r="B82" s="1671">
        <v>370</v>
      </c>
      <c r="C82" s="1704"/>
      <c r="D82" s="1675"/>
      <c r="E82" s="1700"/>
      <c r="F82" s="1655"/>
    </row>
    <row r="83" spans="1:6" ht="12.6" customHeight="1">
      <c r="A83" s="1676" t="s">
        <v>796</v>
      </c>
      <c r="B83" s="1677">
        <v>375</v>
      </c>
      <c r="C83" s="2551"/>
      <c r="D83" s="1710"/>
      <c r="E83" s="1700"/>
      <c r="F83" s="1655"/>
    </row>
    <row r="84" spans="1:6" ht="12.6" customHeight="1">
      <c r="A84" s="1670" t="s">
        <v>1291</v>
      </c>
      <c r="B84" s="1681">
        <v>380</v>
      </c>
      <c r="C84" s="1708"/>
      <c r="D84" s="1707"/>
      <c r="E84" s="1700"/>
      <c r="F84" s="1655"/>
    </row>
    <row r="85" spans="1:6" ht="12.6" customHeight="1">
      <c r="A85" s="1670" t="s">
        <v>1292</v>
      </c>
      <c r="B85" s="1681">
        <v>385</v>
      </c>
      <c r="C85" s="1708"/>
      <c r="D85" s="1707"/>
      <c r="E85" s="1700"/>
      <c r="F85" s="1655"/>
    </row>
    <row r="86" spans="1:6" ht="12.6" customHeight="1">
      <c r="A86" s="1670" t="s">
        <v>1293</v>
      </c>
      <c r="B86" s="1681">
        <v>390</v>
      </c>
      <c r="C86" s="1708"/>
      <c r="D86" s="1707"/>
      <c r="E86" s="1700"/>
      <c r="F86" s="1655"/>
    </row>
    <row r="87" spans="1:6" ht="12.6" customHeight="1">
      <c r="A87" s="1676" t="s">
        <v>1302</v>
      </c>
      <c r="B87" s="1677"/>
      <c r="C87" s="1697"/>
      <c r="D87" s="1709"/>
      <c r="E87" s="1700"/>
      <c r="F87" s="1655"/>
    </row>
    <row r="88" spans="1:6" ht="12.6" customHeight="1">
      <c r="A88" s="1700" t="s">
        <v>1268</v>
      </c>
      <c r="B88" s="1674"/>
      <c r="C88" s="1701"/>
      <c r="D88" s="1678"/>
      <c r="E88" s="1700"/>
      <c r="F88" s="1655"/>
    </row>
    <row r="89" spans="1:6" ht="12.6" customHeight="1">
      <c r="A89" s="1673" t="s">
        <v>1269</v>
      </c>
      <c r="B89" s="1671">
        <v>395</v>
      </c>
      <c r="C89" s="1704"/>
      <c r="D89" s="1675"/>
      <c r="E89" s="1700"/>
      <c r="F89" s="1655"/>
    </row>
    <row r="90" spans="1:6" ht="12.6" customHeight="1">
      <c r="A90" s="1670" t="s">
        <v>1270</v>
      </c>
      <c r="B90" s="1681">
        <v>400</v>
      </c>
      <c r="C90" s="1708"/>
      <c r="D90" s="1707"/>
      <c r="E90" s="1700"/>
      <c r="F90" s="1655"/>
    </row>
    <row r="91" spans="1:6" ht="12.6" customHeight="1">
      <c r="A91" s="1676" t="s">
        <v>1271</v>
      </c>
      <c r="B91" s="1677"/>
      <c r="C91" s="1697"/>
      <c r="D91" s="1709"/>
      <c r="E91" s="1700"/>
      <c r="F91" s="1655"/>
    </row>
    <row r="92" spans="1:6" ht="12.6" customHeight="1">
      <c r="A92" s="1673" t="s">
        <v>1272</v>
      </c>
      <c r="B92" s="1671">
        <v>405</v>
      </c>
      <c r="C92" s="1704"/>
      <c r="D92" s="1675"/>
      <c r="E92" s="1700"/>
      <c r="F92" s="1655"/>
    </row>
    <row r="93" spans="1:6" ht="12.6" customHeight="1">
      <c r="A93" s="1670" t="s">
        <v>1273</v>
      </c>
      <c r="B93" s="1681">
        <v>410</v>
      </c>
      <c r="C93" s="1708"/>
      <c r="D93" s="1707"/>
      <c r="E93" s="1700"/>
      <c r="F93" s="1655"/>
    </row>
    <row r="94" spans="1:6" ht="12.6" customHeight="1">
      <c r="A94" s="1670" t="s">
        <v>1276</v>
      </c>
      <c r="B94" s="1681">
        <v>415</v>
      </c>
      <c r="C94" s="1708"/>
      <c r="D94" s="1707"/>
      <c r="E94" s="1700"/>
      <c r="F94" s="1655"/>
    </row>
    <row r="95" spans="1:6" ht="12.6" customHeight="1">
      <c r="A95" s="1695" t="s">
        <v>781</v>
      </c>
      <c r="B95" s="1677">
        <v>420</v>
      </c>
      <c r="C95" s="2551"/>
      <c r="D95" s="1710"/>
      <c r="E95" s="1700"/>
      <c r="F95" s="1655"/>
    </row>
    <row r="96" spans="1:6" ht="12.6" customHeight="1">
      <c r="A96" s="1670" t="s">
        <v>1303</v>
      </c>
      <c r="B96" s="1681">
        <v>425</v>
      </c>
      <c r="C96" s="1708"/>
      <c r="D96" s="1707"/>
      <c r="E96" s="1700"/>
      <c r="F96" s="1655"/>
    </row>
    <row r="97" spans="1:6" ht="12.6" customHeight="1">
      <c r="A97" s="1676" t="s">
        <v>1282</v>
      </c>
      <c r="B97" s="1677"/>
      <c r="C97" s="1697"/>
      <c r="D97" s="1709"/>
      <c r="E97" s="1700"/>
      <c r="F97" s="1655"/>
    </row>
    <row r="98" spans="1:6" ht="12.6" customHeight="1">
      <c r="A98" s="1673" t="s">
        <v>1304</v>
      </c>
      <c r="B98" s="1671">
        <v>430</v>
      </c>
      <c r="C98" s="1704"/>
      <c r="D98" s="1675"/>
      <c r="E98" s="1700"/>
      <c r="F98" s="1655"/>
    </row>
    <row r="99" spans="1:6" ht="12.6" customHeight="1">
      <c r="A99" s="1700" t="s">
        <v>788</v>
      </c>
      <c r="B99" s="1677">
        <v>435</v>
      </c>
      <c r="C99" s="2551"/>
      <c r="D99" s="1710"/>
      <c r="E99" s="1700"/>
      <c r="F99" s="1655"/>
    </row>
    <row r="100" spans="1:6" ht="12.6" customHeight="1">
      <c r="A100" s="1670" t="s">
        <v>1287</v>
      </c>
      <c r="B100" s="1681">
        <v>440</v>
      </c>
      <c r="C100" s="1708"/>
      <c r="D100" s="1707"/>
      <c r="E100" s="1700"/>
      <c r="F100" s="1655"/>
    </row>
    <row r="101" spans="1:6" ht="12.6" customHeight="1">
      <c r="A101" s="1670" t="s">
        <v>1288</v>
      </c>
      <c r="B101" s="1681">
        <v>445</v>
      </c>
      <c r="C101" s="1708"/>
      <c r="D101" s="1707"/>
      <c r="E101" s="1700"/>
      <c r="F101" s="1655"/>
    </row>
    <row r="102" spans="1:6" ht="12.6" customHeight="1">
      <c r="A102" s="1670" t="s">
        <v>1292</v>
      </c>
      <c r="B102" s="1681">
        <v>450</v>
      </c>
      <c r="C102" s="1708"/>
      <c r="D102" s="1707"/>
      <c r="E102" s="1700"/>
      <c r="F102" s="1655"/>
    </row>
    <row r="103" spans="1:6" ht="12.6" customHeight="1">
      <c r="A103" s="1670" t="s">
        <v>1293</v>
      </c>
      <c r="B103" s="1681">
        <v>455</v>
      </c>
      <c r="C103" s="1708"/>
      <c r="D103" s="1707"/>
      <c r="E103" s="1700"/>
      <c r="F103" s="1655"/>
    </row>
    <row r="104" spans="1:6" ht="12.6" customHeight="1">
      <c r="A104" s="1676" t="s">
        <v>1307</v>
      </c>
      <c r="B104" s="1677"/>
      <c r="C104" s="1697"/>
      <c r="D104" s="1709"/>
      <c r="E104" s="1700"/>
      <c r="F104" s="1655"/>
    </row>
    <row r="105" spans="1:6" ht="12.6" customHeight="1">
      <c r="A105" s="1700" t="s">
        <v>1268</v>
      </c>
      <c r="B105" s="1674"/>
      <c r="C105" s="1701"/>
      <c r="D105" s="1678"/>
      <c r="E105" s="1700"/>
      <c r="F105" s="1655"/>
    </row>
    <row r="106" spans="1:6" ht="12.6" customHeight="1">
      <c r="A106" s="1673" t="s">
        <v>1269</v>
      </c>
      <c r="B106" s="1671">
        <v>460</v>
      </c>
      <c r="C106" s="1704"/>
      <c r="D106" s="1675"/>
      <c r="E106" s="1700"/>
      <c r="F106" s="1655"/>
    </row>
    <row r="107" spans="1:6" ht="12.6" customHeight="1">
      <c r="A107" s="1670" t="s">
        <v>1270</v>
      </c>
      <c r="B107" s="1681">
        <v>465</v>
      </c>
      <c r="C107" s="1708"/>
      <c r="D107" s="1707"/>
      <c r="E107" s="1700"/>
      <c r="F107" s="1655"/>
    </row>
    <row r="108" spans="1:6" ht="12.6" customHeight="1">
      <c r="A108" s="1676" t="s">
        <v>1271</v>
      </c>
      <c r="B108" s="1677"/>
      <c r="C108" s="1697"/>
      <c r="D108" s="1709"/>
      <c r="E108" s="1700"/>
      <c r="F108" s="1655"/>
    </row>
    <row r="109" spans="1:6" ht="12.6" customHeight="1">
      <c r="A109" s="1673" t="s">
        <v>1272</v>
      </c>
      <c r="B109" s="1671">
        <v>470</v>
      </c>
      <c r="C109" s="1704"/>
      <c r="D109" s="1675"/>
      <c r="E109" s="1700"/>
      <c r="F109" s="1655"/>
    </row>
    <row r="110" spans="1:6" ht="12.6" customHeight="1">
      <c r="A110" s="1670" t="s">
        <v>1273</v>
      </c>
      <c r="B110" s="1681">
        <v>475</v>
      </c>
      <c r="C110" s="1708"/>
      <c r="D110" s="1707"/>
      <c r="E110" s="1700"/>
      <c r="F110" s="1655"/>
    </row>
    <row r="111" spans="1:6" ht="12.6" customHeight="1">
      <c r="A111" s="1670" t="s">
        <v>1276</v>
      </c>
      <c r="B111" s="1681">
        <v>480</v>
      </c>
      <c r="C111" s="1708"/>
      <c r="D111" s="1707"/>
      <c r="E111" s="1700"/>
      <c r="F111" s="1655"/>
    </row>
    <row r="112" spans="1:6" ht="12.6" customHeight="1">
      <c r="A112" s="1695" t="s">
        <v>781</v>
      </c>
      <c r="B112" s="1677">
        <v>485</v>
      </c>
      <c r="C112" s="2551"/>
      <c r="D112" s="1710"/>
      <c r="E112" s="1700"/>
      <c r="F112" s="1655"/>
    </row>
    <row r="113" spans="1:6" ht="12.6" customHeight="1">
      <c r="A113" s="1670" t="s">
        <v>1303</v>
      </c>
      <c r="B113" s="1681">
        <v>490</v>
      </c>
      <c r="C113" s="1708"/>
      <c r="D113" s="1707"/>
      <c r="E113" s="1673"/>
      <c r="F113" s="1655"/>
    </row>
    <row r="114" spans="1:6" s="1660" customFormat="1" ht="12.6" customHeight="1">
      <c r="A114" s="1654"/>
      <c r="B114" s="1653"/>
      <c r="C114" s="3138"/>
      <c r="D114" s="3138"/>
      <c r="E114" s="1654"/>
      <c r="F114" s="1654"/>
    </row>
    <row r="115" spans="1:6" s="1660" customFormat="1" ht="12.6" customHeight="1">
      <c r="A115" s="1712"/>
      <c r="B115" s="1714"/>
      <c r="C115" s="1712"/>
      <c r="D115" s="1712"/>
      <c r="E115" s="1712"/>
      <c r="F115" s="1654"/>
    </row>
    <row r="116" spans="1:6" ht="12.6" customHeight="1">
      <c r="A116" s="1652" t="s">
        <v>1019</v>
      </c>
      <c r="B116" s="1653">
        <f>B1</f>
        <v>270</v>
      </c>
      <c r="C116" s="1654"/>
      <c r="D116" s="1654"/>
      <c r="E116" s="1652" t="s">
        <v>1020</v>
      </c>
      <c r="F116" s="1655"/>
    </row>
    <row r="117" spans="1:6" ht="12.6" customHeight="1">
      <c r="A117" s="1654"/>
      <c r="B117" s="1653"/>
      <c r="C117" s="1654"/>
      <c r="D117" s="1654"/>
      <c r="E117" s="1652" t="s">
        <v>1212</v>
      </c>
      <c r="F117" s="1655"/>
    </row>
    <row r="118" spans="1:6" ht="12.6" customHeight="1">
      <c r="A118" s="1654"/>
      <c r="B118" s="1653"/>
      <c r="C118" s="1654"/>
      <c r="D118" s="1654"/>
      <c r="E118" s="1652" t="str">
        <f>E3</f>
        <v>2016-2017</v>
      </c>
      <c r="F118" s="1655"/>
    </row>
    <row r="119" spans="1:6" ht="5.0999999999999996" customHeight="1">
      <c r="A119" s="1654"/>
      <c r="B119" s="1653"/>
      <c r="C119" s="1654"/>
      <c r="D119" s="1654"/>
      <c r="E119" s="1654"/>
      <c r="F119" s="1655"/>
    </row>
    <row r="120" spans="1:6" ht="11.85" customHeight="1">
      <c r="A120" s="1683"/>
      <c r="B120" s="1684"/>
      <c r="C120" s="1685" t="s">
        <v>1213</v>
      </c>
      <c r="D120" s="1685" t="s">
        <v>1213</v>
      </c>
      <c r="E120" s="1685" t="s">
        <v>1213</v>
      </c>
      <c r="F120" s="1686"/>
    </row>
    <row r="121" spans="1:6" ht="11.85" customHeight="1">
      <c r="A121" s="1683"/>
      <c r="B121" s="1688" t="s">
        <v>1045</v>
      </c>
      <c r="C121" s="1689" t="str">
        <f>C6</f>
        <v>2014-2015</v>
      </c>
      <c r="D121" s="1689" t="str">
        <f>D6</f>
        <v>2015-2016</v>
      </c>
      <c r="E121" s="1659" t="str">
        <f>E3</f>
        <v>2016-2017</v>
      </c>
      <c r="F121" s="1686"/>
    </row>
    <row r="122" spans="1:6" ht="11.85" customHeight="1">
      <c r="A122" s="1715" t="s">
        <v>783</v>
      </c>
      <c r="B122" s="1690">
        <v>53</v>
      </c>
      <c r="C122" s="1691" t="s">
        <v>1139</v>
      </c>
      <c r="D122" s="1691" t="s">
        <v>1139</v>
      </c>
      <c r="E122" s="3544" t="s">
        <v>1215</v>
      </c>
      <c r="F122" s="1686"/>
    </row>
    <row r="123" spans="1:6" ht="11.85" customHeight="1">
      <c r="A123" s="1692"/>
      <c r="B123" s="1693" t="s">
        <v>1051</v>
      </c>
      <c r="C123" s="1694">
        <v>1</v>
      </c>
      <c r="D123" s="1694">
        <v>2</v>
      </c>
      <c r="E123" s="1694">
        <v>3</v>
      </c>
      <c r="F123" s="1686"/>
    </row>
    <row r="124" spans="1:6" ht="11.85" customHeight="1">
      <c r="A124" s="1695" t="s">
        <v>1282</v>
      </c>
      <c r="B124" s="1696"/>
      <c r="C124" s="2552"/>
      <c r="D124" s="1716"/>
      <c r="E124" s="1695"/>
      <c r="F124" s="1686"/>
    </row>
    <row r="125" spans="1:6" ht="11.85" customHeight="1">
      <c r="A125" s="1698" t="s">
        <v>788</v>
      </c>
      <c r="B125" s="1699">
        <v>495</v>
      </c>
      <c r="C125" s="2553"/>
      <c r="D125" s="1717"/>
      <c r="E125" s="1698"/>
      <c r="F125" s="1686"/>
    </row>
    <row r="126" spans="1:6" ht="11.85" customHeight="1">
      <c r="A126" s="1705" t="s">
        <v>1287</v>
      </c>
      <c r="B126" s="1706">
        <v>500</v>
      </c>
      <c r="C126" s="1726"/>
      <c r="D126" s="1718"/>
      <c r="E126" s="1698"/>
      <c r="F126" s="1686"/>
    </row>
    <row r="127" spans="1:6" ht="11.85" customHeight="1">
      <c r="A127" s="1705" t="s">
        <v>1288</v>
      </c>
      <c r="B127" s="1706">
        <v>505</v>
      </c>
      <c r="C127" s="1726"/>
      <c r="D127" s="1718"/>
      <c r="E127" s="1698"/>
      <c r="F127" s="1686"/>
    </row>
    <row r="128" spans="1:6" ht="11.85" customHeight="1">
      <c r="A128" s="1705" t="s">
        <v>1292</v>
      </c>
      <c r="B128" s="1706">
        <v>510</v>
      </c>
      <c r="C128" s="1726"/>
      <c r="D128" s="1718"/>
      <c r="E128" s="1698"/>
      <c r="F128" s="1686"/>
    </row>
    <row r="129" spans="1:6" ht="11.85" customHeight="1">
      <c r="A129" s="1695" t="s">
        <v>1293</v>
      </c>
      <c r="B129" s="1696">
        <v>515</v>
      </c>
      <c r="C129" s="2556"/>
      <c r="D129" s="1725"/>
      <c r="E129" s="1698"/>
      <c r="F129" s="1686"/>
    </row>
    <row r="130" spans="1:6" ht="11.85" customHeight="1">
      <c r="A130" s="3897" t="s">
        <v>1745</v>
      </c>
      <c r="B130" s="1689"/>
      <c r="C130" s="3902"/>
      <c r="D130" s="3903"/>
      <c r="E130" s="1722"/>
      <c r="F130" s="1686"/>
    </row>
    <row r="131" spans="1:6" ht="11.85" customHeight="1">
      <c r="A131" s="1711" t="s">
        <v>1268</v>
      </c>
      <c r="B131" s="1691"/>
      <c r="C131" s="3904"/>
      <c r="D131" s="3905"/>
      <c r="E131" s="1722"/>
      <c r="F131" s="1686"/>
    </row>
    <row r="132" spans="1:6" ht="11.85" customHeight="1">
      <c r="A132" s="3898" t="s">
        <v>1269</v>
      </c>
      <c r="B132" s="4002">
        <v>625</v>
      </c>
      <c r="C132" s="3899"/>
      <c r="D132" s="2553"/>
      <c r="E132" s="1722"/>
      <c r="F132" s="1686"/>
    </row>
    <row r="133" spans="1:6" ht="11.85" customHeight="1">
      <c r="A133" s="1698" t="s">
        <v>375</v>
      </c>
      <c r="B133" s="4003">
        <v>630</v>
      </c>
      <c r="C133" s="3895"/>
      <c r="D133" s="3896"/>
      <c r="E133" s="2555"/>
      <c r="F133" s="1686"/>
    </row>
    <row r="134" spans="1:6" ht="11.85" customHeight="1">
      <c r="A134" s="3900" t="s">
        <v>1271</v>
      </c>
      <c r="B134" s="3901"/>
      <c r="C134" s="3902"/>
      <c r="D134" s="3903"/>
      <c r="E134" s="1722"/>
      <c r="F134" s="1686"/>
    </row>
    <row r="135" spans="1:6" ht="11.85" customHeight="1">
      <c r="A135" s="3898" t="s">
        <v>353</v>
      </c>
      <c r="B135" s="4002">
        <v>635</v>
      </c>
      <c r="C135" s="3899"/>
      <c r="D135" s="2553"/>
      <c r="E135" s="1722"/>
      <c r="F135" s="1686"/>
    </row>
    <row r="136" spans="1:6" ht="11.85" customHeight="1">
      <c r="A136" s="1698" t="s">
        <v>1273</v>
      </c>
      <c r="B136" s="4003">
        <v>640</v>
      </c>
      <c r="C136" s="3895"/>
      <c r="D136" s="3896"/>
      <c r="E136" s="2555"/>
      <c r="F136" s="1686"/>
    </row>
    <row r="137" spans="1:6" ht="11.85" customHeight="1">
      <c r="A137" s="1695" t="s">
        <v>1276</v>
      </c>
      <c r="B137" s="4004">
        <v>645</v>
      </c>
      <c r="C137" s="2556"/>
      <c r="D137" s="1725"/>
      <c r="E137" s="2555"/>
      <c r="F137" s="1686"/>
    </row>
    <row r="138" spans="1:6" ht="11.85" customHeight="1">
      <c r="A138" s="1695" t="s">
        <v>1753</v>
      </c>
      <c r="B138" s="4004">
        <v>650</v>
      </c>
      <c r="C138" s="2556"/>
      <c r="D138" s="1725"/>
      <c r="E138" s="2555"/>
      <c r="F138" s="1686"/>
    </row>
    <row r="139" spans="1:6" ht="11.85" customHeight="1">
      <c r="A139" s="1695" t="s">
        <v>1303</v>
      </c>
      <c r="B139" s="4004">
        <v>655</v>
      </c>
      <c r="C139" s="2556"/>
      <c r="D139" s="1725"/>
      <c r="E139" s="2555"/>
      <c r="F139" s="1686"/>
    </row>
    <row r="140" spans="1:6" ht="11.85" customHeight="1">
      <c r="A140" s="1695" t="s">
        <v>1282</v>
      </c>
      <c r="B140" s="4004">
        <v>660</v>
      </c>
      <c r="C140" s="2556"/>
      <c r="D140" s="1725"/>
      <c r="E140" s="2555"/>
      <c r="F140" s="1686"/>
    </row>
    <row r="141" spans="1:6" ht="11.85" customHeight="1">
      <c r="A141" s="1695" t="s">
        <v>1288</v>
      </c>
      <c r="B141" s="4004">
        <v>665</v>
      </c>
      <c r="C141" s="2556"/>
      <c r="D141" s="1725"/>
      <c r="E141" s="2555"/>
      <c r="F141" s="1686"/>
    </row>
    <row r="142" spans="1:6" ht="11.85" customHeight="1">
      <c r="A142" s="1695" t="s">
        <v>1292</v>
      </c>
      <c r="B142" s="4004">
        <v>670</v>
      </c>
      <c r="C142" s="2556"/>
      <c r="D142" s="1725"/>
      <c r="E142" s="2555"/>
      <c r="F142" s="1686"/>
    </row>
    <row r="143" spans="1:6" ht="11.85" customHeight="1">
      <c r="A143" s="1695" t="s">
        <v>1293</v>
      </c>
      <c r="B143" s="4004">
        <v>675</v>
      </c>
      <c r="C143" s="2556"/>
      <c r="D143" s="1725"/>
      <c r="E143" s="2555"/>
      <c r="F143" s="1686"/>
    </row>
    <row r="144" spans="1:6" ht="11.85" customHeight="1">
      <c r="A144" s="1719" t="s">
        <v>1308</v>
      </c>
      <c r="B144" s="4000"/>
      <c r="C144" s="2554"/>
      <c r="D144" s="1720"/>
      <c r="E144" s="1700"/>
      <c r="F144" s="1686"/>
    </row>
    <row r="145" spans="1:6" ht="11.85" customHeight="1">
      <c r="A145" s="1721" t="s">
        <v>1309</v>
      </c>
      <c r="B145" s="1699"/>
      <c r="C145" s="2555"/>
      <c r="D145" s="1722"/>
      <c r="E145" s="1700"/>
      <c r="F145" s="1686"/>
    </row>
    <row r="146" spans="1:6" ht="11.85" customHeight="1">
      <c r="A146" s="1723" t="s">
        <v>1270</v>
      </c>
      <c r="B146" s="1703">
        <v>520</v>
      </c>
      <c r="C146" s="2553"/>
      <c r="D146" s="1717"/>
      <c r="E146" s="1700"/>
      <c r="F146" s="1686"/>
    </row>
    <row r="147" spans="1:6" ht="11.85" customHeight="1">
      <c r="A147" s="1719" t="s">
        <v>1310</v>
      </c>
      <c r="B147" s="1696"/>
      <c r="C147" s="2554"/>
      <c r="D147" s="1720"/>
      <c r="E147" s="1700"/>
      <c r="F147" s="1686"/>
    </row>
    <row r="148" spans="1:6" ht="11.85" customHeight="1">
      <c r="A148" s="1723" t="s">
        <v>1311</v>
      </c>
      <c r="B148" s="1703">
        <v>525</v>
      </c>
      <c r="C148" s="2553"/>
      <c r="D148" s="1717"/>
      <c r="E148" s="1700"/>
      <c r="F148" s="1686"/>
    </row>
    <row r="149" spans="1:6" ht="11.85" customHeight="1">
      <c r="A149" s="1724" t="s">
        <v>1314</v>
      </c>
      <c r="B149" s="1706">
        <v>530</v>
      </c>
      <c r="C149" s="1726"/>
      <c r="D149" s="1718"/>
      <c r="E149" s="1700"/>
      <c r="F149" s="1686"/>
    </row>
    <row r="150" spans="1:6" ht="11.85" customHeight="1">
      <c r="A150" s="1724" t="s">
        <v>1315</v>
      </c>
      <c r="B150" s="1706">
        <v>535</v>
      </c>
      <c r="C150" s="1726"/>
      <c r="D150" s="1718"/>
      <c r="E150" s="1700"/>
      <c r="F150" s="1686"/>
    </row>
    <row r="151" spans="1:6" ht="11.85" customHeight="1">
      <c r="A151" s="1695" t="s">
        <v>781</v>
      </c>
      <c r="B151" s="1696">
        <v>540</v>
      </c>
      <c r="C151" s="2556"/>
      <c r="D151" s="1725"/>
      <c r="E151" s="1700"/>
      <c r="F151" s="1686"/>
    </row>
    <row r="152" spans="1:6" ht="11.85" customHeight="1">
      <c r="A152" s="1719" t="s">
        <v>1318</v>
      </c>
      <c r="B152" s="1696"/>
      <c r="C152" s="2554"/>
      <c r="D152" s="1720"/>
      <c r="E152" s="1700"/>
      <c r="F152" s="1686"/>
    </row>
    <row r="153" spans="1:6" ht="11.85" customHeight="1">
      <c r="A153" s="1723" t="s">
        <v>1319</v>
      </c>
      <c r="B153" s="1703">
        <v>545</v>
      </c>
      <c r="C153" s="2553"/>
      <c r="D153" s="1717"/>
      <c r="E153" s="1700"/>
      <c r="F153" s="1686"/>
    </row>
    <row r="154" spans="1:6" ht="11.85" customHeight="1">
      <c r="A154" s="1724" t="s">
        <v>1320</v>
      </c>
      <c r="B154" s="1706">
        <v>550</v>
      </c>
      <c r="C154" s="1726"/>
      <c r="D154" s="1718"/>
      <c r="E154" s="1700"/>
      <c r="F154" s="1686"/>
    </row>
    <row r="155" spans="1:6" ht="11.85" customHeight="1">
      <c r="A155" s="1724" t="s">
        <v>1321</v>
      </c>
      <c r="B155" s="1706">
        <v>555</v>
      </c>
      <c r="C155" s="1726"/>
      <c r="D155" s="1718"/>
      <c r="E155" s="1700"/>
      <c r="F155" s="1686"/>
    </row>
    <row r="156" spans="1:6" ht="11.85" customHeight="1">
      <c r="A156" s="1724" t="s">
        <v>1322</v>
      </c>
      <c r="B156" s="1706">
        <v>560</v>
      </c>
      <c r="C156" s="1726"/>
      <c r="D156" s="1718"/>
      <c r="E156" s="1700"/>
      <c r="F156" s="1686"/>
    </row>
    <row r="157" spans="1:6" ht="11.85" customHeight="1">
      <c r="A157" s="1724" t="s">
        <v>1323</v>
      </c>
      <c r="B157" s="1706">
        <v>565</v>
      </c>
      <c r="C157" s="1726"/>
      <c r="D157" s="1718"/>
      <c r="E157" s="1700"/>
      <c r="F157" s="1686"/>
    </row>
    <row r="158" spans="1:6" ht="11.85" customHeight="1">
      <c r="A158" s="1724" t="s">
        <v>1326</v>
      </c>
      <c r="B158" s="1706">
        <v>570</v>
      </c>
      <c r="C158" s="1726"/>
      <c r="D158" s="1718"/>
      <c r="E158" s="1700"/>
      <c r="F158" s="1686"/>
    </row>
    <row r="159" spans="1:6" ht="11.85" customHeight="1">
      <c r="A159" s="1719" t="s">
        <v>1327</v>
      </c>
      <c r="B159" s="1696"/>
      <c r="C159" s="2554"/>
      <c r="D159" s="1720"/>
      <c r="E159" s="1700"/>
      <c r="F159" s="1686"/>
    </row>
    <row r="160" spans="1:6" ht="11.85" customHeight="1">
      <c r="A160" s="1723" t="s">
        <v>1335</v>
      </c>
      <c r="B160" s="1703">
        <v>575</v>
      </c>
      <c r="C160" s="2553"/>
      <c r="D160" s="1717"/>
      <c r="E160" s="1700"/>
      <c r="F160" s="1686"/>
    </row>
    <row r="161" spans="1:6" ht="11.85" customHeight="1">
      <c r="A161" s="1724" t="s">
        <v>1336</v>
      </c>
      <c r="B161" s="1706">
        <v>580</v>
      </c>
      <c r="C161" s="1726"/>
      <c r="D161" s="1718"/>
      <c r="E161" s="1700"/>
      <c r="F161" s="1686"/>
    </row>
    <row r="162" spans="1:6" ht="11.85" customHeight="1">
      <c r="A162" s="1719" t="s">
        <v>1337</v>
      </c>
      <c r="B162" s="1696"/>
      <c r="C162" s="2554"/>
      <c r="D162" s="1720"/>
      <c r="E162" s="1700"/>
      <c r="F162" s="1686"/>
    </row>
    <row r="163" spans="1:6" ht="11.85" customHeight="1">
      <c r="A163" s="1723" t="s">
        <v>1338</v>
      </c>
      <c r="B163" s="1703">
        <v>585</v>
      </c>
      <c r="C163" s="2553"/>
      <c r="D163" s="1717"/>
      <c r="E163" s="1700"/>
      <c r="F163" s="1686"/>
    </row>
    <row r="164" spans="1:6" ht="11.85" customHeight="1">
      <c r="A164" s="1719" t="s">
        <v>1339</v>
      </c>
      <c r="B164" s="1696"/>
      <c r="C164" s="2554"/>
      <c r="D164" s="1720"/>
      <c r="E164" s="1700"/>
      <c r="F164" s="1686"/>
    </row>
    <row r="165" spans="1:6" ht="11.85" customHeight="1">
      <c r="A165" s="1723" t="s">
        <v>1340</v>
      </c>
      <c r="B165" s="1703">
        <v>590</v>
      </c>
      <c r="C165" s="2553"/>
      <c r="D165" s="1717"/>
      <c r="E165" s="1700"/>
      <c r="F165" s="1686"/>
    </row>
    <row r="166" spans="1:6" ht="11.85" customHeight="1">
      <c r="A166" s="1724" t="s">
        <v>1341</v>
      </c>
      <c r="B166" s="1706">
        <v>595</v>
      </c>
      <c r="C166" s="1726"/>
      <c r="D166" s="1718"/>
      <c r="E166" s="1700"/>
      <c r="F166" s="1686"/>
    </row>
    <row r="167" spans="1:6" ht="11.85" customHeight="1">
      <c r="A167" s="1724" t="s">
        <v>1342</v>
      </c>
      <c r="B167" s="1706">
        <v>600</v>
      </c>
      <c r="C167" s="1726"/>
      <c r="D167" s="1718"/>
      <c r="E167" s="1700"/>
      <c r="F167" s="1686"/>
    </row>
    <row r="168" spans="1:6" ht="11.85" customHeight="1">
      <c r="A168" s="1724" t="s">
        <v>1343</v>
      </c>
      <c r="B168" s="1706">
        <v>605</v>
      </c>
      <c r="C168" s="1726"/>
      <c r="D168" s="1718"/>
      <c r="E168" s="1700"/>
      <c r="F168" s="1686"/>
    </row>
    <row r="169" spans="1:6" ht="11.85" customHeight="1">
      <c r="A169" s="1724" t="s">
        <v>1344</v>
      </c>
      <c r="B169" s="1706">
        <v>610</v>
      </c>
      <c r="C169" s="1726"/>
      <c r="D169" s="1718"/>
      <c r="E169" s="1700"/>
      <c r="F169" s="1686"/>
    </row>
    <row r="170" spans="1:6" ht="11.85" customHeight="1">
      <c r="A170" s="1724" t="s">
        <v>1345</v>
      </c>
      <c r="B170" s="1706">
        <v>615</v>
      </c>
      <c r="C170" s="1726"/>
      <c r="D170" s="1718"/>
      <c r="E170" s="1700"/>
      <c r="F170" s="1686"/>
    </row>
    <row r="171" spans="1:6" ht="11.85" customHeight="1">
      <c r="A171" s="1724" t="s">
        <v>1346</v>
      </c>
      <c r="B171" s="1706">
        <v>620</v>
      </c>
      <c r="C171" s="1726"/>
      <c r="D171" s="1718"/>
      <c r="E171" s="1673"/>
      <c r="F171" s="1686"/>
    </row>
    <row r="172" spans="1:6" ht="11.85" customHeight="1">
      <c r="A172" s="5163"/>
      <c r="B172" s="5164"/>
      <c r="C172" s="5165"/>
      <c r="D172" s="5165"/>
      <c r="E172" s="5166"/>
      <c r="F172" s="1686"/>
    </row>
    <row r="173" spans="1:6" ht="11.85" customHeight="1">
      <c r="A173" s="5163"/>
      <c r="B173" s="5164"/>
      <c r="C173" s="5165"/>
      <c r="D173" s="5165"/>
      <c r="E173" s="5166"/>
      <c r="F173" s="1686"/>
    </row>
    <row r="174" spans="1:6" ht="11.85" customHeight="1">
      <c r="A174" s="1652" t="s">
        <v>1019</v>
      </c>
      <c r="B174" s="315">
        <f>B1</f>
        <v>270</v>
      </c>
      <c r="C174" s="316"/>
      <c r="D174" s="314"/>
      <c r="E174" s="317" t="s">
        <v>1020</v>
      </c>
      <c r="F174" s="1686"/>
    </row>
    <row r="175" spans="1:6" ht="11.85" customHeight="1">
      <c r="A175" s="314"/>
      <c r="B175" s="315"/>
      <c r="C175" s="314"/>
      <c r="D175" s="314"/>
      <c r="E175" s="317" t="s">
        <v>1212</v>
      </c>
      <c r="F175" s="1686"/>
    </row>
    <row r="176" spans="1:6" ht="11.85" customHeight="1">
      <c r="A176" s="314"/>
      <c r="B176" s="315"/>
      <c r="C176" s="314"/>
      <c r="D176" s="314"/>
      <c r="E176" s="317" t="str">
        <f>E6</f>
        <v>2016-2017</v>
      </c>
      <c r="F176" s="1686"/>
    </row>
    <row r="177" spans="1:6" ht="11.85" customHeight="1">
      <c r="A177" s="314"/>
      <c r="B177" s="315"/>
      <c r="C177" s="314"/>
      <c r="D177" s="314"/>
      <c r="E177" s="314"/>
      <c r="F177" s="1686"/>
    </row>
    <row r="178" spans="1:6" ht="11.85" customHeight="1">
      <c r="A178" s="314"/>
      <c r="B178" s="315"/>
      <c r="C178" s="320" t="s">
        <v>1213</v>
      </c>
      <c r="D178" s="320" t="s">
        <v>1213</v>
      </c>
      <c r="E178" s="320" t="s">
        <v>1213</v>
      </c>
      <c r="F178" s="1686"/>
    </row>
    <row r="179" spans="1:6" ht="11.85" customHeight="1">
      <c r="A179" s="314"/>
      <c r="B179" s="323" t="s">
        <v>1045</v>
      </c>
      <c r="C179" s="324" t="str">
        <f>C6</f>
        <v>2014-2015</v>
      </c>
      <c r="D179" s="324" t="str">
        <f>D6</f>
        <v>2015-2016</v>
      </c>
      <c r="E179" s="324" t="str">
        <f>E6</f>
        <v>2016-2017</v>
      </c>
      <c r="F179" s="1686"/>
    </row>
    <row r="180" spans="1:6" ht="11.85" customHeight="1">
      <c r="A180" s="1657" t="s">
        <v>783</v>
      </c>
      <c r="B180" s="327">
        <v>53</v>
      </c>
      <c r="C180" s="328" t="s">
        <v>1139</v>
      </c>
      <c r="D180" s="328" t="s">
        <v>1139</v>
      </c>
      <c r="E180" s="328" t="s">
        <v>1215</v>
      </c>
      <c r="F180" s="1686"/>
    </row>
    <row r="181" spans="1:6" ht="11.85" customHeight="1">
      <c r="A181" s="329"/>
      <c r="B181" s="330" t="s">
        <v>1051</v>
      </c>
      <c r="C181" s="331">
        <v>1</v>
      </c>
      <c r="D181" s="331">
        <v>2</v>
      </c>
      <c r="E181" s="2635">
        <v>3</v>
      </c>
      <c r="F181" s="1686"/>
    </row>
    <row r="182" spans="1:6" ht="11.85" customHeight="1">
      <c r="A182" s="1311" t="s">
        <v>694</v>
      </c>
      <c r="B182" s="1312"/>
      <c r="C182" s="2636"/>
      <c r="D182" s="2636"/>
      <c r="E182" s="5169"/>
      <c r="F182" s="1686"/>
    </row>
    <row r="183" spans="1:6" ht="11.85" customHeight="1">
      <c r="A183" s="1316" t="s">
        <v>791</v>
      </c>
      <c r="B183" s="1317"/>
      <c r="C183" s="2637"/>
      <c r="D183" s="2637"/>
      <c r="E183" s="5170"/>
      <c r="F183" s="1686"/>
    </row>
    <row r="184" spans="1:6" ht="11.85" customHeight="1">
      <c r="A184" s="1316" t="s">
        <v>1268</v>
      </c>
      <c r="B184" s="1317"/>
      <c r="C184" s="2637"/>
      <c r="D184" s="2637"/>
      <c r="E184" s="5170"/>
      <c r="F184" s="1686"/>
    </row>
    <row r="185" spans="1:6" ht="11.85" customHeight="1">
      <c r="A185" s="1313" t="s">
        <v>677</v>
      </c>
      <c r="B185" s="5171">
        <v>880</v>
      </c>
      <c r="C185" s="1319"/>
      <c r="D185" s="5167"/>
      <c r="E185" s="5170"/>
      <c r="F185" s="1686"/>
    </row>
    <row r="186" spans="1:6" ht="11.85" customHeight="1">
      <c r="A186" s="1309" t="s">
        <v>1271</v>
      </c>
      <c r="B186" s="2661"/>
      <c r="C186" s="2637"/>
      <c r="D186" s="2637"/>
      <c r="E186" s="5170"/>
      <c r="F186" s="1686"/>
    </row>
    <row r="187" spans="1:6" ht="11.85" customHeight="1">
      <c r="A187" s="1310" t="s">
        <v>353</v>
      </c>
      <c r="B187" s="2662">
        <v>882</v>
      </c>
      <c r="C187" s="2836"/>
      <c r="D187" s="2836"/>
      <c r="E187" s="5170"/>
      <c r="F187" s="1686"/>
    </row>
    <row r="188" spans="1:6" ht="11.85" customHeight="1">
      <c r="A188" s="1313" t="s">
        <v>1273</v>
      </c>
      <c r="B188" s="2660">
        <v>884</v>
      </c>
      <c r="C188" s="2530"/>
      <c r="D188" s="5168"/>
      <c r="E188" s="5170"/>
      <c r="F188" s="1686"/>
    </row>
    <row r="189" spans="1:6" ht="11.85" customHeight="1">
      <c r="A189" s="1314" t="s">
        <v>1276</v>
      </c>
      <c r="B189" s="2663">
        <v>886</v>
      </c>
      <c r="C189" s="2530"/>
      <c r="D189" s="5168"/>
      <c r="E189" s="5170"/>
      <c r="F189" s="1686"/>
    </row>
    <row r="190" spans="1:6" ht="11.85" customHeight="1">
      <c r="A190" s="1314" t="s">
        <v>1288</v>
      </c>
      <c r="B190" s="2663">
        <v>888</v>
      </c>
      <c r="C190" s="2530"/>
      <c r="D190" s="5168"/>
      <c r="E190" s="5170"/>
      <c r="F190" s="1686"/>
    </row>
    <row r="191" spans="1:6" ht="11.85" customHeight="1">
      <c r="A191" s="1313" t="s">
        <v>728</v>
      </c>
      <c r="B191" s="2660">
        <v>890</v>
      </c>
      <c r="C191" s="2530"/>
      <c r="D191" s="5168"/>
      <c r="E191" s="5170"/>
      <c r="F191" s="1686"/>
    </row>
    <row r="192" spans="1:6" ht="11.85" customHeight="1">
      <c r="A192" s="1314" t="s">
        <v>1293</v>
      </c>
      <c r="B192" s="2663">
        <v>892</v>
      </c>
      <c r="C192" s="2530"/>
      <c r="D192" s="5168"/>
      <c r="E192" s="5170"/>
      <c r="F192" s="1686"/>
    </row>
    <row r="193" spans="1:6" ht="11.85" customHeight="1">
      <c r="A193" s="1311" t="s">
        <v>792</v>
      </c>
      <c r="B193" s="2664"/>
      <c r="C193" s="2637"/>
      <c r="D193" s="2637"/>
      <c r="E193" s="5170"/>
      <c r="F193" s="1686"/>
    </row>
    <row r="194" spans="1:6" ht="11.85" customHeight="1">
      <c r="A194" s="1316" t="s">
        <v>1268</v>
      </c>
      <c r="B194" s="2665"/>
      <c r="C194" s="2637"/>
      <c r="D194" s="2637"/>
      <c r="E194" s="5170"/>
      <c r="F194" s="1686"/>
    </row>
    <row r="195" spans="1:6" ht="11.85" customHeight="1">
      <c r="A195" s="1313" t="s">
        <v>677</v>
      </c>
      <c r="B195" s="2660">
        <v>894</v>
      </c>
      <c r="C195" s="1319"/>
      <c r="D195" s="5167"/>
      <c r="E195" s="5170"/>
      <c r="F195" s="1686"/>
    </row>
    <row r="196" spans="1:6" ht="11.85" customHeight="1">
      <c r="A196" s="1311" t="s">
        <v>1271</v>
      </c>
      <c r="B196" s="2664"/>
      <c r="C196" s="2637"/>
      <c r="D196" s="2637"/>
      <c r="E196" s="5170"/>
      <c r="F196" s="1686"/>
    </row>
    <row r="197" spans="1:6" ht="11.85" customHeight="1">
      <c r="A197" s="1313" t="s">
        <v>353</v>
      </c>
      <c r="B197" s="2660">
        <v>896</v>
      </c>
      <c r="C197" s="2836"/>
      <c r="D197" s="2836"/>
      <c r="E197" s="5170"/>
      <c r="F197" s="1686"/>
    </row>
    <row r="198" spans="1:6" ht="11.85" customHeight="1">
      <c r="A198" s="1314" t="s">
        <v>1273</v>
      </c>
      <c r="B198" s="2663">
        <v>898</v>
      </c>
      <c r="C198" s="2530"/>
      <c r="D198" s="5168"/>
      <c r="E198" s="5170"/>
      <c r="F198" s="1686"/>
    </row>
    <row r="199" spans="1:6" ht="11.85" customHeight="1">
      <c r="A199" s="1313" t="s">
        <v>1276</v>
      </c>
      <c r="B199" s="2660">
        <v>900</v>
      </c>
      <c r="C199" s="2530"/>
      <c r="D199" s="5168"/>
      <c r="E199" s="5170"/>
      <c r="F199" s="1686"/>
    </row>
    <row r="200" spans="1:6" ht="11.85" customHeight="1">
      <c r="A200" s="1314" t="s">
        <v>729</v>
      </c>
      <c r="B200" s="2663">
        <v>902</v>
      </c>
      <c r="C200" s="2530"/>
      <c r="D200" s="5168"/>
      <c r="E200" s="5170"/>
      <c r="F200" s="1686"/>
    </row>
    <row r="201" spans="1:6" ht="11.85" customHeight="1">
      <c r="A201" s="1311" t="s">
        <v>1282</v>
      </c>
      <c r="B201" s="2664"/>
      <c r="C201" s="2637"/>
      <c r="D201" s="2637"/>
      <c r="E201" s="5170"/>
      <c r="F201" s="1686"/>
    </row>
    <row r="202" spans="1:6" ht="11.85" customHeight="1">
      <c r="A202" s="1313" t="s">
        <v>1389</v>
      </c>
      <c r="B202" s="2660">
        <v>904</v>
      </c>
      <c r="C202" s="2836"/>
      <c r="D202" s="2836"/>
      <c r="E202" s="5170"/>
      <c r="F202" s="1686"/>
    </row>
    <row r="203" spans="1:6" ht="11.85" customHeight="1">
      <c r="A203" s="1314" t="s">
        <v>1390</v>
      </c>
      <c r="B203" s="2663">
        <v>906</v>
      </c>
      <c r="C203" s="2530"/>
      <c r="D203" s="5168"/>
      <c r="E203" s="5170"/>
      <c r="F203" s="1686"/>
    </row>
    <row r="204" spans="1:6" ht="11.85" customHeight="1">
      <c r="A204" s="1314" t="s">
        <v>1304</v>
      </c>
      <c r="B204" s="2663">
        <v>908</v>
      </c>
      <c r="C204" s="2530"/>
      <c r="D204" s="5168"/>
      <c r="E204" s="5170"/>
      <c r="F204" s="1686"/>
    </row>
    <row r="205" spans="1:6" ht="11.85" customHeight="1">
      <c r="A205" s="1314" t="s">
        <v>730</v>
      </c>
      <c r="B205" s="2663">
        <v>910</v>
      </c>
      <c r="C205" s="2530"/>
      <c r="D205" s="5168"/>
      <c r="E205" s="5170"/>
      <c r="F205" s="1686"/>
    </row>
    <row r="206" spans="1:6" ht="11.85" customHeight="1">
      <c r="A206" s="1314" t="s">
        <v>731</v>
      </c>
      <c r="B206" s="2663">
        <v>912</v>
      </c>
      <c r="C206" s="2530"/>
      <c r="D206" s="5168"/>
      <c r="E206" s="5170"/>
      <c r="F206" s="1686"/>
    </row>
    <row r="207" spans="1:6" ht="11.85" customHeight="1">
      <c r="A207" s="1314" t="s">
        <v>1293</v>
      </c>
      <c r="B207" s="2663">
        <v>914</v>
      </c>
      <c r="C207" s="2530"/>
      <c r="D207" s="5168"/>
      <c r="E207" s="5170"/>
      <c r="F207" s="1686"/>
    </row>
    <row r="208" spans="1:6" ht="11.85" customHeight="1">
      <c r="A208" s="1311" t="s">
        <v>793</v>
      </c>
      <c r="B208" s="2664"/>
      <c r="C208" s="2637"/>
      <c r="D208" s="2637"/>
      <c r="E208" s="5170"/>
      <c r="F208" s="1686"/>
    </row>
    <row r="209" spans="1:6" ht="11.85" customHeight="1">
      <c r="A209" s="1316" t="s">
        <v>1268</v>
      </c>
      <c r="B209" s="2665"/>
      <c r="C209" s="2637"/>
      <c r="D209" s="2637"/>
      <c r="E209" s="5170"/>
      <c r="F209" s="1686"/>
    </row>
    <row r="210" spans="1:6" ht="11.85" customHeight="1">
      <c r="A210" s="1313" t="s">
        <v>674</v>
      </c>
      <c r="B210" s="2660">
        <v>916</v>
      </c>
      <c r="C210" s="1319"/>
      <c r="D210" s="5167"/>
      <c r="E210" s="5170"/>
      <c r="F210" s="1686"/>
    </row>
    <row r="211" spans="1:6" ht="11.85" customHeight="1">
      <c r="A211" s="1311" t="s">
        <v>1271</v>
      </c>
      <c r="B211" s="2664"/>
      <c r="C211" s="2637"/>
      <c r="D211" s="2637"/>
      <c r="E211" s="5170"/>
      <c r="F211" s="1686"/>
    </row>
    <row r="212" spans="1:6" ht="11.85" customHeight="1">
      <c r="A212" s="1313" t="s">
        <v>353</v>
      </c>
      <c r="B212" s="2660">
        <v>918</v>
      </c>
      <c r="C212" s="2836"/>
      <c r="D212" s="2836"/>
      <c r="E212" s="5170"/>
      <c r="F212" s="1686"/>
    </row>
    <row r="213" spans="1:6" ht="11.85" customHeight="1">
      <c r="A213" s="1313" t="s">
        <v>1273</v>
      </c>
      <c r="B213" s="2660">
        <v>920</v>
      </c>
      <c r="C213" s="2530"/>
      <c r="D213" s="5168"/>
      <c r="E213" s="5170"/>
      <c r="F213" s="1686"/>
    </row>
    <row r="214" spans="1:6" ht="11.85" customHeight="1">
      <c r="A214" s="1314" t="s">
        <v>1276</v>
      </c>
      <c r="B214" s="2663">
        <v>922</v>
      </c>
      <c r="C214" s="2530"/>
      <c r="D214" s="5168"/>
      <c r="E214" s="5170"/>
      <c r="F214" s="1686"/>
    </row>
    <row r="215" spans="1:6" ht="11.85" customHeight="1">
      <c r="A215" s="1314" t="s">
        <v>673</v>
      </c>
      <c r="B215" s="2663">
        <v>924</v>
      </c>
      <c r="C215" s="2530"/>
      <c r="D215" s="5168"/>
      <c r="E215" s="5170"/>
      <c r="F215" s="1686"/>
    </row>
    <row r="216" spans="1:6" ht="11.85" customHeight="1">
      <c r="A216" s="1313" t="s">
        <v>1303</v>
      </c>
      <c r="B216" s="2660">
        <v>926</v>
      </c>
      <c r="C216" s="2530"/>
      <c r="D216" s="5168"/>
      <c r="E216" s="5170"/>
      <c r="F216" s="1686"/>
    </row>
    <row r="217" spans="1:6" ht="11.85" customHeight="1">
      <c r="A217" s="1314" t="s">
        <v>1282</v>
      </c>
      <c r="B217" s="2663">
        <v>928</v>
      </c>
      <c r="C217" s="2530"/>
      <c r="D217" s="5168"/>
      <c r="E217" s="5170"/>
      <c r="F217" s="1686"/>
    </row>
    <row r="218" spans="1:6" ht="11.85" customHeight="1">
      <c r="A218" s="1314" t="s">
        <v>1288</v>
      </c>
      <c r="B218" s="2663">
        <v>930</v>
      </c>
      <c r="C218" s="2530"/>
      <c r="D218" s="5168"/>
      <c r="E218" s="5170"/>
      <c r="F218" s="1686"/>
    </row>
    <row r="219" spans="1:6" ht="11.85" customHeight="1">
      <c r="A219" s="1314" t="s">
        <v>728</v>
      </c>
      <c r="B219" s="2663">
        <v>932</v>
      </c>
      <c r="C219" s="2530"/>
      <c r="D219" s="5168"/>
      <c r="E219" s="5170"/>
      <c r="F219" s="1686"/>
    </row>
    <row r="220" spans="1:6" ht="11.85" customHeight="1">
      <c r="A220" s="1314" t="s">
        <v>1293</v>
      </c>
      <c r="B220" s="2663">
        <v>934</v>
      </c>
      <c r="C220" s="2530"/>
      <c r="D220" s="5168"/>
      <c r="E220" s="5170"/>
      <c r="F220" s="1686"/>
    </row>
    <row r="221" spans="1:6" ht="11.85" customHeight="1">
      <c r="A221" s="1311" t="s">
        <v>732</v>
      </c>
      <c r="B221" s="2664"/>
      <c r="C221" s="2637"/>
      <c r="D221" s="2637"/>
      <c r="E221" s="5170"/>
      <c r="F221" s="1686"/>
    </row>
    <row r="222" spans="1:6" ht="11.85" customHeight="1">
      <c r="A222" s="1316" t="s">
        <v>1268</v>
      </c>
      <c r="B222" s="2665"/>
      <c r="C222" s="2637"/>
      <c r="D222" s="2637"/>
      <c r="E222" s="5170"/>
      <c r="F222" s="1686"/>
    </row>
    <row r="223" spans="1:6" ht="11.85" customHeight="1">
      <c r="A223" s="1313" t="s">
        <v>358</v>
      </c>
      <c r="B223" s="2660">
        <v>936</v>
      </c>
      <c r="C223" s="1319"/>
      <c r="D223" s="5167"/>
      <c r="E223" s="5170"/>
      <c r="F223" s="1686"/>
    </row>
    <row r="224" spans="1:6" ht="11.85" customHeight="1">
      <c r="A224" s="1311" t="s">
        <v>1271</v>
      </c>
      <c r="B224" s="2664"/>
      <c r="C224" s="2637"/>
      <c r="D224" s="2637"/>
      <c r="E224" s="5170"/>
      <c r="F224" s="1686"/>
    </row>
    <row r="225" spans="1:6" ht="11.85" customHeight="1">
      <c r="A225" s="1313" t="s">
        <v>353</v>
      </c>
      <c r="B225" s="2660">
        <v>938</v>
      </c>
      <c r="C225" s="2836"/>
      <c r="D225" s="2836"/>
      <c r="E225" s="5170"/>
      <c r="F225" s="1686"/>
    </row>
    <row r="226" spans="1:6" ht="11.85" customHeight="1">
      <c r="A226" s="1313" t="s">
        <v>1273</v>
      </c>
      <c r="B226" s="2660">
        <v>940</v>
      </c>
      <c r="C226" s="2530"/>
      <c r="D226" s="5168"/>
      <c r="E226" s="5170"/>
      <c r="F226" s="1686"/>
    </row>
    <row r="227" spans="1:6" ht="11.85" customHeight="1">
      <c r="A227" s="1314" t="s">
        <v>1276</v>
      </c>
      <c r="B227" s="2663">
        <v>942</v>
      </c>
      <c r="C227" s="2530"/>
      <c r="D227" s="5168"/>
      <c r="E227" s="5170"/>
      <c r="F227" s="1686"/>
    </row>
    <row r="228" spans="1:6" ht="11.85" customHeight="1">
      <c r="A228" s="1311" t="s">
        <v>673</v>
      </c>
      <c r="B228" s="2664">
        <v>944</v>
      </c>
      <c r="C228" s="2530"/>
      <c r="D228" s="5168"/>
      <c r="E228" s="5170"/>
      <c r="F228" s="1686"/>
    </row>
    <row r="229" spans="1:6" ht="11.85" customHeight="1">
      <c r="A229" s="1308" t="s">
        <v>1303</v>
      </c>
      <c r="B229" s="2666">
        <v>946</v>
      </c>
      <c r="C229" s="2530"/>
      <c r="D229" s="5168"/>
      <c r="E229" s="5170"/>
      <c r="F229" s="1686"/>
    </row>
    <row r="230" spans="1:6" ht="11.85" customHeight="1">
      <c r="A230" s="1308" t="s">
        <v>1282</v>
      </c>
      <c r="B230" s="2666">
        <v>948</v>
      </c>
      <c r="C230" s="2530"/>
      <c r="D230" s="5168"/>
      <c r="E230" s="5170"/>
      <c r="F230" s="1686"/>
    </row>
    <row r="231" spans="1:6" ht="11.85" customHeight="1">
      <c r="A231" s="1308" t="s">
        <v>1288</v>
      </c>
      <c r="B231" s="2666">
        <v>950</v>
      </c>
      <c r="C231" s="2530"/>
      <c r="D231" s="5168"/>
      <c r="E231" s="5170"/>
      <c r="F231" s="1686"/>
    </row>
    <row r="232" spans="1:6" ht="11.85" customHeight="1">
      <c r="A232" s="1308" t="s">
        <v>728</v>
      </c>
      <c r="B232" s="2666">
        <v>952</v>
      </c>
      <c r="C232" s="2530"/>
      <c r="D232" s="5168"/>
      <c r="E232" s="5170"/>
      <c r="F232" s="1686"/>
    </row>
    <row r="233" spans="1:6" ht="11.85" customHeight="1">
      <c r="A233" s="1308" t="s">
        <v>1293</v>
      </c>
      <c r="B233" s="5172">
        <v>954</v>
      </c>
      <c r="C233" s="2530"/>
      <c r="D233" s="5168"/>
      <c r="E233" s="5173"/>
      <c r="F233" s="1686"/>
    </row>
    <row r="234" spans="1:6" ht="11.85" customHeight="1">
      <c r="A234" s="5163"/>
      <c r="B234" s="5164"/>
      <c r="C234" s="5165"/>
      <c r="D234" s="5165"/>
      <c r="E234" s="5166"/>
      <c r="F234" s="1686"/>
    </row>
    <row r="235" spans="1:6" ht="11.85" customHeight="1">
      <c r="A235" s="5163"/>
      <c r="B235" s="5164"/>
      <c r="C235" s="5165"/>
      <c r="D235" s="5165"/>
      <c r="E235" s="5166"/>
      <c r="F235" s="1686"/>
    </row>
    <row r="236" spans="1:6" ht="11.85" customHeight="1">
      <c r="A236" s="1652" t="s">
        <v>1019</v>
      </c>
      <c r="B236" s="1653">
        <f>B1</f>
        <v>270</v>
      </c>
      <c r="C236" s="1654"/>
      <c r="D236" s="1654"/>
      <c r="E236" s="1652" t="s">
        <v>1020</v>
      </c>
      <c r="F236" s="1686"/>
    </row>
    <row r="237" spans="1:6" ht="11.85" customHeight="1">
      <c r="A237" s="1654"/>
      <c r="B237" s="1653"/>
      <c r="C237" s="1654"/>
      <c r="D237" s="1654"/>
      <c r="E237" s="1652" t="s">
        <v>1212</v>
      </c>
      <c r="F237" s="1686"/>
    </row>
    <row r="238" spans="1:6" ht="11.85" customHeight="1">
      <c r="A238" s="1654"/>
      <c r="B238" s="1653"/>
      <c r="C238" s="1654"/>
      <c r="D238" s="1654"/>
      <c r="E238" s="1652" t="str">
        <f>E6</f>
        <v>2016-2017</v>
      </c>
      <c r="F238" s="1686"/>
    </row>
    <row r="239" spans="1:6" ht="11.85" customHeight="1">
      <c r="A239" s="1654"/>
      <c r="B239" s="1653"/>
      <c r="C239" s="1654"/>
      <c r="D239" s="1654"/>
      <c r="E239" s="1654"/>
      <c r="F239" s="1686"/>
    </row>
    <row r="240" spans="1:6" ht="11.85" customHeight="1">
      <c r="A240" s="1654"/>
      <c r="B240" s="1653"/>
      <c r="C240" s="1657" t="s">
        <v>1213</v>
      </c>
      <c r="D240" s="1657" t="s">
        <v>1213</v>
      </c>
      <c r="E240" s="1657" t="s">
        <v>1213</v>
      </c>
      <c r="F240" s="1686"/>
    </row>
    <row r="241" spans="1:6" ht="11.85" customHeight="1">
      <c r="A241" s="1654"/>
      <c r="B241" s="1658" t="s">
        <v>1045</v>
      </c>
      <c r="C241" s="1659" t="str">
        <f>C6</f>
        <v>2014-2015</v>
      </c>
      <c r="D241" s="1659" t="str">
        <f>D6</f>
        <v>2015-2016</v>
      </c>
      <c r="E241" s="1659" t="str">
        <f>E6</f>
        <v>2016-2017</v>
      </c>
      <c r="F241" s="1686"/>
    </row>
    <row r="242" spans="1:6" ht="11.85" customHeight="1">
      <c r="A242" s="1657" t="s">
        <v>783</v>
      </c>
      <c r="B242" s="1663">
        <v>53</v>
      </c>
      <c r="C242" s="1664" t="s">
        <v>1139</v>
      </c>
      <c r="D242" s="1664" t="s">
        <v>1139</v>
      </c>
      <c r="E242" s="3544" t="s">
        <v>1215</v>
      </c>
      <c r="F242" s="1686"/>
    </row>
    <row r="243" spans="1:6" ht="11.85" customHeight="1">
      <c r="A243" s="1666"/>
      <c r="B243" s="1667" t="s">
        <v>1051</v>
      </c>
      <c r="C243" s="3914">
        <v>1</v>
      </c>
      <c r="D243" s="1668">
        <v>2</v>
      </c>
      <c r="E243" s="3914">
        <v>3</v>
      </c>
      <c r="F243" s="1686"/>
    </row>
    <row r="244" spans="1:6" ht="11.85" customHeight="1">
      <c r="A244" s="3906" t="s">
        <v>1750</v>
      </c>
      <c r="B244" s="1696"/>
      <c r="C244" s="3903"/>
      <c r="D244" s="3937"/>
      <c r="E244" s="1676"/>
      <c r="F244" s="1686"/>
    </row>
    <row r="245" spans="1:6" ht="11.85" customHeight="1">
      <c r="A245" s="1721" t="s">
        <v>1309</v>
      </c>
      <c r="B245" s="1699"/>
      <c r="C245" s="3905"/>
      <c r="D245" s="5162"/>
      <c r="E245" s="1700"/>
      <c r="F245" s="1686"/>
    </row>
    <row r="246" spans="1:6" ht="11.85" customHeight="1">
      <c r="A246" s="1723" t="s">
        <v>1347</v>
      </c>
      <c r="B246" s="2963">
        <v>825</v>
      </c>
      <c r="C246" s="4031"/>
      <c r="D246" s="3899"/>
      <c r="E246" s="1700"/>
      <c r="F246" s="1686"/>
    </row>
    <row r="247" spans="1:6" ht="11.85" customHeight="1">
      <c r="A247" s="1724" t="s">
        <v>1270</v>
      </c>
      <c r="B247" s="3999">
        <v>830</v>
      </c>
      <c r="C247" s="4031"/>
      <c r="D247" s="3938"/>
      <c r="E247" s="1700"/>
      <c r="F247" s="1686"/>
    </row>
    <row r="248" spans="1:6" ht="12.75" customHeight="1">
      <c r="A248" s="1719" t="s">
        <v>1310</v>
      </c>
      <c r="B248" s="1696"/>
      <c r="C248" s="3903"/>
      <c r="D248" s="3937"/>
      <c r="E248" s="1700"/>
      <c r="F248" s="1686"/>
    </row>
    <row r="249" spans="1:6" ht="11.85" customHeight="1">
      <c r="A249" s="1723" t="s">
        <v>1348</v>
      </c>
      <c r="B249" s="2963">
        <v>835</v>
      </c>
      <c r="C249" s="4031"/>
      <c r="D249" s="3899"/>
      <c r="E249" s="1700"/>
      <c r="F249" s="1686"/>
    </row>
    <row r="250" spans="1:6" ht="11.85" customHeight="1">
      <c r="A250" s="1724" t="s">
        <v>1314</v>
      </c>
      <c r="B250" s="3999">
        <v>840</v>
      </c>
      <c r="C250" s="4031"/>
      <c r="D250" s="3938"/>
      <c r="E250" s="1700"/>
      <c r="F250" s="1686"/>
    </row>
    <row r="251" spans="1:6" ht="11.85" customHeight="1">
      <c r="A251" s="1724" t="s">
        <v>1315</v>
      </c>
      <c r="B251" s="3999">
        <v>845</v>
      </c>
      <c r="C251" s="4031"/>
      <c r="D251" s="3938"/>
      <c r="E251" s="1700"/>
      <c r="F251" s="1686"/>
    </row>
    <row r="252" spans="1:6" ht="11.85" customHeight="1">
      <c r="A252" s="1695" t="s">
        <v>781</v>
      </c>
      <c r="B252" s="4000">
        <v>850</v>
      </c>
      <c r="C252" s="4031"/>
      <c r="D252" s="3939"/>
      <c r="E252" s="1700"/>
      <c r="F252" s="1686"/>
    </row>
    <row r="253" spans="1:6" ht="11.85" customHeight="1">
      <c r="A253" s="1724" t="s">
        <v>1318</v>
      </c>
      <c r="B253" s="3999">
        <v>855</v>
      </c>
      <c r="C253" s="4031"/>
      <c r="D253" s="3938"/>
      <c r="E253" s="1700"/>
      <c r="F253" s="1686"/>
    </row>
    <row r="254" spans="1:6" ht="11.85" customHeight="1">
      <c r="A254" s="1724" t="s">
        <v>1327</v>
      </c>
      <c r="B254" s="3999">
        <v>860</v>
      </c>
      <c r="C254" s="4031"/>
      <c r="D254" s="3938"/>
      <c r="E254" s="1700"/>
      <c r="F254" s="1686"/>
    </row>
    <row r="255" spans="1:6" ht="11.85" customHeight="1">
      <c r="A255" s="1724" t="s">
        <v>1337</v>
      </c>
      <c r="B255" s="3999">
        <v>865</v>
      </c>
      <c r="C255" s="4031"/>
      <c r="D255" s="3938"/>
      <c r="E255" s="1700"/>
      <c r="F255" s="1727"/>
    </row>
    <row r="256" spans="1:6" ht="11.85" customHeight="1">
      <c r="A256" s="1724" t="s">
        <v>1345</v>
      </c>
      <c r="B256" s="3999">
        <v>870</v>
      </c>
      <c r="C256" s="4031"/>
      <c r="D256" s="3938"/>
      <c r="E256" s="1700"/>
      <c r="F256" s="1686"/>
    </row>
    <row r="257" spans="1:7" ht="11.85" customHeight="1">
      <c r="A257" s="1724" t="s">
        <v>1346</v>
      </c>
      <c r="B257" s="3999">
        <v>875</v>
      </c>
      <c r="C257" s="4031"/>
      <c r="D257" s="3938"/>
      <c r="E257" s="1700"/>
      <c r="F257" s="1686"/>
    </row>
    <row r="258" spans="1:7" ht="12.6" customHeight="1">
      <c r="A258" s="1724" t="s">
        <v>1349</v>
      </c>
      <c r="B258" s="1706">
        <v>680</v>
      </c>
      <c r="C258" s="2553"/>
      <c r="D258" s="3938"/>
      <c r="E258" s="1700"/>
      <c r="F258" s="1655"/>
    </row>
    <row r="259" spans="1:7" ht="12.6" customHeight="1">
      <c r="A259" s="1728" t="s">
        <v>1351</v>
      </c>
      <c r="B259" s="1677"/>
      <c r="C259" s="1701"/>
      <c r="D259" s="3940"/>
      <c r="E259" s="1700"/>
      <c r="F259" s="1655"/>
    </row>
    <row r="260" spans="1:7" ht="12.6" customHeight="1">
      <c r="A260" s="3414" t="s">
        <v>1503</v>
      </c>
      <c r="B260" s="3551">
        <v>725</v>
      </c>
      <c r="C260" s="3782"/>
      <c r="D260" s="3941"/>
      <c r="E260" s="3801"/>
      <c r="F260" s="1655"/>
      <c r="G260" s="3588"/>
    </row>
    <row r="261" spans="1:7" ht="12.6" customHeight="1">
      <c r="A261" s="1729" t="s">
        <v>1352</v>
      </c>
      <c r="B261" s="1671">
        <v>730</v>
      </c>
      <c r="C261" s="1704">
        <v>0</v>
      </c>
      <c r="D261" s="1675">
        <v>0</v>
      </c>
      <c r="E261" s="1700"/>
      <c r="F261" s="1655"/>
      <c r="G261" s="3588"/>
    </row>
    <row r="262" spans="1:7" ht="12.6" customHeight="1">
      <c r="A262" s="1730" t="s">
        <v>1353</v>
      </c>
      <c r="B262" s="1681">
        <v>735</v>
      </c>
      <c r="C262" s="1704">
        <v>0</v>
      </c>
      <c r="D262" s="1707">
        <v>0</v>
      </c>
      <c r="E262" s="1700"/>
      <c r="F262" s="1655"/>
    </row>
    <row r="263" spans="1:7" ht="12.6" customHeight="1">
      <c r="A263" s="1730" t="s">
        <v>1354</v>
      </c>
      <c r="B263" s="1681">
        <v>740</v>
      </c>
      <c r="C263" s="2551">
        <v>0</v>
      </c>
      <c r="D263" s="1710">
        <v>0</v>
      </c>
      <c r="E263" s="1700"/>
      <c r="F263" s="1655"/>
    </row>
    <row r="264" spans="1:7" ht="12.6" customHeight="1">
      <c r="A264" s="1730" t="s">
        <v>1148</v>
      </c>
      <c r="B264" s="1681">
        <v>745</v>
      </c>
      <c r="C264" s="1708">
        <v>0</v>
      </c>
      <c r="D264" s="1708">
        <v>0</v>
      </c>
      <c r="E264" s="1700"/>
      <c r="F264" s="1655"/>
    </row>
    <row r="265" spans="1:7" ht="12.6" customHeight="1">
      <c r="A265" s="1730" t="s">
        <v>1356</v>
      </c>
      <c r="B265" s="1681">
        <v>750</v>
      </c>
      <c r="C265" s="3254">
        <v>0</v>
      </c>
      <c r="D265" s="1704">
        <v>0</v>
      </c>
      <c r="E265" s="1700"/>
      <c r="F265" s="1655"/>
    </row>
    <row r="266" spans="1:7" ht="12.6" customHeight="1">
      <c r="A266" s="1730" t="s">
        <v>1357</v>
      </c>
      <c r="B266" s="1681">
        <v>757</v>
      </c>
      <c r="C266" s="1704">
        <v>0</v>
      </c>
      <c r="D266" s="1675">
        <v>0</v>
      </c>
      <c r="E266" s="1700"/>
      <c r="F266" s="1655"/>
    </row>
    <row r="267" spans="1:7" ht="12.6" customHeight="1">
      <c r="A267" s="1730" t="s">
        <v>1358</v>
      </c>
      <c r="B267" s="1681">
        <v>760</v>
      </c>
      <c r="C267" s="1708">
        <v>0</v>
      </c>
      <c r="D267" s="1707">
        <v>0</v>
      </c>
      <c r="E267" s="1700"/>
      <c r="F267" s="1655"/>
    </row>
    <row r="268" spans="1:7" ht="12.6" customHeight="1">
      <c r="A268" s="1730" t="s">
        <v>14</v>
      </c>
      <c r="B268" s="1681">
        <v>765</v>
      </c>
      <c r="C268" s="1708">
        <v>0</v>
      </c>
      <c r="D268" s="1707">
        <v>0</v>
      </c>
      <c r="E268" s="1700"/>
      <c r="F268" s="1655"/>
    </row>
    <row r="269" spans="1:7" ht="12.6" customHeight="1">
      <c r="A269" s="1730" t="s">
        <v>1359</v>
      </c>
      <c r="B269" s="1681">
        <v>770</v>
      </c>
      <c r="C269" s="1708">
        <v>0</v>
      </c>
      <c r="D269" s="1707">
        <v>0</v>
      </c>
      <c r="E269" s="1700"/>
      <c r="F269" s="1655"/>
    </row>
    <row r="270" spans="1:7" ht="12.6" customHeight="1">
      <c r="A270" s="1730" t="s">
        <v>1360</v>
      </c>
      <c r="B270" s="1681">
        <v>773</v>
      </c>
      <c r="C270" s="1708">
        <v>0</v>
      </c>
      <c r="D270" s="1707">
        <v>0</v>
      </c>
      <c r="E270" s="1700"/>
      <c r="F270" s="1655"/>
    </row>
    <row r="271" spans="1:7" ht="12.6" customHeight="1">
      <c r="A271" s="1730" t="s">
        <v>1361</v>
      </c>
      <c r="B271" s="1681">
        <v>775</v>
      </c>
      <c r="C271" s="1708">
        <v>0</v>
      </c>
      <c r="D271" s="1708">
        <v>0</v>
      </c>
      <c r="E271" s="1700"/>
      <c r="F271" s="1655"/>
    </row>
    <row r="272" spans="1:7" ht="12.6" customHeight="1">
      <c r="A272" s="1730" t="s">
        <v>1362</v>
      </c>
      <c r="B272" s="1681">
        <v>790</v>
      </c>
      <c r="C272" s="2729">
        <v>0</v>
      </c>
      <c r="D272" s="1704">
        <v>0</v>
      </c>
      <c r="E272" s="1700"/>
      <c r="F272" s="1655"/>
    </row>
    <row r="273" spans="1:6" ht="12.6" customHeight="1">
      <c r="A273" s="2677" t="s">
        <v>116</v>
      </c>
      <c r="B273" s="2678">
        <v>800</v>
      </c>
      <c r="C273" s="1708">
        <v>0</v>
      </c>
      <c r="D273" s="1707">
        <v>0</v>
      </c>
      <c r="E273" s="1700"/>
      <c r="F273" s="1655"/>
    </row>
    <row r="274" spans="1:6" ht="12.6" customHeight="1">
      <c r="A274" s="2677" t="s">
        <v>12</v>
      </c>
      <c r="B274" s="2678">
        <v>805</v>
      </c>
      <c r="C274" s="2551">
        <v>0</v>
      </c>
      <c r="D274" s="1710">
        <v>0</v>
      </c>
      <c r="E274" s="1700"/>
      <c r="F274" s="1655"/>
    </row>
    <row r="275" spans="1:6" ht="12.6" customHeight="1">
      <c r="A275" s="2957" t="s">
        <v>706</v>
      </c>
      <c r="B275" s="2958">
        <v>810</v>
      </c>
      <c r="C275" s="1708">
        <v>0</v>
      </c>
      <c r="D275" s="1708">
        <v>0</v>
      </c>
      <c r="E275" s="1700"/>
      <c r="F275" s="1655"/>
    </row>
    <row r="276" spans="1:6" ht="12.6" customHeight="1">
      <c r="A276" s="2957" t="s">
        <v>707</v>
      </c>
      <c r="B276" s="2958">
        <v>815</v>
      </c>
      <c r="C276" s="1704">
        <v>0</v>
      </c>
      <c r="D276" s="1708">
        <v>0</v>
      </c>
      <c r="E276" s="1700"/>
      <c r="F276" s="1655"/>
    </row>
    <row r="277" spans="1:6" ht="12.6" customHeight="1">
      <c r="A277" s="4001" t="s">
        <v>1844</v>
      </c>
      <c r="B277" s="2958">
        <v>820</v>
      </c>
      <c r="C277" s="3929">
        <v>0</v>
      </c>
      <c r="D277" s="1675">
        <v>0</v>
      </c>
      <c r="E277" s="4257"/>
      <c r="F277" s="1655"/>
    </row>
    <row r="278" spans="1:6" ht="12.6" customHeight="1">
      <c r="A278" s="1730" t="s">
        <v>1363</v>
      </c>
      <c r="B278" s="1731" t="s">
        <v>1364</v>
      </c>
      <c r="C278" s="2550">
        <f>SUM(C246:C277,C185:C233,C125:C171,C71:C113,C23:C58)</f>
        <v>39897</v>
      </c>
      <c r="D278" s="2550">
        <f t="shared" ref="D278:E278" si="0">SUM(D246:D277,D185:D233,D125:D171,D71:D113,D23:D58)</f>
        <v>32110</v>
      </c>
      <c r="E278" s="2550">
        <f t="shared" si="0"/>
        <v>0</v>
      </c>
      <c r="F278" s="1655"/>
    </row>
    <row r="279" spans="1:6" s="1660" customFormat="1" ht="12.6" customHeight="1">
      <c r="A279" s="1654"/>
      <c r="B279" s="1653"/>
      <c r="C279" s="1654"/>
      <c r="D279" s="1654"/>
      <c r="E279" s="1654"/>
      <c r="F279" s="1654"/>
    </row>
    <row r="280" spans="1:6" s="1660" customFormat="1" ht="12.6" customHeight="1">
      <c r="A280" s="1654" t="s">
        <v>802</v>
      </c>
      <c r="B280" s="1653"/>
      <c r="C280" s="1654"/>
      <c r="D280" s="1654"/>
      <c r="E280" s="1654"/>
      <c r="F280" s="1654"/>
    </row>
    <row r="281" spans="1:6" s="1660" customFormat="1" ht="12.6" customHeight="1">
      <c r="A281" s="1654"/>
      <c r="B281" s="1653"/>
      <c r="C281" s="1654"/>
      <c r="D281" s="1654"/>
      <c r="E281" s="1654"/>
      <c r="F281" s="1654"/>
    </row>
    <row r="282" spans="1:6" s="1660" customFormat="1" ht="12.6" customHeight="1">
      <c r="A282" s="3645"/>
      <c r="B282" s="1653"/>
      <c r="C282" s="1654"/>
      <c r="D282" s="1654"/>
      <c r="E282" s="1654"/>
      <c r="F282" s="1654"/>
    </row>
    <row r="283" spans="1:6" s="1660" customFormat="1" ht="12.6" customHeight="1">
      <c r="A283" s="3645"/>
      <c r="B283" s="1653"/>
      <c r="C283" s="1654"/>
      <c r="D283" s="1654"/>
      <c r="E283" s="1654"/>
      <c r="F283" s="1654"/>
    </row>
    <row r="284" spans="1:6" s="1660" customFormat="1" ht="12.6" customHeight="1">
      <c r="A284"/>
      <c r="B284" s="1653"/>
      <c r="C284" s="1654"/>
      <c r="D284" s="1654"/>
      <c r="E284" s="1654"/>
      <c r="F284" s="1654"/>
    </row>
    <row r="285" spans="1:6" s="1660" customFormat="1" ht="12.6" customHeight="1">
      <c r="A285" s="1654"/>
      <c r="B285" s="1653"/>
      <c r="C285" s="1654"/>
      <c r="D285" s="1654"/>
      <c r="E285" s="1654"/>
      <c r="F285" s="1654"/>
    </row>
    <row r="286" spans="1:6" s="1660" customFormat="1" ht="12.6" customHeight="1">
      <c r="A286" s="1654"/>
      <c r="B286" s="1653"/>
      <c r="C286" s="1654"/>
      <c r="D286" s="1654"/>
      <c r="E286" s="1654"/>
      <c r="F286" s="1654"/>
    </row>
    <row r="287" spans="1:6" s="1660" customFormat="1" ht="12.6" customHeight="1">
      <c r="A287" s="1654"/>
      <c r="B287" s="1653"/>
      <c r="C287" s="1654"/>
      <c r="D287" s="1654"/>
      <c r="E287" s="1654"/>
      <c r="F287" s="1654"/>
    </row>
    <row r="288" spans="1:6" s="1660" customFormat="1" ht="12.6" customHeight="1">
      <c r="A288" s="1654"/>
      <c r="B288" s="1653"/>
      <c r="C288" s="1654"/>
      <c r="D288" s="1654"/>
      <c r="E288" s="1654"/>
      <c r="F288" s="1654"/>
    </row>
    <row r="289" spans="1:6" ht="12.6" customHeight="1">
      <c r="A289" s="1654"/>
      <c r="B289" s="1653"/>
      <c r="C289" s="1655"/>
      <c r="D289" s="1655"/>
      <c r="E289" s="1655"/>
      <c r="F289" s="1655"/>
    </row>
    <row r="290" spans="1:6" ht="12.6" customHeight="1">
      <c r="A290" s="1654"/>
      <c r="B290" s="1653"/>
      <c r="C290" s="1655"/>
      <c r="D290" s="1655"/>
      <c r="E290" s="1655"/>
      <c r="F290" s="1655"/>
    </row>
    <row r="291" spans="1:6" ht="12.6" customHeight="1">
      <c r="A291" s="1654"/>
      <c r="B291" s="1653"/>
      <c r="C291" s="1655"/>
      <c r="D291" s="1655"/>
      <c r="E291" s="1655"/>
      <c r="F291" s="1655"/>
    </row>
    <row r="292" spans="1:6" ht="12.6" customHeight="1">
      <c r="A292" s="1654"/>
      <c r="B292" s="1653"/>
      <c r="C292" s="1655"/>
      <c r="D292" s="1655"/>
      <c r="E292" s="1655"/>
      <c r="F292" s="1655"/>
    </row>
    <row r="293" spans="1:6" ht="12.6" customHeight="1">
      <c r="A293" s="1654"/>
      <c r="B293" s="1653"/>
      <c r="C293" s="1655"/>
      <c r="D293" s="1655"/>
      <c r="E293" s="1655"/>
      <c r="F293" s="1655"/>
    </row>
    <row r="294" spans="1:6" ht="11.25" customHeight="1">
      <c r="A294" s="1712"/>
      <c r="B294" s="1714"/>
      <c r="C294" s="1713"/>
      <c r="D294" s="1713"/>
      <c r="E294" s="1713"/>
      <c r="F294" s="1655"/>
    </row>
  </sheetData>
  <sheetProtection algorithmName="SHA-512" hashValue="l+t/3uz0TUh+J5xdu9PjCWzIgmG01V/uAW0TL8ZDauwhYVKj3IxGwsifmDJgUK3yesdPyou4hugiX7WA5IPyFA==" saltValue="LAbJqv25T2/sMd1AIPURTg==" spinCount="100000" sheet="1" objects="1" scenarios="1"/>
  <dataConsolidate/>
  <phoneticPr fontId="10" type="noConversion"/>
  <dataValidations count="4">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zero." sqref="C10:D10 C23:D30 C33:D36 C38:D43 C47:D58 C71:D72 C74:D79 C82:D86 C89:D90 C92:D96 C98:D103 C106:D107 C146:D146 C109:D113 D125 C125:C126 C126:D143 C148:D151 C153:D158 C160:D161 C163:D163 C246:D247 C261:D277 C249:D258 C242:D243 C165:D173 C225:E233 C210:E210 C223:E223 C212:E220 C197:E207 C195:E195 C187:E192 C185:E185 C182:E182 C234:D240">
      <formula1>0</formula1>
    </dataValidation>
    <dataValidation type="whole" operator="greaterThanOrEqual" allowBlank="1" showInputMessage="1" showErrorMessage="1" errorTitle="Invalid Data Entry" error="Please enter a positive number or press the delete key or enter zero." sqref="E260">
      <formula1>0</formula1>
    </dataValidation>
    <dataValidation type="whole" operator="greaterThanOrEqual" showErrorMessage="1" errorTitle="Invalid Data Entry" error="Please enter a positive whole dollar amount or press the delete key or enter zero." sqref="D260">
      <formula1>0</formula1>
    </dataValidation>
  </dataValidations>
  <hyperlinks>
    <hyperlink ref="G1" location="Contents!F1" display="Return to Contents page"/>
  </hyperlinks>
  <printOptions horizontalCentered="1"/>
  <pageMargins left="0.25" right="0.25" top="0.25" bottom="0.25" header="0.5" footer="0.5"/>
  <pageSetup orientation="portrait" blackAndWhite="1" r:id="rId1"/>
  <headerFooter alignWithMargins="0">
    <oddFooter>&amp;L&amp;D     &amp;T &amp;CCode No. 53&amp;RPage &amp;P</oddFooter>
  </headerFooter>
  <rowBreaks count="4" manualBreakCount="4">
    <brk id="60" max="16383" man="1"/>
    <brk id="115" max="16383" man="1"/>
    <brk id="173" max="4" man="1"/>
    <brk id="233" max="4"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4" tint="0.39997558519241921"/>
    <pageSetUpPr fitToPage="1"/>
  </sheetPr>
  <dimension ref="A1:M303"/>
  <sheetViews>
    <sheetView workbookViewId="0">
      <selection activeCell="D32" sqref="D32"/>
    </sheetView>
  </sheetViews>
  <sheetFormatPr defaultColWidth="10.7109375" defaultRowHeight="12" customHeight="1"/>
  <cols>
    <col min="1" max="1" width="41.28515625" style="1744" customWidth="1"/>
    <col min="2" max="2" width="4.85546875" style="1771" customWidth="1"/>
    <col min="3" max="4" width="15.42578125" style="1737" customWidth="1"/>
    <col min="5" max="5" width="14.42578125" style="1737" customWidth="1"/>
    <col min="6" max="6" width="2.28515625" style="1737" customWidth="1"/>
    <col min="7" max="7" width="21" style="1737" customWidth="1"/>
    <col min="8" max="16384" width="10.7109375" style="1737"/>
  </cols>
  <sheetData>
    <row r="1" spans="1:13" ht="12" customHeight="1">
      <c r="A1" s="1733" t="s">
        <v>1019</v>
      </c>
      <c r="B1" s="1734">
        <f>OPEN!$B$4</f>
        <v>270</v>
      </c>
      <c r="C1" s="1735"/>
      <c r="D1" s="1735"/>
      <c r="E1" s="1733" t="s">
        <v>1020</v>
      </c>
      <c r="F1" s="1736"/>
      <c r="G1" s="3013" t="s">
        <v>866</v>
      </c>
    </row>
    <row r="2" spans="1:13" ht="12" customHeight="1">
      <c r="A2" s="1735"/>
      <c r="B2" s="1738"/>
      <c r="C2" s="1735"/>
      <c r="D2" s="1735"/>
      <c r="E2" s="1733" t="s">
        <v>1212</v>
      </c>
      <c r="F2" s="1736"/>
      <c r="G2" s="1736"/>
    </row>
    <row r="3" spans="1:13" ht="12" customHeight="1">
      <c r="A3" s="1735"/>
      <c r="B3" s="1738"/>
      <c r="C3" s="1735"/>
      <c r="D3" s="1735"/>
      <c r="E3" s="1733" t="str">
        <f>OPEN!N2</f>
        <v>2016-2017</v>
      </c>
      <c r="F3" s="1736"/>
      <c r="G3" s="1736"/>
    </row>
    <row r="4" spans="1:13" ht="5.0999999999999996" customHeight="1">
      <c r="A4" s="1735"/>
      <c r="B4" s="1738"/>
      <c r="C4" s="1735"/>
      <c r="D4" s="1735"/>
      <c r="E4" s="1735"/>
      <c r="F4" s="1736"/>
      <c r="G4" s="1736"/>
    </row>
    <row r="5" spans="1:13" ht="12" customHeight="1">
      <c r="A5" s="1735"/>
      <c r="B5" s="1738"/>
      <c r="C5" s="1739" t="s">
        <v>1213</v>
      </c>
      <c r="D5" s="1739" t="s">
        <v>1213</v>
      </c>
      <c r="E5" s="1739" t="s">
        <v>1213</v>
      </c>
      <c r="F5" s="1736"/>
      <c r="G5" s="1736"/>
    </row>
    <row r="6" spans="1:13" ht="12" customHeight="1">
      <c r="A6" s="1741" t="s">
        <v>154</v>
      </c>
      <c r="B6" s="1742" t="s">
        <v>1045</v>
      </c>
      <c r="C6" s="1743" t="str">
        <f>OPEN!N4</f>
        <v>2014-2015</v>
      </c>
      <c r="D6" s="1743" t="str">
        <f>OPEN!O4</f>
        <v>2015-2016</v>
      </c>
      <c r="E6" s="1743" t="str">
        <f>E3</f>
        <v>2016-2017</v>
      </c>
      <c r="F6" s="1736"/>
      <c r="G6" s="1736"/>
      <c r="K6" s="1744"/>
      <c r="L6" s="1744"/>
      <c r="M6" s="1744"/>
    </row>
    <row r="7" spans="1:13" ht="12" customHeight="1">
      <c r="A7" s="1741" t="s">
        <v>803</v>
      </c>
      <c r="B7" s="1745">
        <v>55</v>
      </c>
      <c r="C7" s="1746" t="s">
        <v>1139</v>
      </c>
      <c r="D7" s="1746" t="s">
        <v>1139</v>
      </c>
      <c r="E7" s="3544" t="s">
        <v>1215</v>
      </c>
      <c r="F7" s="1736"/>
      <c r="G7" s="1736"/>
    </row>
    <row r="8" spans="1:13" ht="12" customHeight="1">
      <c r="A8" s="1747"/>
      <c r="B8" s="1748" t="s">
        <v>1051</v>
      </c>
      <c r="C8" s="1749">
        <v>1</v>
      </c>
      <c r="D8" s="1749">
        <v>2</v>
      </c>
      <c r="E8" s="1749">
        <v>3</v>
      </c>
      <c r="F8" s="1736"/>
      <c r="G8" s="1736"/>
    </row>
    <row r="9" spans="1:13" ht="12" customHeight="1">
      <c r="A9" s="1750" t="s">
        <v>1402</v>
      </c>
      <c r="B9" s="1748">
        <v>1</v>
      </c>
      <c r="C9" s="1751">
        <v>56434</v>
      </c>
      <c r="D9" s="1752">
        <f>C42</f>
        <v>84218</v>
      </c>
      <c r="E9" s="2581">
        <f>D42</f>
        <v>92034</v>
      </c>
      <c r="F9" s="1736"/>
      <c r="G9" s="1736"/>
    </row>
    <row r="10" spans="1:13" ht="12" customHeight="1">
      <c r="A10" s="1754" t="s">
        <v>1403</v>
      </c>
      <c r="B10" s="1745">
        <v>3</v>
      </c>
      <c r="C10" s="1755"/>
      <c r="D10" s="1755"/>
      <c r="E10" s="3413"/>
      <c r="F10" s="1736"/>
      <c r="G10" s="1736"/>
    </row>
    <row r="11" spans="1:13" ht="12" customHeight="1">
      <c r="A11" s="1756" t="s">
        <v>19</v>
      </c>
      <c r="B11" s="1742"/>
      <c r="C11" s="1757"/>
      <c r="D11" s="1757"/>
      <c r="E11" s="3413"/>
      <c r="F11" s="1736"/>
      <c r="G11" s="1736"/>
    </row>
    <row r="12" spans="1:13" ht="12" customHeight="1">
      <c r="A12" s="1754" t="s">
        <v>20</v>
      </c>
      <c r="B12" s="1745"/>
      <c r="C12" s="1758"/>
      <c r="D12" s="1758"/>
      <c r="E12" s="3413"/>
      <c r="F12" s="1736"/>
      <c r="G12" s="1736"/>
    </row>
    <row r="13" spans="1:13" ht="12" customHeight="1">
      <c r="A13" s="5030" t="s">
        <v>399</v>
      </c>
      <c r="B13" s="5031">
        <v>4</v>
      </c>
      <c r="C13" s="4234"/>
      <c r="D13" s="4234"/>
      <c r="E13" s="3413"/>
      <c r="F13" s="1736"/>
      <c r="G13" s="1736"/>
      <c r="H13" s="4233"/>
    </row>
    <row r="14" spans="1:13" ht="12" customHeight="1">
      <c r="A14" s="1750" t="s">
        <v>804</v>
      </c>
      <c r="B14" s="1748">
        <v>5</v>
      </c>
      <c r="C14" s="1751"/>
      <c r="D14" s="1751"/>
      <c r="E14" s="3413"/>
      <c r="F14" s="1736"/>
      <c r="G14" s="1736"/>
    </row>
    <row r="15" spans="1:13" ht="12" customHeight="1">
      <c r="A15" s="1759" t="s">
        <v>805</v>
      </c>
      <c r="B15" s="1760">
        <v>10</v>
      </c>
      <c r="C15" s="1761"/>
      <c r="D15" s="1761"/>
      <c r="E15" s="3413"/>
      <c r="F15" s="1736"/>
      <c r="G15" s="1736"/>
    </row>
    <row r="16" spans="1:13" ht="12" customHeight="1">
      <c r="A16" s="1750" t="s">
        <v>155</v>
      </c>
      <c r="B16" s="2679">
        <v>15</v>
      </c>
      <c r="C16" s="1751">
        <v>17346</v>
      </c>
      <c r="D16" s="1751"/>
      <c r="E16" s="3413"/>
      <c r="F16" s="1736"/>
      <c r="G16" s="1736"/>
    </row>
    <row r="17" spans="1:7" ht="12" customHeight="1">
      <c r="A17" s="1750" t="s">
        <v>806</v>
      </c>
      <c r="B17" s="2679">
        <v>20</v>
      </c>
      <c r="C17" s="1751">
        <v>9635</v>
      </c>
      <c r="D17" s="1751"/>
      <c r="E17" s="3413"/>
      <c r="F17" s="1736"/>
      <c r="G17" s="1736"/>
    </row>
    <row r="18" spans="1:7" ht="12" customHeight="1">
      <c r="A18" s="3412" t="s">
        <v>325</v>
      </c>
      <c r="B18" s="2680"/>
      <c r="C18"/>
      <c r="D18" s="3412"/>
      <c r="E18" s="3413"/>
      <c r="F18" s="1736"/>
      <c r="G18" s="1736"/>
    </row>
    <row r="19" spans="1:7" ht="12" customHeight="1">
      <c r="A19" s="3414" t="s">
        <v>1536</v>
      </c>
      <c r="B19" s="2679">
        <v>22</v>
      </c>
      <c r="C19" s="1751"/>
      <c r="D19" s="1751"/>
      <c r="E19" s="3413"/>
      <c r="F19" s="1736"/>
      <c r="G19" s="1736"/>
    </row>
    <row r="20" spans="1:7" ht="12" customHeight="1">
      <c r="A20" s="1754" t="s">
        <v>1424</v>
      </c>
      <c r="B20" s="2680"/>
      <c r="C20" s="1758"/>
      <c r="D20" s="1758"/>
      <c r="E20" s="3413"/>
      <c r="F20" s="1736"/>
      <c r="G20" s="1736"/>
    </row>
    <row r="21" spans="1:7" ht="12" customHeight="1">
      <c r="A21" s="1750" t="s">
        <v>1425</v>
      </c>
      <c r="B21" s="2679">
        <v>25</v>
      </c>
      <c r="C21" s="1752">
        <f>'C06'!C354</f>
        <v>8000</v>
      </c>
      <c r="D21" s="1752">
        <f>'C06'!D354</f>
        <v>10000</v>
      </c>
      <c r="E21" s="3413"/>
      <c r="F21" s="1736"/>
      <c r="G21" s="1736"/>
    </row>
    <row r="22" spans="1:7" ht="12" customHeight="1">
      <c r="A22" s="1750" t="s">
        <v>1426</v>
      </c>
      <c r="B22" s="2679">
        <v>30</v>
      </c>
      <c r="C22" s="1752">
        <f>'C08'!C321</f>
        <v>0</v>
      </c>
      <c r="D22" s="1752">
        <f>'C08'!D321</f>
        <v>10000</v>
      </c>
      <c r="E22" s="3413"/>
      <c r="F22" s="1736"/>
      <c r="G22" s="1736"/>
    </row>
    <row r="23" spans="1:7" ht="12" customHeight="1">
      <c r="A23" s="1750" t="s">
        <v>1427</v>
      </c>
      <c r="B23" s="2679">
        <v>35</v>
      </c>
      <c r="C23" s="1752">
        <f>'C053'!C274</f>
        <v>0</v>
      </c>
      <c r="D23" s="1752">
        <f>'C053'!D274</f>
        <v>0</v>
      </c>
      <c r="E23" s="3413"/>
      <c r="F23" s="1736"/>
      <c r="G23" s="1736"/>
    </row>
    <row r="24" spans="1:7" ht="12" customHeight="1">
      <c r="A24" s="1762" t="s">
        <v>779</v>
      </c>
      <c r="B24" s="2679">
        <v>40</v>
      </c>
      <c r="C24" s="1752">
        <f>SUM(C9:C23)</f>
        <v>91415</v>
      </c>
      <c r="D24" s="1752">
        <f>SUM(D9:D23)</f>
        <v>104218</v>
      </c>
      <c r="E24" s="3413"/>
      <c r="F24" s="1736"/>
      <c r="G24" s="1736"/>
    </row>
    <row r="25" spans="1:7" ht="12" customHeight="1">
      <c r="A25" s="1756" t="s">
        <v>111</v>
      </c>
      <c r="B25" s="2681"/>
      <c r="C25" s="1757"/>
      <c r="D25" s="1757"/>
      <c r="E25" s="3413"/>
      <c r="F25" s="1736"/>
      <c r="G25" s="1736"/>
    </row>
    <row r="26" spans="1:7" ht="12" customHeight="1">
      <c r="A26" s="1754" t="s">
        <v>1267</v>
      </c>
      <c r="B26" s="2680"/>
      <c r="C26" s="1758"/>
      <c r="D26" s="1758"/>
      <c r="E26" s="3413"/>
      <c r="F26" s="1736"/>
      <c r="G26" s="1736"/>
    </row>
    <row r="27" spans="1:7" ht="12" customHeight="1">
      <c r="A27" s="3638" t="s">
        <v>1288</v>
      </c>
      <c r="B27" s="2680"/>
      <c r="C27" s="1758"/>
      <c r="D27" s="1758"/>
      <c r="E27" s="3413"/>
      <c r="F27" s="1736"/>
      <c r="G27" s="1736"/>
    </row>
    <row r="28" spans="1:7" ht="12" customHeight="1">
      <c r="A28" s="1750" t="s">
        <v>1290</v>
      </c>
      <c r="B28" s="2679">
        <v>75</v>
      </c>
      <c r="C28" s="1751">
        <v>1320</v>
      </c>
      <c r="D28" s="1751">
        <v>7777</v>
      </c>
      <c r="E28" s="3413"/>
      <c r="F28" s="1736"/>
      <c r="G28" s="1736"/>
    </row>
    <row r="29" spans="1:7" ht="12" customHeight="1">
      <c r="A29" s="1750" t="s">
        <v>812</v>
      </c>
      <c r="B29" s="2679">
        <v>80</v>
      </c>
      <c r="C29" s="1751"/>
      <c r="D29" s="1751">
        <v>3470</v>
      </c>
      <c r="E29" s="3413"/>
      <c r="F29" s="1736"/>
      <c r="G29" s="1736"/>
    </row>
    <row r="30" spans="1:7" ht="12" customHeight="1">
      <c r="A30" s="1759" t="s">
        <v>813</v>
      </c>
      <c r="B30" s="2682">
        <v>85</v>
      </c>
      <c r="C30" s="1761"/>
      <c r="D30" s="1761"/>
      <c r="E30" s="3413"/>
      <c r="F30" s="1736"/>
      <c r="G30" s="1736"/>
    </row>
    <row r="31" spans="1:7" ht="12" customHeight="1">
      <c r="A31" s="1750" t="s">
        <v>814</v>
      </c>
      <c r="B31" s="2679">
        <v>90</v>
      </c>
      <c r="C31" s="1751">
        <v>1676</v>
      </c>
      <c r="D31" s="1751">
        <v>937</v>
      </c>
      <c r="E31" s="3413"/>
      <c r="F31" s="1736"/>
      <c r="G31" s="1736"/>
    </row>
    <row r="32" spans="1:7" ht="12" customHeight="1">
      <c r="A32" s="2965" t="s">
        <v>280</v>
      </c>
      <c r="B32" s="2966">
        <v>93</v>
      </c>
      <c r="C32" s="1755"/>
      <c r="D32" s="1755"/>
      <c r="E32" s="3413"/>
      <c r="F32" s="1736"/>
      <c r="G32" s="1736"/>
    </row>
    <row r="33" spans="1:7" ht="12" customHeight="1">
      <c r="A33" s="1756" t="s">
        <v>807</v>
      </c>
      <c r="B33" s="2681"/>
      <c r="C33" s="1757"/>
      <c r="D33" s="1757"/>
      <c r="E33" s="3413"/>
      <c r="F33" s="1736"/>
      <c r="G33" s="1736"/>
    </row>
    <row r="34" spans="1:7" ht="12" customHeight="1">
      <c r="A34" s="1754" t="s">
        <v>808</v>
      </c>
      <c r="B34" s="2680"/>
      <c r="C34" s="1758"/>
      <c r="D34" s="1758"/>
      <c r="E34" s="3413"/>
      <c r="F34" s="1736"/>
      <c r="G34" s="1736"/>
    </row>
    <row r="35" spans="1:7" ht="12" customHeight="1">
      <c r="A35" s="1750" t="s">
        <v>809</v>
      </c>
      <c r="B35" s="2679">
        <v>95</v>
      </c>
      <c r="C35" s="1751"/>
      <c r="D35" s="1751"/>
      <c r="E35" s="3413"/>
      <c r="F35" s="1736"/>
      <c r="G35" s="1736"/>
    </row>
    <row r="36" spans="1:7" ht="12" customHeight="1">
      <c r="A36" s="1759" t="s">
        <v>810</v>
      </c>
      <c r="B36" s="2682">
        <v>100</v>
      </c>
      <c r="C36" s="1763"/>
      <c r="D36" s="1763"/>
      <c r="E36" s="3413"/>
      <c r="F36" s="1736"/>
      <c r="G36" s="1736"/>
    </row>
    <row r="37" spans="1:7" ht="12" customHeight="1">
      <c r="A37" s="1750" t="s">
        <v>811</v>
      </c>
      <c r="B37" s="2679">
        <v>105</v>
      </c>
      <c r="C37" s="1761"/>
      <c r="D37" s="1764"/>
      <c r="E37" s="3413"/>
      <c r="F37" s="1736"/>
      <c r="G37" s="1736"/>
    </row>
    <row r="38" spans="1:7" ht="12" customHeight="1">
      <c r="A38" s="1754" t="s">
        <v>624</v>
      </c>
      <c r="B38" s="2680">
        <v>110</v>
      </c>
      <c r="C38" s="3595">
        <v>4201</v>
      </c>
      <c r="D38" s="3816"/>
      <c r="E38" s="3594"/>
      <c r="F38" s="1736"/>
      <c r="G38" s="1736"/>
    </row>
    <row r="39" spans="1:7" ht="12" customHeight="1">
      <c r="A39" s="3415" t="s">
        <v>1501</v>
      </c>
      <c r="B39" s="3412"/>
      <c r="C39"/>
      <c r="D39" s="3413"/>
      <c r="E39" s="3413"/>
      <c r="F39" s="1736"/>
      <c r="G39" s="1736"/>
    </row>
    <row r="40" spans="1:7" ht="12" customHeight="1">
      <c r="A40" s="3542" t="s">
        <v>1503</v>
      </c>
      <c r="B40" s="3591">
        <v>125</v>
      </c>
      <c r="C40" s="3805"/>
      <c r="D40" s="3782"/>
      <c r="E40" s="3801"/>
      <c r="F40" s="1736"/>
      <c r="G40" s="3545"/>
    </row>
    <row r="41" spans="1:7" ht="12" customHeight="1">
      <c r="A41" s="1750" t="s">
        <v>761</v>
      </c>
      <c r="B41" s="2679">
        <v>175</v>
      </c>
      <c r="C41" s="3596">
        <f>SUM(C27:C40)</f>
        <v>7197</v>
      </c>
      <c r="D41" s="1752">
        <f>SUM(D27:D40)</f>
        <v>12184</v>
      </c>
      <c r="E41" s="3597" t="str">
        <f>IF(G41="ERROR","Check transfer","")</f>
        <v/>
      </c>
      <c r="F41" s="1736"/>
      <c r="G41" s="3545" t="str">
        <f>IF(AND(E40&gt;0,E40&gt;D42),"ERROR","")</f>
        <v/>
      </c>
    </row>
    <row r="42" spans="1:7" ht="12" customHeight="1">
      <c r="A42" s="1750" t="s">
        <v>290</v>
      </c>
      <c r="B42" s="2679">
        <v>190</v>
      </c>
      <c r="C42" s="1752">
        <f>SUM(C24-C41)</f>
        <v>84218</v>
      </c>
      <c r="D42" s="1752">
        <f>SUM(D24-D41)</f>
        <v>92034</v>
      </c>
      <c r="E42" s="3414"/>
      <c r="F42" s="1736"/>
      <c r="G42" s="1736"/>
    </row>
    <row r="43" spans="1:7" ht="12" customHeight="1">
      <c r="A43" s="1765"/>
      <c r="B43" s="2783" t="s">
        <v>1364</v>
      </c>
      <c r="C43" s="1766"/>
      <c r="D43" s="1766"/>
      <c r="E43" s="1753"/>
      <c r="F43" s="1736"/>
      <c r="G43"/>
    </row>
    <row r="44" spans="1:7" ht="12" customHeight="1">
      <c r="A44" s="1767"/>
      <c r="B44" s="1740"/>
      <c r="C44" s="1740"/>
      <c r="D44" s="1740"/>
      <c r="E44" s="1768"/>
      <c r="F44" s="1736"/>
      <c r="G44" s="4058"/>
    </row>
    <row r="45" spans="1:7" ht="12" customHeight="1">
      <c r="A45" s="1735"/>
      <c r="B45" s="1739"/>
      <c r="C45" s="1735"/>
      <c r="D45" s="1735"/>
      <c r="E45" s="1735"/>
      <c r="F45" s="1736"/>
      <c r="G45" s="4058"/>
    </row>
    <row r="46" spans="1:7" ht="12" customHeight="1">
      <c r="A46" s="1735"/>
      <c r="B46" s="1739"/>
      <c r="C46" s="1735"/>
      <c r="D46" s="1735"/>
      <c r="E46" s="1735"/>
      <c r="F46" s="1736"/>
      <c r="G46" s="4058"/>
    </row>
    <row r="47" spans="1:7" ht="12" customHeight="1">
      <c r="A47" s="1735"/>
      <c r="B47" s="1739"/>
      <c r="C47" s="1735"/>
      <c r="D47" s="1735"/>
      <c r="E47" s="1735"/>
      <c r="F47" s="1736"/>
      <c r="G47" s="1736"/>
    </row>
    <row r="48" spans="1:7" ht="12" customHeight="1">
      <c r="A48" s="1735"/>
      <c r="B48" s="1739"/>
      <c r="C48" s="1735"/>
      <c r="D48" s="1735"/>
      <c r="E48" s="1735"/>
      <c r="F48" s="1736"/>
      <c r="G48" s="1736"/>
    </row>
    <row r="49" spans="1:7" ht="12" customHeight="1">
      <c r="A49" s="1735"/>
      <c r="B49" s="1739"/>
      <c r="C49" s="1735"/>
      <c r="D49" s="1735"/>
      <c r="E49" s="1735"/>
      <c r="F49" s="1736"/>
      <c r="G49" s="1736"/>
    </row>
    <row r="50" spans="1:7" ht="12" customHeight="1">
      <c r="A50" s="1735"/>
      <c r="B50" s="1739"/>
      <c r="C50" s="1735"/>
      <c r="D50" s="1735"/>
      <c r="E50" s="1735"/>
      <c r="F50" s="1736"/>
      <c r="G50" s="1736"/>
    </row>
    <row r="51" spans="1:7" ht="12" customHeight="1">
      <c r="A51" s="1735"/>
      <c r="B51" s="1739"/>
      <c r="C51" s="1735"/>
      <c r="D51" s="1735"/>
      <c r="E51" s="1735"/>
      <c r="F51" s="1736"/>
      <c r="G51" s="1736"/>
    </row>
    <row r="52" spans="1:7" ht="12" customHeight="1">
      <c r="A52" s="1735"/>
      <c r="B52" s="1739"/>
      <c r="C52" s="1735"/>
      <c r="D52" s="1735"/>
      <c r="E52" s="1735"/>
      <c r="F52" s="1736"/>
      <c r="G52" s="1736"/>
    </row>
    <row r="53" spans="1:7" ht="12" customHeight="1">
      <c r="A53" s="1735"/>
      <c r="B53" s="1739"/>
      <c r="C53" s="1735"/>
      <c r="D53" s="1735"/>
      <c r="E53" s="1735"/>
      <c r="F53" s="1736"/>
      <c r="G53" s="1736"/>
    </row>
    <row r="54" spans="1:7" ht="12" customHeight="1">
      <c r="A54" s="1769"/>
      <c r="B54" s="1769"/>
      <c r="C54" s="1769"/>
      <c r="D54" s="1769"/>
      <c r="E54" s="1769"/>
      <c r="F54" s="1770"/>
      <c r="G54" s="1736"/>
    </row>
    <row r="55" spans="1:7" ht="12" customHeight="1">
      <c r="A55" s="1735"/>
      <c r="B55" s="1735"/>
      <c r="C55" s="1736"/>
      <c r="D55" s="1736"/>
      <c r="E55" s="1736"/>
      <c r="F55" s="1736"/>
      <c r="G55" s="1736"/>
    </row>
    <row r="56" spans="1:7" ht="12" customHeight="1">
      <c r="A56" s="1735"/>
      <c r="B56" s="1735"/>
      <c r="C56" s="1736"/>
      <c r="D56" s="1736"/>
      <c r="E56" s="1736"/>
      <c r="F56" s="1736"/>
      <c r="G56" s="1736"/>
    </row>
    <row r="57" spans="1:7" ht="12" customHeight="1">
      <c r="A57" s="1735"/>
      <c r="B57" s="1735"/>
      <c r="C57" s="1736"/>
      <c r="D57" s="1736"/>
      <c r="E57" s="1736"/>
      <c r="F57" s="1736"/>
      <c r="G57" s="1736"/>
    </row>
    <row r="58" spans="1:7" ht="12" customHeight="1">
      <c r="A58" s="1735"/>
      <c r="B58" s="1735"/>
      <c r="C58" s="1736"/>
      <c r="D58" s="1736"/>
      <c r="E58" s="1736"/>
      <c r="F58" s="1736"/>
      <c r="G58" s="1736"/>
    </row>
    <row r="59" spans="1:7" ht="12" customHeight="1">
      <c r="A59" s="1735"/>
      <c r="B59" s="1735"/>
      <c r="C59" s="1736"/>
      <c r="D59" s="1736"/>
      <c r="E59" s="1736"/>
      <c r="F59" s="1736"/>
      <c r="G59" s="1736"/>
    </row>
    <row r="60" spans="1:7" ht="12" customHeight="1">
      <c r="A60" s="1735"/>
      <c r="B60" s="1735"/>
      <c r="C60" s="1736"/>
      <c r="D60" s="1736"/>
      <c r="E60" s="1736"/>
      <c r="F60" s="1736"/>
      <c r="G60" s="1736"/>
    </row>
    <row r="61" spans="1:7" ht="12" customHeight="1">
      <c r="A61" s="1735"/>
      <c r="B61" s="1735"/>
      <c r="C61" s="1736"/>
      <c r="D61" s="1736"/>
      <c r="E61" s="1736"/>
      <c r="F61" s="1736"/>
      <c r="G61" s="1736"/>
    </row>
    <row r="62" spans="1:7" ht="12" customHeight="1">
      <c r="A62" s="1735"/>
      <c r="B62" s="1735"/>
      <c r="C62" s="1736"/>
      <c r="D62" s="1736"/>
      <c r="E62" s="1736"/>
      <c r="F62" s="1736"/>
      <c r="G62" s="1736"/>
    </row>
    <row r="63" spans="1:7" ht="12" customHeight="1">
      <c r="A63" s="1735"/>
      <c r="B63" s="1735"/>
      <c r="C63" s="1736"/>
      <c r="D63" s="1736"/>
      <c r="E63" s="1736"/>
      <c r="F63" s="1736"/>
      <c r="G63" s="1736"/>
    </row>
    <row r="64" spans="1:7" ht="12" customHeight="1">
      <c r="A64" s="1735"/>
      <c r="B64" s="1735"/>
      <c r="C64" s="1736"/>
      <c r="D64" s="1736"/>
      <c r="E64" s="1736"/>
      <c r="F64" s="1736"/>
      <c r="G64" s="1736"/>
    </row>
    <row r="65" spans="1:7" ht="12" customHeight="1">
      <c r="A65" s="1735"/>
      <c r="B65" s="1735"/>
      <c r="C65" s="1736"/>
      <c r="D65" s="1736"/>
      <c r="E65" s="1736"/>
      <c r="F65" s="1736"/>
      <c r="G65" s="1736"/>
    </row>
    <row r="66" spans="1:7" ht="12" customHeight="1">
      <c r="A66" s="1735"/>
      <c r="B66" s="1735"/>
      <c r="C66" s="1736"/>
      <c r="D66" s="1736"/>
      <c r="E66" s="1736"/>
      <c r="F66" s="1736"/>
      <c r="G66" s="1736"/>
    </row>
    <row r="67" spans="1:7" ht="12" customHeight="1">
      <c r="A67" s="1735"/>
      <c r="B67" s="1735"/>
      <c r="C67" s="1736"/>
      <c r="D67" s="1736"/>
      <c r="E67" s="1736"/>
      <c r="F67" s="1736"/>
      <c r="G67" s="1736"/>
    </row>
    <row r="68" spans="1:7" ht="12" customHeight="1">
      <c r="A68" s="1735"/>
      <c r="B68" s="1735"/>
      <c r="C68" s="1736"/>
      <c r="D68" s="1736"/>
      <c r="E68" s="1736"/>
      <c r="F68" s="1736"/>
      <c r="G68" s="1736"/>
    </row>
    <row r="69" spans="1:7" ht="12" customHeight="1">
      <c r="A69" s="1735"/>
      <c r="B69" s="1735"/>
      <c r="C69" s="1736"/>
      <c r="D69" s="1736"/>
      <c r="E69" s="1736"/>
      <c r="F69" s="1736"/>
      <c r="G69" s="1736"/>
    </row>
    <row r="70" spans="1:7" ht="12" customHeight="1">
      <c r="A70" s="1735"/>
      <c r="B70" s="1735"/>
      <c r="C70" s="1736"/>
      <c r="D70" s="1736"/>
      <c r="E70" s="1736"/>
      <c r="F70" s="1736"/>
      <c r="G70" s="1736"/>
    </row>
    <row r="71" spans="1:7" ht="12" customHeight="1">
      <c r="A71" s="1735"/>
      <c r="B71" s="1735"/>
      <c r="C71" s="1736"/>
      <c r="D71" s="1736"/>
      <c r="E71" s="1736"/>
      <c r="F71" s="1736"/>
      <c r="G71" s="1736"/>
    </row>
    <row r="72" spans="1:7" ht="12" customHeight="1">
      <c r="A72" s="1735"/>
      <c r="B72" s="1735"/>
      <c r="C72" s="1736"/>
      <c r="D72" s="1736"/>
      <c r="E72" s="1736"/>
      <c r="F72" s="1736"/>
      <c r="G72" s="1736"/>
    </row>
    <row r="73" spans="1:7" ht="12" customHeight="1">
      <c r="A73" s="1735"/>
      <c r="B73" s="1735"/>
      <c r="C73" s="1736"/>
      <c r="D73" s="1736"/>
      <c r="E73" s="1736"/>
      <c r="F73" s="1736"/>
      <c r="G73" s="1736"/>
    </row>
    <row r="74" spans="1:7" ht="12" customHeight="1">
      <c r="A74" s="1735"/>
      <c r="B74" s="1735"/>
      <c r="C74" s="1736"/>
      <c r="D74" s="1736"/>
      <c r="E74" s="1736"/>
      <c r="F74" s="1736"/>
      <c r="G74" s="1736"/>
    </row>
    <row r="75" spans="1:7" ht="12" customHeight="1">
      <c r="A75" s="1735"/>
      <c r="B75" s="1735"/>
      <c r="C75" s="1736"/>
      <c r="D75" s="1736"/>
      <c r="E75" s="1736"/>
      <c r="F75" s="1736"/>
      <c r="G75" s="1736"/>
    </row>
    <row r="76" spans="1:7" ht="12" customHeight="1">
      <c r="A76" s="1735"/>
      <c r="B76" s="1735"/>
      <c r="C76" s="1736"/>
      <c r="D76" s="1736"/>
      <c r="E76" s="1736"/>
      <c r="F76" s="1736"/>
      <c r="G76" s="1736"/>
    </row>
    <row r="77" spans="1:7" ht="12" customHeight="1">
      <c r="A77" s="1735"/>
      <c r="B77" s="1735"/>
      <c r="C77" s="1736"/>
      <c r="D77" s="1736"/>
      <c r="E77" s="1736"/>
      <c r="F77" s="1736"/>
      <c r="G77" s="1736"/>
    </row>
    <row r="78" spans="1:7" ht="12" customHeight="1">
      <c r="A78" s="1735"/>
      <c r="B78" s="1735"/>
      <c r="C78" s="1736"/>
      <c r="D78" s="1736"/>
      <c r="E78" s="1736"/>
      <c r="F78" s="1736"/>
      <c r="G78" s="1736"/>
    </row>
    <row r="79" spans="1:7" ht="12" customHeight="1">
      <c r="A79" s="1735"/>
      <c r="B79" s="1735"/>
      <c r="C79" s="1736"/>
      <c r="D79" s="1736"/>
      <c r="E79" s="1736"/>
      <c r="F79" s="1736"/>
      <c r="G79" s="1736"/>
    </row>
    <row r="80" spans="1:7" ht="12" customHeight="1">
      <c r="A80" s="1735"/>
      <c r="B80" s="1735"/>
      <c r="C80" s="1736"/>
      <c r="D80" s="1736"/>
      <c r="E80" s="1736"/>
      <c r="F80" s="1736"/>
      <c r="G80" s="1736"/>
    </row>
    <row r="81" spans="1:7" ht="12" customHeight="1">
      <c r="A81" s="1735"/>
      <c r="B81" s="1735"/>
      <c r="C81" s="1736"/>
      <c r="D81" s="1736"/>
      <c r="E81" s="1736"/>
      <c r="F81" s="1736"/>
      <c r="G81" s="1736"/>
    </row>
    <row r="82" spans="1:7" ht="12" customHeight="1">
      <c r="A82" s="1735"/>
      <c r="B82" s="1735"/>
      <c r="C82" s="1736"/>
      <c r="D82" s="1736"/>
      <c r="E82" s="1736"/>
      <c r="F82" s="1736"/>
      <c r="G82" s="1736"/>
    </row>
    <row r="83" spans="1:7" ht="12" customHeight="1">
      <c r="A83" s="1735"/>
      <c r="B83" s="1735"/>
      <c r="C83" s="1736"/>
      <c r="D83" s="1736"/>
      <c r="E83" s="1736"/>
      <c r="F83" s="1736"/>
      <c r="G83" s="1736"/>
    </row>
    <row r="84" spans="1:7" ht="12" customHeight="1">
      <c r="A84" s="1735"/>
      <c r="B84" s="1735"/>
      <c r="C84" s="1736"/>
      <c r="D84" s="1736"/>
      <c r="E84" s="1736"/>
      <c r="F84" s="1736"/>
      <c r="G84" s="1736"/>
    </row>
    <row r="85" spans="1:7" ht="12" customHeight="1">
      <c r="A85" s="1735"/>
      <c r="B85" s="1735"/>
      <c r="C85" s="1736"/>
      <c r="D85" s="1736"/>
      <c r="E85" s="1736"/>
      <c r="F85" s="1736"/>
      <c r="G85" s="1736"/>
    </row>
    <row r="86" spans="1:7" ht="12" customHeight="1">
      <c r="A86" s="1735"/>
      <c r="B86" s="1735"/>
      <c r="C86" s="1736"/>
      <c r="D86" s="1736"/>
      <c r="E86" s="1736"/>
      <c r="F86" s="1736"/>
      <c r="G86" s="1736"/>
    </row>
    <row r="87" spans="1:7" ht="12" customHeight="1">
      <c r="A87" s="1735"/>
      <c r="B87" s="1735"/>
      <c r="C87" s="1736"/>
      <c r="D87" s="1736"/>
      <c r="E87" s="1736"/>
      <c r="F87" s="1736"/>
      <c r="G87" s="1736"/>
    </row>
    <row r="88" spans="1:7" ht="12" customHeight="1">
      <c r="A88" s="1735"/>
      <c r="B88" s="1735"/>
      <c r="C88" s="1736"/>
      <c r="D88" s="1736"/>
      <c r="E88" s="1736"/>
      <c r="F88" s="1736"/>
      <c r="G88" s="1736"/>
    </row>
    <row r="89" spans="1:7" ht="12" customHeight="1">
      <c r="A89" s="1735"/>
      <c r="B89" s="1735"/>
      <c r="C89" s="1736"/>
      <c r="D89" s="1736"/>
      <c r="E89" s="1736"/>
      <c r="F89" s="1736"/>
      <c r="G89" s="1736"/>
    </row>
    <row r="90" spans="1:7" ht="12" customHeight="1">
      <c r="A90" s="1735"/>
      <c r="B90" s="1735"/>
      <c r="C90" s="1736"/>
      <c r="D90" s="1736"/>
      <c r="E90" s="1736"/>
      <c r="F90" s="1736"/>
      <c r="G90" s="1736"/>
    </row>
    <row r="91" spans="1:7" ht="12" customHeight="1">
      <c r="A91" s="1735"/>
      <c r="B91" s="1735"/>
      <c r="C91" s="1736"/>
      <c r="D91" s="1736"/>
      <c r="E91" s="1736"/>
      <c r="F91" s="1736"/>
      <c r="G91" s="1736"/>
    </row>
    <row r="92" spans="1:7" ht="12" customHeight="1">
      <c r="A92" s="1735"/>
      <c r="B92" s="1735"/>
      <c r="C92" s="1736"/>
      <c r="D92" s="1736"/>
      <c r="E92" s="1736"/>
      <c r="F92" s="1736"/>
      <c r="G92" s="1736"/>
    </row>
    <row r="93" spans="1:7" ht="12" customHeight="1">
      <c r="A93" s="1735"/>
      <c r="B93" s="1735"/>
      <c r="C93" s="1736"/>
      <c r="D93" s="1736"/>
      <c r="E93" s="1736"/>
      <c r="F93" s="1736"/>
      <c r="G93" s="1736"/>
    </row>
    <row r="94" spans="1:7" ht="12" customHeight="1">
      <c r="A94" s="1735"/>
      <c r="B94" s="1735"/>
      <c r="C94" s="1736"/>
      <c r="D94" s="1736"/>
      <c r="E94" s="1736"/>
      <c r="F94" s="1736"/>
      <c r="G94" s="1736"/>
    </row>
    <row r="95" spans="1:7" ht="12" customHeight="1">
      <c r="A95" s="1735"/>
      <c r="B95" s="1735"/>
      <c r="C95" s="1736"/>
      <c r="D95" s="1736"/>
      <c r="E95" s="1736"/>
      <c r="F95" s="1736"/>
      <c r="G95" s="1736"/>
    </row>
    <row r="96" spans="1:7" ht="12" customHeight="1">
      <c r="A96" s="1735"/>
      <c r="B96" s="1735"/>
      <c r="C96" s="1736"/>
      <c r="D96" s="1736"/>
      <c r="E96" s="1736"/>
      <c r="F96" s="1736"/>
      <c r="G96" s="1736"/>
    </row>
    <row r="97" spans="1:7" ht="12" customHeight="1">
      <c r="A97" s="1735"/>
      <c r="B97" s="1735"/>
      <c r="C97" s="1736"/>
      <c r="D97" s="1736"/>
      <c r="E97" s="1736"/>
      <c r="F97" s="1736"/>
      <c r="G97" s="1736"/>
    </row>
    <row r="98" spans="1:7" ht="12" customHeight="1">
      <c r="A98" s="1735"/>
      <c r="B98" s="1735"/>
      <c r="C98" s="1736"/>
      <c r="D98" s="1736"/>
      <c r="E98" s="1736"/>
      <c r="F98" s="1736"/>
      <c r="G98" s="1736"/>
    </row>
    <row r="99" spans="1:7" ht="12" customHeight="1">
      <c r="A99" s="1735"/>
      <c r="B99" s="1735"/>
      <c r="C99" s="1736"/>
      <c r="D99" s="1736"/>
      <c r="E99" s="1736"/>
      <c r="F99" s="1736"/>
      <c r="G99" s="1736"/>
    </row>
    <row r="100" spans="1:7" ht="12" customHeight="1">
      <c r="A100" s="1735"/>
      <c r="B100" s="1735"/>
      <c r="C100" s="1736"/>
      <c r="D100" s="1736"/>
      <c r="E100" s="1736"/>
      <c r="F100" s="1736"/>
      <c r="G100" s="1736"/>
    </row>
    <row r="101" spans="1:7" ht="12" customHeight="1">
      <c r="A101" s="1735"/>
      <c r="B101" s="1735"/>
      <c r="C101" s="1736"/>
      <c r="D101" s="1736"/>
      <c r="E101" s="1736"/>
      <c r="F101" s="1736"/>
      <c r="G101" s="1736"/>
    </row>
    <row r="102" spans="1:7" ht="12" customHeight="1">
      <c r="A102" s="1735"/>
      <c r="B102" s="1735"/>
      <c r="C102" s="1736"/>
      <c r="D102" s="1736"/>
      <c r="E102" s="1736"/>
      <c r="F102" s="1736"/>
      <c r="G102" s="1736"/>
    </row>
    <row r="103" spans="1:7" ht="12" customHeight="1">
      <c r="A103" s="1735"/>
      <c r="B103" s="1735"/>
      <c r="C103" s="1736"/>
      <c r="D103" s="1736"/>
      <c r="E103" s="1736"/>
      <c r="F103" s="1736"/>
      <c r="G103" s="1736"/>
    </row>
    <row r="104" spans="1:7" ht="12" customHeight="1">
      <c r="A104" s="1735"/>
      <c r="B104" s="1735"/>
      <c r="C104" s="1736"/>
      <c r="D104" s="1736"/>
      <c r="E104" s="1736"/>
      <c r="F104" s="1736"/>
      <c r="G104" s="1736"/>
    </row>
    <row r="105" spans="1:7" ht="12" customHeight="1">
      <c r="A105" s="1735"/>
      <c r="B105" s="1735"/>
      <c r="C105" s="1736"/>
      <c r="D105" s="1736"/>
      <c r="E105" s="1736"/>
      <c r="F105" s="1736"/>
      <c r="G105" s="1736"/>
    </row>
    <row r="106" spans="1:7" ht="12" customHeight="1">
      <c r="A106" s="1735"/>
      <c r="B106" s="1735"/>
      <c r="C106" s="1736"/>
      <c r="D106" s="1736"/>
      <c r="E106" s="1736"/>
      <c r="F106" s="1736"/>
      <c r="G106" s="1736"/>
    </row>
    <row r="107" spans="1:7" ht="12" customHeight="1">
      <c r="A107" s="1735"/>
      <c r="B107" s="1735"/>
      <c r="C107" s="1736"/>
      <c r="D107" s="1736"/>
      <c r="E107" s="1736"/>
      <c r="F107" s="1736"/>
      <c r="G107" s="1736"/>
    </row>
    <row r="108" spans="1:7" ht="12" customHeight="1">
      <c r="A108" s="1735"/>
      <c r="B108" s="1735"/>
      <c r="C108" s="1736"/>
      <c r="D108" s="1736"/>
      <c r="E108" s="1736"/>
      <c r="F108" s="1736"/>
      <c r="G108" s="1736"/>
    </row>
    <row r="109" spans="1:7" ht="12" customHeight="1">
      <c r="A109" s="1735"/>
      <c r="B109" s="1735"/>
      <c r="C109" s="1736"/>
      <c r="D109" s="1736"/>
      <c r="E109" s="1736"/>
      <c r="F109" s="1736"/>
      <c r="G109" s="1736"/>
    </row>
    <row r="110" spans="1:7" ht="12" customHeight="1">
      <c r="A110" s="1735"/>
      <c r="B110" s="1735"/>
      <c r="C110" s="1736"/>
      <c r="D110" s="1736"/>
      <c r="E110" s="1736"/>
      <c r="F110" s="1736"/>
      <c r="G110" s="1736"/>
    </row>
    <row r="111" spans="1:7" ht="12" customHeight="1">
      <c r="A111" s="1735"/>
      <c r="B111" s="1735"/>
      <c r="C111" s="1736"/>
      <c r="D111" s="1736"/>
      <c r="E111" s="1736"/>
      <c r="F111" s="1736"/>
      <c r="G111" s="1736"/>
    </row>
    <row r="112" spans="1:7" ht="12" customHeight="1">
      <c r="A112" s="1735"/>
      <c r="B112" s="1735"/>
      <c r="C112" s="1736"/>
      <c r="D112" s="1736"/>
      <c r="E112" s="1736"/>
      <c r="F112" s="1736"/>
      <c r="G112" s="1736"/>
    </row>
    <row r="113" spans="1:7" ht="12" customHeight="1">
      <c r="A113" s="1735"/>
      <c r="B113" s="1735"/>
      <c r="C113" s="1736"/>
      <c r="D113" s="1736"/>
      <c r="E113" s="1736"/>
      <c r="F113" s="1736"/>
      <c r="G113" s="1736"/>
    </row>
    <row r="114" spans="1:7" ht="12" customHeight="1">
      <c r="A114" s="1735"/>
      <c r="B114" s="1735"/>
      <c r="C114" s="1736"/>
      <c r="D114" s="1736"/>
      <c r="E114" s="1736"/>
      <c r="F114" s="1736"/>
      <c r="G114" s="1736"/>
    </row>
    <row r="115" spans="1:7" ht="12" customHeight="1">
      <c r="A115" s="1735"/>
      <c r="B115" s="1735"/>
      <c r="C115" s="1736"/>
      <c r="D115" s="1736"/>
      <c r="E115" s="1736"/>
      <c r="F115" s="1736"/>
      <c r="G115" s="1736"/>
    </row>
    <row r="116" spans="1:7" ht="5.0999999999999996" customHeight="1">
      <c r="A116" s="1735"/>
      <c r="B116" s="1735"/>
      <c r="C116" s="1736"/>
      <c r="D116" s="1736"/>
      <c r="E116" s="1736"/>
      <c r="F116" s="1736"/>
      <c r="G116" s="1736"/>
    </row>
    <row r="117" spans="1:7" ht="12" customHeight="1">
      <c r="A117" s="1735"/>
      <c r="B117" s="1735"/>
      <c r="C117" s="1736"/>
      <c r="D117" s="1736"/>
      <c r="E117" s="1736"/>
      <c r="F117" s="1736"/>
      <c r="G117" s="1736"/>
    </row>
    <row r="118" spans="1:7" ht="12" customHeight="1">
      <c r="A118" s="1735"/>
      <c r="B118" s="1735"/>
      <c r="C118" s="1736"/>
      <c r="D118" s="1736"/>
      <c r="E118" s="1736"/>
      <c r="F118" s="1736"/>
      <c r="G118" s="1736"/>
    </row>
    <row r="119" spans="1:7" ht="12" customHeight="1">
      <c r="A119" s="1735"/>
      <c r="B119" s="1735"/>
      <c r="C119" s="1736"/>
      <c r="D119" s="1736"/>
      <c r="E119" s="1736"/>
      <c r="F119" s="1736"/>
      <c r="G119" s="1736"/>
    </row>
    <row r="120" spans="1:7" ht="12" customHeight="1">
      <c r="A120" s="1735"/>
      <c r="B120" s="1735"/>
      <c r="C120" s="1736"/>
      <c r="D120" s="1736"/>
      <c r="E120" s="1736"/>
      <c r="F120" s="1736"/>
      <c r="G120" s="1736"/>
    </row>
    <row r="121" spans="1:7" ht="12" customHeight="1">
      <c r="A121" s="1735"/>
      <c r="B121" s="1735"/>
      <c r="C121" s="1736"/>
      <c r="D121" s="1736"/>
      <c r="E121" s="1736"/>
      <c r="F121" s="1736"/>
      <c r="G121" s="1736"/>
    </row>
    <row r="122" spans="1:7" ht="12" customHeight="1">
      <c r="A122" s="1735"/>
      <c r="B122" s="1735"/>
      <c r="C122" s="1736"/>
      <c r="D122" s="1736"/>
      <c r="E122" s="1736"/>
      <c r="F122" s="1736"/>
      <c r="G122" s="1736"/>
    </row>
    <row r="123" spans="1:7" ht="12" customHeight="1">
      <c r="A123" s="1735"/>
      <c r="B123" s="1735"/>
      <c r="C123" s="1736"/>
      <c r="D123" s="1736"/>
      <c r="E123" s="1736"/>
      <c r="F123" s="1736"/>
      <c r="G123" s="1736"/>
    </row>
    <row r="124" spans="1:7" ht="12" customHeight="1">
      <c r="A124" s="1735"/>
      <c r="B124" s="1735"/>
      <c r="C124" s="1736"/>
      <c r="D124" s="1736"/>
      <c r="E124" s="1736"/>
      <c r="F124" s="1736"/>
      <c r="G124" s="1736"/>
    </row>
    <row r="125" spans="1:7" ht="12" customHeight="1">
      <c r="A125" s="1735"/>
      <c r="B125" s="1735"/>
      <c r="C125" s="1736"/>
      <c r="D125" s="1736"/>
      <c r="E125" s="1736"/>
      <c r="F125" s="1736"/>
      <c r="G125" s="1736"/>
    </row>
    <row r="126" spans="1:7" ht="12" customHeight="1">
      <c r="A126" s="1735"/>
      <c r="B126" s="1735"/>
      <c r="C126" s="1736"/>
      <c r="D126" s="1736"/>
      <c r="E126" s="1736"/>
      <c r="F126" s="1736"/>
      <c r="G126" s="1736"/>
    </row>
    <row r="127" spans="1:7" ht="12" customHeight="1">
      <c r="A127" s="1735"/>
      <c r="B127" s="1735"/>
      <c r="C127" s="1736"/>
      <c r="D127" s="1736"/>
      <c r="E127" s="1736"/>
      <c r="F127" s="1736"/>
      <c r="G127" s="1736"/>
    </row>
    <row r="128" spans="1:7" ht="12" customHeight="1">
      <c r="A128" s="1735"/>
      <c r="B128" s="1735"/>
      <c r="C128" s="1736"/>
      <c r="D128" s="1736"/>
      <c r="E128" s="1736"/>
      <c r="F128" s="1736"/>
      <c r="G128" s="1736"/>
    </row>
    <row r="129" spans="1:7" ht="12" customHeight="1">
      <c r="A129" s="1735"/>
      <c r="B129" s="1735"/>
      <c r="C129" s="1736"/>
      <c r="D129" s="1736"/>
      <c r="E129" s="1736"/>
      <c r="F129" s="1736"/>
      <c r="G129" s="1736"/>
    </row>
    <row r="130" spans="1:7" ht="12" customHeight="1">
      <c r="A130" s="1735"/>
      <c r="B130" s="1735"/>
      <c r="C130" s="1736"/>
      <c r="D130" s="1736"/>
      <c r="E130" s="1736"/>
      <c r="F130" s="1736"/>
      <c r="G130" s="1736"/>
    </row>
    <row r="131" spans="1:7" ht="12" customHeight="1">
      <c r="A131" s="1735"/>
      <c r="B131" s="1735"/>
      <c r="C131" s="1736"/>
      <c r="D131" s="1736"/>
      <c r="E131" s="1736"/>
      <c r="F131" s="1736"/>
      <c r="G131" s="1736"/>
    </row>
    <row r="132" spans="1:7" ht="12" customHeight="1">
      <c r="A132" s="1735"/>
      <c r="B132" s="1735"/>
      <c r="C132" s="1736"/>
      <c r="D132" s="1736"/>
      <c r="E132" s="1736"/>
      <c r="F132" s="1736"/>
      <c r="G132" s="1736"/>
    </row>
    <row r="133" spans="1:7" ht="12" customHeight="1">
      <c r="A133" s="1735"/>
      <c r="B133" s="1735"/>
      <c r="C133" s="1736"/>
      <c r="D133" s="1736"/>
      <c r="E133" s="1736"/>
      <c r="F133" s="1736"/>
      <c r="G133" s="1736"/>
    </row>
    <row r="134" spans="1:7" ht="12" customHeight="1">
      <c r="A134" s="1735"/>
      <c r="B134" s="1735"/>
      <c r="C134" s="1736"/>
      <c r="D134" s="1736"/>
      <c r="E134" s="1736"/>
      <c r="F134" s="1736"/>
      <c r="G134" s="1736"/>
    </row>
    <row r="135" spans="1:7" ht="12" customHeight="1">
      <c r="A135" s="1735"/>
      <c r="B135" s="1735"/>
      <c r="C135" s="1736"/>
      <c r="D135" s="1736"/>
      <c r="E135" s="1736"/>
      <c r="F135" s="1736"/>
      <c r="G135" s="1736"/>
    </row>
    <row r="136" spans="1:7" ht="12" customHeight="1">
      <c r="A136" s="1735"/>
      <c r="B136" s="1735"/>
      <c r="C136" s="1736"/>
      <c r="D136" s="1736"/>
      <c r="E136" s="1736"/>
      <c r="F136" s="1736"/>
      <c r="G136" s="1736"/>
    </row>
    <row r="137" spans="1:7" ht="12" customHeight="1">
      <c r="A137" s="1735"/>
      <c r="B137" s="1735"/>
      <c r="C137" s="1736"/>
      <c r="D137" s="1736"/>
      <c r="E137" s="1736"/>
      <c r="F137" s="1736"/>
      <c r="G137" s="1736"/>
    </row>
    <row r="138" spans="1:7" ht="12" customHeight="1">
      <c r="A138" s="1735"/>
      <c r="B138" s="1735"/>
      <c r="C138" s="1736"/>
      <c r="D138" s="1736"/>
      <c r="E138" s="1736"/>
      <c r="F138" s="1736"/>
      <c r="G138" s="1736"/>
    </row>
    <row r="139" spans="1:7" ht="12" customHeight="1">
      <c r="A139" s="1735"/>
      <c r="B139" s="1735"/>
      <c r="C139" s="1736"/>
      <c r="D139" s="1736"/>
      <c r="E139" s="1736"/>
      <c r="F139" s="1736"/>
      <c r="G139" s="1736"/>
    </row>
    <row r="140" spans="1:7" ht="12" customHeight="1">
      <c r="A140" s="1735"/>
      <c r="B140" s="1735"/>
      <c r="C140" s="1736"/>
      <c r="D140" s="1736"/>
      <c r="E140" s="1736"/>
      <c r="F140" s="1736"/>
      <c r="G140" s="1736"/>
    </row>
    <row r="141" spans="1:7" ht="12" customHeight="1">
      <c r="A141" s="1735"/>
      <c r="B141" s="1735"/>
      <c r="C141" s="1736"/>
      <c r="D141" s="1736"/>
      <c r="E141" s="1736"/>
      <c r="F141" s="1736"/>
      <c r="G141" s="1736"/>
    </row>
    <row r="142" spans="1:7" ht="12" customHeight="1">
      <c r="A142" s="1735"/>
      <c r="B142" s="1735"/>
      <c r="C142" s="1736"/>
      <c r="D142" s="1736"/>
      <c r="E142" s="1736"/>
      <c r="F142" s="1736"/>
      <c r="G142" s="1736"/>
    </row>
    <row r="143" spans="1:7" ht="12" customHeight="1">
      <c r="A143" s="1735"/>
      <c r="B143" s="1735"/>
      <c r="C143" s="1736"/>
      <c r="D143" s="1736"/>
      <c r="E143" s="1736"/>
      <c r="F143" s="1736"/>
      <c r="G143" s="1736"/>
    </row>
    <row r="144" spans="1:7" ht="12" customHeight="1">
      <c r="A144" s="1735"/>
      <c r="B144" s="1735"/>
      <c r="C144" s="1736"/>
      <c r="D144" s="1736"/>
      <c r="E144" s="1736"/>
      <c r="F144" s="1736"/>
      <c r="G144" s="1736"/>
    </row>
    <row r="145" spans="1:7" ht="12" customHeight="1">
      <c r="A145" s="1735"/>
      <c r="B145" s="1735"/>
      <c r="C145" s="1736"/>
      <c r="D145" s="1736"/>
      <c r="E145" s="1736"/>
      <c r="F145" s="1736"/>
      <c r="G145" s="1736"/>
    </row>
    <row r="146" spans="1:7" ht="12" customHeight="1">
      <c r="A146" s="1735"/>
      <c r="B146" s="1735"/>
      <c r="C146" s="1736"/>
      <c r="D146" s="1736"/>
      <c r="E146" s="1736"/>
      <c r="F146" s="1736"/>
      <c r="G146" s="1736"/>
    </row>
    <row r="147" spans="1:7" ht="12" customHeight="1">
      <c r="A147" s="1735"/>
      <c r="B147" s="1735"/>
      <c r="C147" s="1736"/>
      <c r="D147" s="1736"/>
      <c r="E147" s="1736"/>
      <c r="F147" s="1736"/>
      <c r="G147" s="1736"/>
    </row>
    <row r="148" spans="1:7" ht="12" customHeight="1">
      <c r="A148" s="1735"/>
      <c r="B148" s="1735"/>
      <c r="C148" s="1736"/>
      <c r="D148" s="1736"/>
      <c r="E148" s="1736"/>
      <c r="F148" s="1736"/>
      <c r="G148" s="1736"/>
    </row>
    <row r="149" spans="1:7" ht="12" customHeight="1">
      <c r="A149" s="1735"/>
      <c r="B149" s="1735"/>
      <c r="C149" s="1736"/>
      <c r="D149" s="1736"/>
      <c r="E149" s="1736"/>
      <c r="F149" s="1736"/>
      <c r="G149" s="1736"/>
    </row>
    <row r="150" spans="1:7" ht="12" customHeight="1">
      <c r="A150" s="1735"/>
      <c r="B150" s="1735"/>
      <c r="C150" s="1736"/>
      <c r="D150" s="1736"/>
      <c r="E150" s="1736"/>
      <c r="F150" s="1736"/>
      <c r="G150" s="1736"/>
    </row>
    <row r="151" spans="1:7" ht="12" customHeight="1">
      <c r="A151" s="1735"/>
      <c r="B151" s="1735"/>
      <c r="C151" s="1736"/>
      <c r="D151" s="1736"/>
      <c r="E151" s="1736"/>
      <c r="F151" s="1736"/>
      <c r="G151" s="1736"/>
    </row>
    <row r="152" spans="1:7" ht="12" customHeight="1">
      <c r="A152" s="1735"/>
      <c r="B152" s="1735"/>
      <c r="C152" s="1736"/>
      <c r="D152" s="1736"/>
      <c r="E152" s="1736"/>
      <c r="F152" s="1736"/>
      <c r="G152" s="1736"/>
    </row>
    <row r="153" spans="1:7" ht="12" customHeight="1">
      <c r="A153" s="1735"/>
      <c r="B153" s="1735"/>
      <c r="C153" s="1736"/>
      <c r="D153" s="1736"/>
      <c r="E153" s="1736"/>
      <c r="F153" s="1736"/>
      <c r="G153" s="1736"/>
    </row>
    <row r="154" spans="1:7" ht="12" customHeight="1">
      <c r="A154" s="1735"/>
      <c r="B154" s="1735"/>
      <c r="C154" s="1736"/>
      <c r="D154" s="1736"/>
      <c r="E154" s="1736"/>
      <c r="F154" s="1736"/>
      <c r="G154" s="1736"/>
    </row>
    <row r="155" spans="1:7" ht="12" customHeight="1">
      <c r="A155" s="1735"/>
      <c r="B155" s="1735"/>
      <c r="C155" s="1736"/>
      <c r="D155" s="1736"/>
      <c r="E155" s="1736"/>
      <c r="F155" s="1736"/>
      <c r="G155" s="1736"/>
    </row>
    <row r="156" spans="1:7" ht="12" customHeight="1">
      <c r="A156" s="1735"/>
      <c r="B156" s="1735"/>
      <c r="C156" s="1736"/>
      <c r="D156" s="1736"/>
      <c r="E156" s="1736"/>
      <c r="F156" s="1736"/>
      <c r="G156" s="1736"/>
    </row>
    <row r="157" spans="1:7" ht="12" customHeight="1">
      <c r="A157" s="1735"/>
      <c r="B157" s="1735"/>
      <c r="C157" s="1736"/>
      <c r="D157" s="1736"/>
      <c r="E157" s="1736"/>
      <c r="F157" s="1736"/>
      <c r="G157" s="1736"/>
    </row>
    <row r="158" spans="1:7" ht="12" customHeight="1">
      <c r="A158" s="1735"/>
      <c r="B158" s="1735"/>
      <c r="C158" s="1736"/>
      <c r="D158" s="1736"/>
      <c r="E158" s="1736"/>
      <c r="F158" s="1736"/>
      <c r="G158" s="1736"/>
    </row>
    <row r="159" spans="1:7" ht="12" customHeight="1">
      <c r="A159" s="1735"/>
      <c r="B159" s="1735"/>
      <c r="C159" s="1736"/>
      <c r="D159" s="1736"/>
      <c r="E159" s="1736"/>
      <c r="F159" s="1736"/>
      <c r="G159" s="1736"/>
    </row>
    <row r="160" spans="1:7" ht="12" customHeight="1">
      <c r="A160" s="1735"/>
      <c r="B160" s="1735"/>
      <c r="C160" s="1736"/>
      <c r="D160" s="1736"/>
      <c r="E160" s="1736"/>
      <c r="F160" s="1736"/>
      <c r="G160" s="1736"/>
    </row>
    <row r="161" spans="1:7" ht="12" customHeight="1">
      <c r="A161" s="1735"/>
      <c r="B161" s="1735"/>
      <c r="C161" s="1736"/>
      <c r="D161" s="1736"/>
      <c r="E161" s="1736"/>
      <c r="F161" s="1736"/>
      <c r="G161" s="1736"/>
    </row>
    <row r="162" spans="1:7" ht="12" customHeight="1">
      <c r="A162" s="1735"/>
      <c r="B162" s="1735"/>
      <c r="C162" s="1736"/>
      <c r="D162" s="1736"/>
      <c r="E162" s="1736"/>
      <c r="F162" s="1736"/>
      <c r="G162" s="1736"/>
    </row>
    <row r="163" spans="1:7" ht="12" customHeight="1">
      <c r="A163" s="1735"/>
      <c r="B163" s="1735"/>
      <c r="C163" s="1736"/>
      <c r="D163" s="1736"/>
      <c r="E163" s="1736"/>
      <c r="F163" s="1736"/>
      <c r="G163" s="1736"/>
    </row>
    <row r="164" spans="1:7" ht="12" customHeight="1">
      <c r="A164" s="1735"/>
      <c r="B164" s="1735"/>
      <c r="C164" s="1736"/>
      <c r="D164" s="1736"/>
      <c r="E164" s="1736"/>
      <c r="F164" s="1736"/>
      <c r="G164" s="1736"/>
    </row>
    <row r="165" spans="1:7" ht="12" customHeight="1">
      <c r="A165" s="1735"/>
      <c r="B165" s="1735"/>
      <c r="C165" s="1736"/>
      <c r="D165" s="1736"/>
      <c r="E165" s="1736"/>
      <c r="F165" s="1736"/>
      <c r="G165" s="1736"/>
    </row>
    <row r="166" spans="1:7" ht="12" customHeight="1">
      <c r="A166" s="1735"/>
      <c r="B166" s="1735"/>
      <c r="C166" s="1736"/>
      <c r="D166" s="1736"/>
      <c r="E166" s="1736"/>
      <c r="F166" s="1736"/>
      <c r="G166" s="1736"/>
    </row>
    <row r="167" spans="1:7" ht="12" customHeight="1">
      <c r="A167" s="1735"/>
      <c r="B167" s="1735"/>
      <c r="C167" s="1736"/>
      <c r="D167" s="1736"/>
      <c r="E167" s="1736"/>
      <c r="F167" s="1736"/>
      <c r="G167" s="1736"/>
    </row>
    <row r="168" spans="1:7" ht="12" customHeight="1">
      <c r="A168" s="1735"/>
      <c r="B168" s="1735"/>
      <c r="C168" s="1736"/>
      <c r="D168" s="1736"/>
      <c r="E168" s="1736"/>
      <c r="F168" s="1736"/>
      <c r="G168" s="1736"/>
    </row>
    <row r="169" spans="1:7" ht="12" customHeight="1">
      <c r="A169" s="1735"/>
      <c r="B169" s="1735"/>
      <c r="C169" s="1736"/>
      <c r="D169" s="1736"/>
      <c r="E169" s="1736"/>
      <c r="F169" s="1736"/>
      <c r="G169" s="1736"/>
    </row>
    <row r="170" spans="1:7" ht="12" customHeight="1">
      <c r="A170" s="1735"/>
      <c r="B170" s="1735"/>
      <c r="C170" s="1736"/>
      <c r="D170" s="1736"/>
      <c r="E170" s="1736"/>
      <c r="F170" s="1736"/>
      <c r="G170" s="1736"/>
    </row>
    <row r="171" spans="1:7" ht="12" customHeight="1">
      <c r="A171" s="1735"/>
      <c r="B171" s="1735"/>
      <c r="C171" s="1736"/>
      <c r="D171" s="1736"/>
      <c r="E171" s="1736"/>
      <c r="F171" s="1736"/>
      <c r="G171" s="1736"/>
    </row>
    <row r="172" spans="1:7" ht="12" customHeight="1">
      <c r="A172" s="1735"/>
      <c r="B172" s="1735"/>
      <c r="C172" s="1736"/>
      <c r="D172" s="1736"/>
      <c r="E172" s="1736"/>
      <c r="F172" s="1736"/>
      <c r="G172" s="1736"/>
    </row>
    <row r="173" spans="1:7" ht="12" customHeight="1">
      <c r="A173" s="1735"/>
      <c r="B173" s="1735"/>
      <c r="C173" s="1736"/>
      <c r="D173" s="1736"/>
      <c r="E173" s="1736"/>
      <c r="F173" s="1736"/>
      <c r="G173" s="1736"/>
    </row>
    <row r="174" spans="1:7" ht="12" customHeight="1">
      <c r="A174" s="1735"/>
      <c r="B174" s="1735"/>
      <c r="C174" s="1736"/>
      <c r="D174" s="1736"/>
      <c r="E174" s="1736"/>
      <c r="F174" s="1736"/>
      <c r="G174" s="1736"/>
    </row>
    <row r="175" spans="1:7" ht="12" customHeight="1">
      <c r="A175" s="1735"/>
      <c r="B175" s="1735"/>
      <c r="C175" s="1736"/>
      <c r="D175" s="1736"/>
      <c r="E175" s="1736"/>
      <c r="F175" s="1736"/>
      <c r="G175" s="1736"/>
    </row>
    <row r="176" spans="1:7" ht="12" customHeight="1">
      <c r="A176" s="1735"/>
      <c r="B176" s="1735"/>
      <c r="C176" s="1736"/>
      <c r="D176" s="1736"/>
      <c r="E176" s="1736"/>
      <c r="F176" s="1736"/>
      <c r="G176" s="1736"/>
    </row>
    <row r="177" spans="1:7" ht="12" customHeight="1">
      <c r="A177" s="1735"/>
      <c r="B177" s="1735"/>
      <c r="C177" s="1736"/>
      <c r="D177" s="1736"/>
      <c r="E177" s="1736"/>
      <c r="F177" s="1736"/>
      <c r="G177" s="1736"/>
    </row>
    <row r="178" spans="1:7" ht="12" customHeight="1">
      <c r="A178" s="1735"/>
      <c r="B178" s="1735"/>
      <c r="C178" s="1736"/>
      <c r="D178" s="1736"/>
      <c r="E178" s="1736"/>
      <c r="F178" s="1736"/>
      <c r="G178" s="1736"/>
    </row>
    <row r="179" spans="1:7" ht="12" customHeight="1">
      <c r="A179" s="1735"/>
      <c r="B179" s="1735"/>
      <c r="C179" s="1736"/>
      <c r="D179" s="1736"/>
      <c r="E179" s="1736"/>
      <c r="F179" s="1736"/>
      <c r="G179" s="1736"/>
    </row>
    <row r="180" spans="1:7" ht="12" customHeight="1">
      <c r="A180" s="1735"/>
      <c r="B180" s="1735"/>
      <c r="C180" s="1736"/>
      <c r="D180" s="1736"/>
      <c r="E180" s="1736"/>
      <c r="F180" s="1736"/>
      <c r="G180" s="1736"/>
    </row>
    <row r="181" spans="1:7" ht="12" customHeight="1">
      <c r="A181" s="1735"/>
      <c r="B181" s="1735"/>
      <c r="C181" s="1736"/>
      <c r="D181" s="1736"/>
      <c r="E181" s="1736"/>
      <c r="F181" s="1736"/>
      <c r="G181" s="1736"/>
    </row>
    <row r="182" spans="1:7" ht="12" customHeight="1">
      <c r="A182" s="1735"/>
      <c r="B182" s="1735"/>
      <c r="C182" s="1736"/>
      <c r="D182" s="1736"/>
      <c r="E182" s="1736"/>
      <c r="F182" s="1736"/>
      <c r="G182" s="1736"/>
    </row>
    <row r="183" spans="1:7" ht="12" customHeight="1">
      <c r="A183" s="1735"/>
      <c r="B183" s="1735"/>
      <c r="C183" s="1736"/>
      <c r="D183" s="1736"/>
      <c r="E183" s="1736"/>
      <c r="F183" s="1736"/>
      <c r="G183" s="1736"/>
    </row>
    <row r="184" spans="1:7" ht="12" customHeight="1">
      <c r="A184" s="1735"/>
      <c r="B184" s="1735"/>
      <c r="C184" s="1736"/>
      <c r="D184" s="1736"/>
      <c r="E184" s="1736"/>
      <c r="F184" s="1736"/>
      <c r="G184" s="1736"/>
    </row>
    <row r="185" spans="1:7" ht="12" customHeight="1">
      <c r="A185" s="1735"/>
      <c r="B185" s="1735"/>
      <c r="C185" s="1736"/>
      <c r="D185" s="1736"/>
      <c r="E185" s="1736"/>
      <c r="F185" s="1736"/>
      <c r="G185" s="1736"/>
    </row>
    <row r="186" spans="1:7" ht="12" customHeight="1">
      <c r="A186" s="1735"/>
      <c r="B186" s="1735"/>
      <c r="C186" s="1736"/>
      <c r="D186" s="1736"/>
      <c r="E186" s="1736"/>
      <c r="F186" s="1736"/>
      <c r="G186" s="1736"/>
    </row>
    <row r="187" spans="1:7" ht="12" customHeight="1">
      <c r="A187" s="1735"/>
      <c r="B187" s="1735"/>
      <c r="C187" s="1736"/>
      <c r="D187" s="1736"/>
      <c r="E187" s="1736"/>
      <c r="F187" s="1736"/>
      <c r="G187" s="1736"/>
    </row>
    <row r="188" spans="1:7" ht="12" customHeight="1">
      <c r="A188" s="1735"/>
      <c r="B188" s="1735"/>
      <c r="C188" s="1736"/>
      <c r="D188" s="1736"/>
      <c r="E188" s="1736"/>
      <c r="F188" s="1736"/>
      <c r="G188" s="1736"/>
    </row>
    <row r="189" spans="1:7" ht="12" customHeight="1">
      <c r="A189" s="1735"/>
      <c r="B189" s="1735"/>
      <c r="C189" s="1736"/>
      <c r="D189" s="1736"/>
      <c r="E189" s="1736"/>
      <c r="F189" s="1736"/>
      <c r="G189" s="1736"/>
    </row>
    <row r="190" spans="1:7" ht="12" customHeight="1">
      <c r="A190" s="1735"/>
      <c r="B190" s="1735"/>
      <c r="C190" s="1736"/>
      <c r="D190" s="1736"/>
      <c r="E190" s="1736"/>
      <c r="F190" s="1736"/>
      <c r="G190" s="1736"/>
    </row>
    <row r="191" spans="1:7" ht="12" customHeight="1">
      <c r="A191" s="1735"/>
      <c r="B191" s="1735"/>
      <c r="C191" s="1736"/>
      <c r="D191" s="1736"/>
      <c r="E191" s="1736"/>
      <c r="F191" s="1736"/>
      <c r="G191" s="1736"/>
    </row>
    <row r="192" spans="1:7" ht="12" customHeight="1">
      <c r="A192" s="1735"/>
      <c r="B192" s="1735"/>
      <c r="C192" s="1736"/>
      <c r="D192" s="1736"/>
      <c r="E192" s="1736"/>
      <c r="F192" s="1736"/>
      <c r="G192" s="1736"/>
    </row>
    <row r="193" spans="1:7" ht="12" customHeight="1">
      <c r="A193" s="1735"/>
      <c r="B193" s="1735"/>
      <c r="C193" s="1736"/>
      <c r="D193" s="1736"/>
      <c r="E193" s="1736"/>
      <c r="F193" s="1736"/>
      <c r="G193" s="1736"/>
    </row>
    <row r="194" spans="1:7" ht="12" customHeight="1">
      <c r="A194" s="1735"/>
      <c r="B194" s="1735"/>
      <c r="C194" s="1736"/>
      <c r="D194" s="1736"/>
      <c r="E194" s="1736"/>
      <c r="F194" s="1736"/>
      <c r="G194" s="1736"/>
    </row>
    <row r="195" spans="1:7" ht="12" customHeight="1">
      <c r="A195" s="1735"/>
      <c r="B195" s="1735"/>
      <c r="C195" s="1736"/>
      <c r="D195" s="1736"/>
      <c r="E195" s="1736"/>
      <c r="F195" s="1736"/>
      <c r="G195" s="1736"/>
    </row>
    <row r="196" spans="1:7" ht="12" customHeight="1">
      <c r="A196" s="1735"/>
      <c r="B196" s="1735"/>
      <c r="C196" s="1736"/>
      <c r="D196" s="1736"/>
      <c r="E196" s="1736"/>
      <c r="F196" s="1736"/>
      <c r="G196" s="1736"/>
    </row>
    <row r="197" spans="1:7" ht="12" customHeight="1">
      <c r="A197" s="1735"/>
      <c r="B197" s="1735"/>
      <c r="C197" s="1736"/>
      <c r="D197" s="1736"/>
      <c r="E197" s="1736"/>
      <c r="F197" s="1736"/>
      <c r="G197" s="1736"/>
    </row>
    <row r="198" spans="1:7" ht="12" customHeight="1">
      <c r="A198" s="1735"/>
      <c r="B198" s="1735"/>
      <c r="C198" s="1736"/>
      <c r="D198" s="1736"/>
      <c r="E198" s="1736"/>
      <c r="F198" s="1736"/>
      <c r="G198" s="1736"/>
    </row>
    <row r="199" spans="1:7" ht="12" customHeight="1">
      <c r="A199" s="1735"/>
      <c r="B199" s="1735"/>
      <c r="C199" s="1736"/>
      <c r="D199" s="1736"/>
      <c r="E199" s="1736"/>
      <c r="F199" s="1736"/>
      <c r="G199" s="1736"/>
    </row>
    <row r="200" spans="1:7" ht="12" customHeight="1">
      <c r="A200" s="1735"/>
      <c r="B200" s="1735"/>
      <c r="C200" s="1736"/>
      <c r="D200" s="1736"/>
      <c r="E200" s="1736"/>
      <c r="F200" s="1736"/>
      <c r="G200" s="1736"/>
    </row>
    <row r="201" spans="1:7" ht="12" customHeight="1">
      <c r="A201" s="1735"/>
      <c r="B201" s="1735"/>
      <c r="C201" s="1736"/>
      <c r="D201" s="1736"/>
      <c r="E201" s="1736"/>
      <c r="F201" s="1736"/>
      <c r="G201" s="1736"/>
    </row>
    <row r="202" spans="1:7" ht="12" customHeight="1">
      <c r="A202" s="1735"/>
      <c r="B202" s="1735"/>
      <c r="C202" s="1736"/>
      <c r="D202" s="1736"/>
      <c r="E202" s="1736"/>
      <c r="F202" s="1736"/>
      <c r="G202" s="1736"/>
    </row>
    <row r="203" spans="1:7" ht="12" customHeight="1">
      <c r="A203" s="1735"/>
      <c r="B203" s="1735"/>
      <c r="C203" s="1736"/>
      <c r="D203" s="1736"/>
      <c r="E203" s="1736"/>
      <c r="F203" s="1736"/>
      <c r="G203" s="1736"/>
    </row>
    <row r="204" spans="1:7" ht="12" customHeight="1">
      <c r="A204" s="1735"/>
      <c r="B204" s="1735"/>
      <c r="C204" s="1736"/>
      <c r="D204" s="1736"/>
      <c r="E204" s="1736"/>
      <c r="F204" s="1736"/>
      <c r="G204" s="1736"/>
    </row>
    <row r="205" spans="1:7" ht="12" customHeight="1">
      <c r="A205" s="1735"/>
      <c r="B205" s="1735"/>
      <c r="C205" s="1736"/>
      <c r="D205" s="1736"/>
      <c r="E205" s="1736"/>
      <c r="F205" s="1736"/>
      <c r="G205" s="1736"/>
    </row>
    <row r="206" spans="1:7" ht="12" customHeight="1">
      <c r="A206" s="1735"/>
      <c r="B206" s="1735"/>
      <c r="C206" s="1736"/>
      <c r="D206" s="1736"/>
      <c r="E206" s="1736"/>
      <c r="F206" s="1736"/>
      <c r="G206" s="1736"/>
    </row>
    <row r="207" spans="1:7" ht="12" customHeight="1">
      <c r="A207" s="1735"/>
      <c r="B207" s="1735"/>
      <c r="C207" s="1736"/>
      <c r="D207" s="1736"/>
      <c r="E207" s="1736"/>
      <c r="F207" s="1736"/>
      <c r="G207" s="1736"/>
    </row>
    <row r="208" spans="1:7" ht="12" customHeight="1">
      <c r="A208" s="1735"/>
      <c r="B208" s="1735"/>
      <c r="C208" s="1736"/>
      <c r="D208" s="1736"/>
      <c r="E208" s="1736"/>
      <c r="F208" s="1736"/>
      <c r="G208" s="1736"/>
    </row>
    <row r="209" spans="1:7" ht="12" customHeight="1">
      <c r="A209" s="1735"/>
      <c r="B209" s="1735"/>
      <c r="C209" s="1736"/>
      <c r="D209" s="1736"/>
      <c r="E209" s="1736"/>
      <c r="F209" s="1736"/>
      <c r="G209" s="1736"/>
    </row>
    <row r="210" spans="1:7" ht="12" customHeight="1">
      <c r="A210" s="1735"/>
      <c r="B210" s="1735"/>
      <c r="C210" s="1736"/>
      <c r="D210" s="1736"/>
      <c r="E210" s="1736"/>
      <c r="F210" s="1736"/>
      <c r="G210" s="1736"/>
    </row>
    <row r="211" spans="1:7" ht="12" customHeight="1">
      <c r="A211" s="1735"/>
      <c r="B211" s="1735"/>
      <c r="C211" s="1736"/>
      <c r="D211" s="1736"/>
      <c r="E211" s="1736"/>
      <c r="F211" s="1736"/>
      <c r="G211" s="1736"/>
    </row>
    <row r="212" spans="1:7" ht="12" customHeight="1">
      <c r="A212" s="1735"/>
      <c r="B212" s="1735"/>
      <c r="C212" s="1736"/>
      <c r="D212" s="1736"/>
      <c r="E212" s="1736"/>
      <c r="F212" s="1736"/>
      <c r="G212" s="1736"/>
    </row>
    <row r="213" spans="1:7" ht="12" customHeight="1">
      <c r="A213" s="1735"/>
      <c r="B213" s="1735"/>
      <c r="C213" s="1736"/>
      <c r="D213" s="1736"/>
      <c r="E213" s="1736"/>
      <c r="F213" s="1736"/>
      <c r="G213" s="1736"/>
    </row>
    <row r="214" spans="1:7" ht="12" customHeight="1">
      <c r="A214" s="1735"/>
      <c r="B214" s="1735"/>
      <c r="C214" s="1736"/>
      <c r="D214" s="1736"/>
      <c r="E214" s="1736"/>
      <c r="F214" s="1736"/>
      <c r="G214" s="1736"/>
    </row>
    <row r="215" spans="1:7" ht="12" customHeight="1">
      <c r="A215" s="1735"/>
      <c r="B215" s="1735"/>
      <c r="C215" s="1736"/>
      <c r="D215" s="1736"/>
      <c r="E215" s="1736"/>
      <c r="F215" s="1736"/>
      <c r="G215" s="1736"/>
    </row>
    <row r="216" spans="1:7" ht="12" customHeight="1">
      <c r="A216" s="1735"/>
      <c r="B216" s="1735"/>
      <c r="C216" s="1736"/>
      <c r="D216" s="1736"/>
      <c r="E216" s="1736"/>
      <c r="F216" s="1736"/>
      <c r="G216" s="1736"/>
    </row>
    <row r="217" spans="1:7" ht="12" customHeight="1">
      <c r="A217" s="1735"/>
      <c r="B217" s="1735"/>
      <c r="C217" s="1736"/>
      <c r="D217" s="1736"/>
      <c r="E217" s="1736"/>
      <c r="F217" s="1736"/>
      <c r="G217" s="1736"/>
    </row>
    <row r="218" spans="1:7" ht="12" customHeight="1">
      <c r="A218" s="1735"/>
      <c r="B218" s="1735"/>
      <c r="C218" s="1736"/>
      <c r="D218" s="1736"/>
      <c r="E218" s="1736"/>
      <c r="F218" s="1736"/>
      <c r="G218" s="1736"/>
    </row>
    <row r="219" spans="1:7" ht="12" customHeight="1">
      <c r="A219" s="1735"/>
      <c r="B219" s="1735"/>
      <c r="C219" s="1736"/>
      <c r="D219" s="1736"/>
      <c r="E219" s="1736"/>
      <c r="F219" s="1736"/>
      <c r="G219" s="1736"/>
    </row>
    <row r="220" spans="1:7" ht="12" customHeight="1">
      <c r="A220" s="1735"/>
      <c r="B220" s="1735"/>
      <c r="C220" s="1736"/>
      <c r="D220" s="1736"/>
      <c r="E220" s="1736"/>
      <c r="F220" s="1736"/>
      <c r="G220" s="1736"/>
    </row>
    <row r="221" spans="1:7" ht="12" customHeight="1">
      <c r="A221" s="1735"/>
      <c r="B221" s="1735"/>
      <c r="C221" s="1736"/>
      <c r="D221" s="1736"/>
      <c r="E221" s="1736"/>
      <c r="F221" s="1736"/>
      <c r="G221" s="1736"/>
    </row>
    <row r="222" spans="1:7" ht="12" customHeight="1">
      <c r="A222" s="1735"/>
      <c r="B222" s="1735"/>
      <c r="C222" s="1736"/>
      <c r="D222" s="1736"/>
      <c r="E222" s="1736"/>
      <c r="F222" s="1736"/>
      <c r="G222" s="1736"/>
    </row>
    <row r="223" spans="1:7" ht="12" customHeight="1">
      <c r="A223" s="1735"/>
      <c r="B223" s="1735"/>
      <c r="C223" s="1736"/>
      <c r="D223" s="1736"/>
      <c r="E223" s="1736"/>
      <c r="F223" s="1736"/>
      <c r="G223" s="1736"/>
    </row>
    <row r="224" spans="1:7" ht="12" customHeight="1">
      <c r="A224" s="1735"/>
      <c r="B224" s="1735"/>
      <c r="C224" s="1736"/>
      <c r="D224" s="1736"/>
      <c r="E224" s="1736"/>
      <c r="F224" s="1736"/>
      <c r="G224" s="1736"/>
    </row>
    <row r="225" spans="1:7" ht="12" customHeight="1">
      <c r="A225" s="1735"/>
      <c r="B225" s="1735"/>
      <c r="C225" s="1736"/>
      <c r="D225" s="1736"/>
      <c r="E225" s="1736"/>
      <c r="F225" s="1736"/>
      <c r="G225" s="1736"/>
    </row>
    <row r="226" spans="1:7" ht="12" customHeight="1">
      <c r="A226" s="1735"/>
      <c r="B226" s="1735"/>
      <c r="C226" s="1736"/>
      <c r="D226" s="1736"/>
      <c r="E226" s="1736"/>
      <c r="F226" s="1736"/>
      <c r="G226" s="1736"/>
    </row>
    <row r="227" spans="1:7" ht="12" customHeight="1">
      <c r="A227" s="1735"/>
      <c r="B227" s="1735"/>
      <c r="C227" s="1736"/>
      <c r="D227" s="1736"/>
      <c r="E227" s="1736"/>
      <c r="F227" s="1736"/>
      <c r="G227" s="1736"/>
    </row>
    <row r="228" spans="1:7" ht="12" customHeight="1">
      <c r="A228" s="1735"/>
      <c r="B228" s="1735"/>
      <c r="C228" s="1736"/>
      <c r="D228" s="1736"/>
      <c r="E228" s="1736"/>
      <c r="F228" s="1736"/>
      <c r="G228" s="1736"/>
    </row>
    <row r="229" spans="1:7" ht="12" customHeight="1">
      <c r="A229" s="1735"/>
      <c r="B229" s="1735"/>
      <c r="C229" s="1736"/>
      <c r="D229" s="1736"/>
      <c r="E229" s="1736"/>
      <c r="F229" s="1736"/>
      <c r="G229" s="1736"/>
    </row>
    <row r="230" spans="1:7" ht="12" customHeight="1">
      <c r="A230" s="1735"/>
      <c r="B230" s="1735"/>
      <c r="C230" s="1736"/>
      <c r="D230" s="1736"/>
      <c r="E230" s="1736"/>
      <c r="F230" s="1736"/>
      <c r="G230" s="1736"/>
    </row>
    <row r="231" spans="1:7" ht="12" customHeight="1">
      <c r="A231" s="1735"/>
      <c r="B231" s="1735"/>
      <c r="C231" s="1736"/>
      <c r="D231" s="1736"/>
      <c r="E231" s="1736"/>
      <c r="F231" s="1736"/>
      <c r="G231" s="1736"/>
    </row>
    <row r="232" spans="1:7" ht="12" customHeight="1">
      <c r="A232" s="1735"/>
      <c r="B232" s="1735"/>
      <c r="C232" s="1736"/>
      <c r="D232" s="1736"/>
      <c r="E232" s="1736"/>
      <c r="F232" s="1736"/>
      <c r="G232" s="1736"/>
    </row>
    <row r="233" spans="1:7" ht="12" customHeight="1">
      <c r="A233" s="1735"/>
      <c r="B233" s="1735"/>
      <c r="C233" s="1736"/>
      <c r="D233" s="1736"/>
      <c r="E233" s="1736"/>
      <c r="F233" s="1736"/>
      <c r="G233" s="1736"/>
    </row>
    <row r="234" spans="1:7" ht="12" customHeight="1">
      <c r="A234" s="1735"/>
      <c r="B234" s="1735"/>
      <c r="C234" s="1736"/>
      <c r="D234" s="1736"/>
      <c r="E234" s="1736"/>
      <c r="F234" s="1736"/>
      <c r="G234" s="1736"/>
    </row>
    <row r="235" spans="1:7" ht="12" customHeight="1">
      <c r="A235" s="1735"/>
      <c r="B235" s="1735"/>
      <c r="C235" s="1736"/>
      <c r="D235" s="1736"/>
      <c r="E235" s="1736"/>
      <c r="F235" s="1736"/>
      <c r="G235" s="1736"/>
    </row>
    <row r="236" spans="1:7" ht="12" customHeight="1">
      <c r="A236" s="1735"/>
      <c r="B236" s="1735"/>
      <c r="C236" s="1736"/>
      <c r="D236" s="1736"/>
      <c r="E236" s="1736"/>
      <c r="F236" s="1736"/>
      <c r="G236" s="1736"/>
    </row>
    <row r="237" spans="1:7" ht="12" customHeight="1">
      <c r="A237" s="1735"/>
      <c r="B237" s="1735"/>
      <c r="C237" s="1736"/>
      <c r="D237" s="1736"/>
      <c r="E237" s="1736"/>
      <c r="F237" s="1736"/>
      <c r="G237" s="1736"/>
    </row>
    <row r="238" spans="1:7" ht="12" customHeight="1">
      <c r="A238" s="1735"/>
      <c r="B238" s="1735"/>
      <c r="C238" s="1736"/>
      <c r="D238" s="1736"/>
      <c r="E238" s="1736"/>
      <c r="F238" s="1736"/>
      <c r="G238" s="1736"/>
    </row>
    <row r="239" spans="1:7" ht="12" customHeight="1">
      <c r="A239" s="1735"/>
      <c r="B239" s="1735"/>
      <c r="C239" s="1736"/>
      <c r="D239" s="1736"/>
      <c r="E239" s="1736"/>
      <c r="F239" s="1736"/>
      <c r="G239" s="1736"/>
    </row>
    <row r="240" spans="1:7" ht="12" customHeight="1">
      <c r="A240" s="1735"/>
      <c r="B240" s="1735"/>
      <c r="C240" s="1736"/>
      <c r="D240" s="1736"/>
      <c r="E240" s="1736"/>
      <c r="F240" s="1736"/>
      <c r="G240" s="1736"/>
    </row>
    <row r="241" spans="1:7" ht="12" customHeight="1">
      <c r="A241" s="1735"/>
      <c r="B241" s="1735"/>
      <c r="C241" s="1736"/>
      <c r="D241" s="1736"/>
      <c r="E241" s="1736"/>
      <c r="F241" s="1736"/>
      <c r="G241" s="1736"/>
    </row>
    <row r="242" spans="1:7" ht="12" customHeight="1">
      <c r="A242" s="1735"/>
      <c r="B242" s="1735"/>
      <c r="C242" s="1736"/>
      <c r="D242" s="1736"/>
      <c r="E242" s="1736"/>
      <c r="F242" s="1736"/>
      <c r="G242" s="1736"/>
    </row>
    <row r="243" spans="1:7" ht="12" customHeight="1">
      <c r="A243" s="1735"/>
      <c r="B243" s="1735"/>
      <c r="C243" s="1736"/>
      <c r="D243" s="1736"/>
      <c r="E243" s="1736"/>
      <c r="F243" s="1736"/>
      <c r="G243" s="1736"/>
    </row>
    <row r="244" spans="1:7" ht="12" customHeight="1">
      <c r="A244" s="1735"/>
      <c r="B244" s="1735"/>
      <c r="C244" s="1736"/>
      <c r="D244" s="1736"/>
      <c r="E244" s="1736"/>
      <c r="F244" s="1736"/>
      <c r="G244" s="1736"/>
    </row>
    <row r="245" spans="1:7" ht="12" customHeight="1">
      <c r="A245" s="1735"/>
      <c r="B245" s="1735"/>
      <c r="C245" s="1736"/>
      <c r="D245" s="1736"/>
      <c r="E245" s="1736"/>
      <c r="F245" s="1736"/>
      <c r="G245" s="1736"/>
    </row>
    <row r="246" spans="1:7" ht="12" customHeight="1">
      <c r="A246" s="1735"/>
      <c r="B246" s="1735"/>
      <c r="C246" s="1736"/>
      <c r="D246" s="1736"/>
      <c r="E246" s="1736"/>
      <c r="F246" s="1736"/>
      <c r="G246" s="1736"/>
    </row>
    <row r="247" spans="1:7" ht="12" customHeight="1">
      <c r="A247" s="1735"/>
      <c r="B247" s="1735"/>
      <c r="C247" s="1736"/>
      <c r="D247" s="1736"/>
      <c r="E247" s="1736"/>
      <c r="F247" s="1736"/>
      <c r="G247" s="1736"/>
    </row>
    <row r="248" spans="1:7" ht="12" customHeight="1">
      <c r="A248" s="1735"/>
      <c r="B248" s="1735"/>
      <c r="C248" s="1736"/>
      <c r="D248" s="1736"/>
      <c r="E248" s="1736"/>
      <c r="F248" s="1736"/>
      <c r="G248" s="1736"/>
    </row>
    <row r="249" spans="1:7" ht="12" customHeight="1">
      <c r="A249" s="1735"/>
      <c r="B249" s="1735"/>
      <c r="C249" s="1736"/>
      <c r="D249" s="1736"/>
      <c r="E249" s="1736"/>
      <c r="F249" s="1736"/>
      <c r="G249" s="1736"/>
    </row>
    <row r="250" spans="1:7" ht="12" customHeight="1">
      <c r="A250" s="1735"/>
      <c r="B250" s="1735"/>
      <c r="C250" s="1736"/>
      <c r="D250" s="1736"/>
      <c r="E250" s="1736"/>
      <c r="F250" s="1736"/>
      <c r="G250" s="1736"/>
    </row>
    <row r="251" spans="1:7" ht="12" customHeight="1">
      <c r="A251" s="1735"/>
      <c r="B251" s="1735"/>
      <c r="C251" s="1736"/>
      <c r="D251" s="1736"/>
      <c r="E251" s="1736"/>
      <c r="F251" s="1736"/>
      <c r="G251" s="1736"/>
    </row>
    <row r="252" spans="1:7" ht="12" customHeight="1">
      <c r="A252" s="1735"/>
      <c r="B252" s="1735"/>
      <c r="C252" s="1736"/>
      <c r="D252" s="1736"/>
      <c r="E252" s="1736"/>
      <c r="F252" s="1736"/>
      <c r="G252" s="1736"/>
    </row>
    <row r="253" spans="1:7" ht="12" customHeight="1">
      <c r="A253" s="1735"/>
      <c r="B253" s="1735"/>
      <c r="C253" s="1736"/>
      <c r="D253" s="1736"/>
      <c r="E253" s="1736"/>
      <c r="F253" s="1736"/>
      <c r="G253" s="1736"/>
    </row>
    <row r="254" spans="1:7" ht="12" customHeight="1">
      <c r="A254" s="1735"/>
      <c r="B254" s="1735"/>
      <c r="C254" s="1736"/>
      <c r="D254" s="1736"/>
      <c r="E254" s="1736"/>
      <c r="F254" s="1736"/>
      <c r="G254" s="1736"/>
    </row>
    <row r="255" spans="1:7" ht="12" customHeight="1">
      <c r="A255" s="1735"/>
      <c r="B255" s="1735"/>
      <c r="C255" s="1736"/>
      <c r="D255" s="1736"/>
      <c r="E255" s="1736"/>
      <c r="F255" s="1736"/>
      <c r="G255" s="1736"/>
    </row>
    <row r="256" spans="1:7" ht="12" customHeight="1">
      <c r="A256" s="1735"/>
      <c r="B256" s="1735"/>
      <c r="C256" s="1736"/>
      <c r="D256" s="1736"/>
      <c r="E256" s="1736"/>
      <c r="F256" s="1736"/>
      <c r="G256" s="1736"/>
    </row>
    <row r="257" spans="1:7" ht="12" customHeight="1">
      <c r="A257" s="1735"/>
      <c r="B257" s="1735"/>
      <c r="C257" s="1736"/>
      <c r="D257" s="1736"/>
      <c r="E257" s="1736"/>
      <c r="F257" s="1736"/>
      <c r="G257" s="1736"/>
    </row>
    <row r="258" spans="1:7" ht="12" customHeight="1">
      <c r="A258" s="1735"/>
      <c r="B258" s="1735"/>
      <c r="C258" s="1736"/>
      <c r="D258" s="1736"/>
      <c r="E258" s="1736"/>
      <c r="F258" s="1736"/>
      <c r="G258" s="1736"/>
    </row>
    <row r="259" spans="1:7" ht="12" customHeight="1">
      <c r="A259" s="1735"/>
      <c r="B259" s="1735"/>
      <c r="C259" s="1736"/>
      <c r="D259" s="1736"/>
      <c r="E259" s="1736"/>
      <c r="F259" s="1736"/>
      <c r="G259" s="1736"/>
    </row>
    <row r="260" spans="1:7" ht="12" customHeight="1">
      <c r="A260" s="1735"/>
      <c r="B260" s="1735"/>
      <c r="C260" s="1736"/>
      <c r="D260" s="1736"/>
      <c r="E260" s="1736"/>
      <c r="F260" s="1736"/>
      <c r="G260" s="1736"/>
    </row>
    <row r="261" spans="1:7" ht="12" customHeight="1">
      <c r="A261" s="1735"/>
      <c r="B261" s="1735"/>
      <c r="C261" s="1736"/>
      <c r="D261" s="1736"/>
      <c r="E261" s="1736"/>
      <c r="F261" s="1736"/>
      <c r="G261" s="1736"/>
    </row>
    <row r="262" spans="1:7" ht="12" customHeight="1">
      <c r="A262" s="1735"/>
      <c r="B262" s="1735"/>
      <c r="C262" s="1736"/>
      <c r="D262" s="1736"/>
      <c r="E262" s="1736"/>
      <c r="F262" s="1736"/>
      <c r="G262" s="1736"/>
    </row>
    <row r="263" spans="1:7" ht="12" customHeight="1">
      <c r="A263" s="1735"/>
      <c r="B263" s="1735"/>
      <c r="C263" s="1736"/>
      <c r="D263" s="1736"/>
      <c r="E263" s="1736"/>
      <c r="F263" s="1736"/>
      <c r="G263" s="1736"/>
    </row>
    <row r="264" spans="1:7" ht="12" customHeight="1">
      <c r="A264" s="1735"/>
      <c r="B264" s="1735"/>
      <c r="C264" s="1736"/>
      <c r="D264" s="1736"/>
      <c r="E264" s="1736"/>
      <c r="F264" s="1736"/>
      <c r="G264" s="1736"/>
    </row>
    <row r="265" spans="1:7" ht="12" customHeight="1">
      <c r="A265" s="1735"/>
      <c r="B265" s="1735"/>
      <c r="C265" s="1736"/>
      <c r="D265" s="1736"/>
      <c r="E265" s="1736"/>
      <c r="F265" s="1736"/>
      <c r="G265" s="1736"/>
    </row>
    <row r="266" spans="1:7" ht="12" customHeight="1">
      <c r="A266" s="1735"/>
      <c r="B266" s="1735"/>
      <c r="C266" s="1736"/>
      <c r="D266" s="1736"/>
      <c r="E266" s="1736"/>
      <c r="F266" s="1736"/>
      <c r="G266" s="1736"/>
    </row>
    <row r="267" spans="1:7" ht="12" customHeight="1">
      <c r="A267" s="1735"/>
      <c r="B267" s="1735"/>
      <c r="C267" s="1736"/>
      <c r="D267" s="1736"/>
      <c r="E267" s="1736"/>
      <c r="F267" s="1736"/>
      <c r="G267" s="1736"/>
    </row>
    <row r="268" spans="1:7" ht="12" customHeight="1">
      <c r="A268" s="1735"/>
      <c r="B268" s="1735"/>
      <c r="C268" s="1736"/>
      <c r="D268" s="1736"/>
      <c r="E268" s="1736"/>
      <c r="F268" s="1736"/>
      <c r="G268" s="1736"/>
    </row>
    <row r="269" spans="1:7" ht="12" customHeight="1">
      <c r="A269" s="1735"/>
      <c r="B269" s="1735"/>
      <c r="C269" s="1736"/>
      <c r="D269" s="1736"/>
      <c r="E269" s="1736"/>
      <c r="F269" s="1736"/>
      <c r="G269" s="1736"/>
    </row>
    <row r="270" spans="1:7" ht="12" customHeight="1">
      <c r="A270" s="1735"/>
      <c r="B270" s="1735"/>
      <c r="C270" s="1736"/>
      <c r="D270" s="1736"/>
      <c r="E270" s="1736"/>
      <c r="F270" s="1736"/>
      <c r="G270" s="1736"/>
    </row>
    <row r="271" spans="1:7" ht="12" customHeight="1">
      <c r="A271" s="1735"/>
      <c r="B271" s="1735"/>
      <c r="C271" s="1736"/>
      <c r="D271" s="1736"/>
      <c r="E271" s="1736"/>
      <c r="F271" s="1736"/>
      <c r="G271" s="1736"/>
    </row>
    <row r="272" spans="1:7" ht="12" customHeight="1">
      <c r="A272" s="1735"/>
      <c r="B272" s="1735"/>
      <c r="C272" s="1736"/>
      <c r="D272" s="1736"/>
      <c r="E272" s="1736"/>
      <c r="F272" s="1736"/>
      <c r="G272" s="1736"/>
    </row>
    <row r="273" spans="1:7" ht="12" customHeight="1">
      <c r="A273" s="1735"/>
      <c r="B273" s="1735"/>
      <c r="C273" s="1736"/>
      <c r="D273" s="1736"/>
      <c r="E273" s="1736"/>
      <c r="F273" s="1736"/>
      <c r="G273" s="1736"/>
    </row>
    <row r="274" spans="1:7" ht="12" customHeight="1">
      <c r="A274" s="1735"/>
      <c r="B274" s="1735"/>
      <c r="C274" s="1736"/>
      <c r="D274" s="1736"/>
      <c r="E274" s="1736"/>
      <c r="F274" s="1736"/>
      <c r="G274" s="1736"/>
    </row>
    <row r="275" spans="1:7" ht="12" customHeight="1">
      <c r="A275" s="1735"/>
      <c r="B275" s="1735"/>
      <c r="C275" s="1736"/>
      <c r="D275" s="1736"/>
      <c r="E275" s="1736"/>
      <c r="F275" s="1736"/>
      <c r="G275" s="1736"/>
    </row>
    <row r="276" spans="1:7" ht="12" customHeight="1">
      <c r="A276" s="1735"/>
      <c r="B276" s="1735"/>
      <c r="C276" s="1736"/>
      <c r="D276" s="1736"/>
      <c r="E276" s="1736"/>
      <c r="F276" s="1736"/>
      <c r="G276" s="1736"/>
    </row>
    <row r="277" spans="1:7" ht="12" customHeight="1">
      <c r="A277" s="1735"/>
      <c r="B277" s="1735"/>
      <c r="C277" s="1736"/>
      <c r="D277" s="1736"/>
      <c r="E277" s="1736"/>
      <c r="F277" s="1736"/>
      <c r="G277" s="1736"/>
    </row>
    <row r="278" spans="1:7" ht="12" customHeight="1">
      <c r="A278" s="1735"/>
      <c r="B278" s="1735"/>
      <c r="C278" s="1736"/>
      <c r="D278" s="1736"/>
      <c r="E278" s="1736"/>
      <c r="F278" s="1736"/>
      <c r="G278" s="1736"/>
    </row>
    <row r="279" spans="1:7" ht="12" customHeight="1">
      <c r="A279" s="1735"/>
      <c r="B279" s="1735"/>
      <c r="C279" s="1736"/>
      <c r="D279" s="1736"/>
      <c r="E279" s="1736"/>
      <c r="F279" s="1736"/>
      <c r="G279" s="1736"/>
    </row>
    <row r="280" spans="1:7" ht="12" customHeight="1">
      <c r="A280" s="1735"/>
      <c r="B280" s="1735"/>
      <c r="C280" s="1736"/>
      <c r="D280" s="1736"/>
      <c r="E280" s="1736"/>
      <c r="F280" s="1736"/>
      <c r="G280" s="1736"/>
    </row>
    <row r="281" spans="1:7" ht="12" customHeight="1">
      <c r="A281" s="1735"/>
      <c r="B281" s="1735"/>
      <c r="C281" s="1736"/>
      <c r="D281" s="1736"/>
      <c r="E281" s="1736"/>
      <c r="F281" s="1736"/>
      <c r="G281" s="1736"/>
    </row>
    <row r="282" spans="1:7" ht="12" customHeight="1">
      <c r="A282" s="1735"/>
      <c r="B282" s="1735"/>
      <c r="C282" s="1736"/>
      <c r="D282" s="1736"/>
      <c r="E282" s="1736"/>
      <c r="F282" s="1736"/>
      <c r="G282" s="1736"/>
    </row>
    <row r="283" spans="1:7" ht="12" customHeight="1">
      <c r="A283" s="1735"/>
      <c r="B283" s="1735"/>
      <c r="C283" s="1736"/>
      <c r="D283" s="1736"/>
      <c r="E283" s="1736"/>
      <c r="F283" s="1736"/>
      <c r="G283" s="1736"/>
    </row>
    <row r="284" spans="1:7" ht="12" customHeight="1">
      <c r="A284" s="1735"/>
      <c r="B284" s="1735"/>
      <c r="C284" s="1736"/>
      <c r="D284" s="1736"/>
      <c r="E284" s="1736"/>
      <c r="F284" s="1736"/>
      <c r="G284" s="1736"/>
    </row>
    <row r="285" spans="1:7" ht="12" customHeight="1">
      <c r="A285" s="1735"/>
      <c r="B285" s="1735"/>
      <c r="C285" s="1736"/>
      <c r="D285" s="1736"/>
      <c r="E285" s="1736"/>
      <c r="F285" s="1736"/>
      <c r="G285" s="1736"/>
    </row>
    <row r="286" spans="1:7" ht="12" customHeight="1">
      <c r="A286" s="1735"/>
      <c r="B286" s="1735"/>
      <c r="C286" s="1736"/>
      <c r="D286" s="1736"/>
      <c r="E286" s="1736"/>
      <c r="F286" s="1736"/>
      <c r="G286" s="1736"/>
    </row>
    <row r="287" spans="1:7" ht="12" customHeight="1">
      <c r="A287" s="1735"/>
      <c r="B287" s="1735"/>
      <c r="C287" s="1736"/>
      <c r="D287" s="1736"/>
      <c r="E287" s="1736"/>
      <c r="F287" s="1736"/>
      <c r="G287" s="1736"/>
    </row>
    <row r="288" spans="1:7" ht="12" customHeight="1">
      <c r="A288" s="1735"/>
      <c r="B288" s="1735"/>
      <c r="C288" s="1736"/>
      <c r="D288" s="1736"/>
      <c r="E288" s="1736"/>
      <c r="F288" s="1736"/>
      <c r="G288" s="1736"/>
    </row>
    <row r="289" spans="1:7" ht="12" customHeight="1">
      <c r="A289" s="1735"/>
      <c r="B289" s="1735"/>
      <c r="C289" s="1736"/>
      <c r="D289" s="1736"/>
      <c r="E289" s="1736"/>
      <c r="F289" s="1736"/>
      <c r="G289" s="1736"/>
    </row>
    <row r="290" spans="1:7" ht="12" customHeight="1">
      <c r="A290" s="1735"/>
      <c r="B290" s="1735"/>
      <c r="C290" s="1736"/>
      <c r="D290" s="1736"/>
      <c r="E290" s="1736"/>
      <c r="F290" s="1736"/>
      <c r="G290" s="1736"/>
    </row>
    <row r="291" spans="1:7" ht="12" customHeight="1">
      <c r="A291" s="1735"/>
      <c r="B291" s="1735"/>
      <c r="C291" s="1736"/>
      <c r="D291" s="1736"/>
      <c r="E291" s="1736"/>
      <c r="F291" s="1736"/>
      <c r="G291" s="1736"/>
    </row>
    <row r="292" spans="1:7" ht="12" customHeight="1">
      <c r="A292" s="1735"/>
      <c r="B292" s="1735"/>
      <c r="C292" s="1736"/>
      <c r="D292" s="1736"/>
      <c r="E292" s="1736"/>
      <c r="F292" s="1736"/>
      <c r="G292" s="1736"/>
    </row>
    <row r="293" spans="1:7" ht="12" customHeight="1">
      <c r="A293" s="1735"/>
      <c r="B293" s="1735"/>
      <c r="C293" s="1736"/>
      <c r="D293" s="1736"/>
      <c r="E293" s="1736"/>
      <c r="F293" s="1736"/>
      <c r="G293" s="1736"/>
    </row>
    <row r="294" spans="1:7" ht="12" customHeight="1">
      <c r="A294" s="1735"/>
      <c r="B294" s="1735"/>
      <c r="C294" s="1736"/>
      <c r="D294" s="1736"/>
      <c r="E294" s="1736"/>
      <c r="F294" s="1736"/>
      <c r="G294" s="1736"/>
    </row>
    <row r="295" spans="1:7" ht="12" customHeight="1">
      <c r="A295" s="1735"/>
      <c r="B295" s="1735"/>
      <c r="C295" s="1736"/>
      <c r="D295" s="1736"/>
      <c r="E295" s="1736"/>
      <c r="F295" s="1736"/>
      <c r="G295" s="1736"/>
    </row>
    <row r="296" spans="1:7" ht="12" customHeight="1">
      <c r="A296" s="1735"/>
      <c r="B296" s="1735"/>
      <c r="C296" s="1736"/>
      <c r="D296" s="1736"/>
      <c r="E296" s="1736"/>
      <c r="F296" s="1736"/>
      <c r="G296" s="1736"/>
    </row>
    <row r="297" spans="1:7" ht="12" customHeight="1">
      <c r="A297" s="1735"/>
      <c r="B297" s="1735"/>
      <c r="C297" s="1736"/>
      <c r="D297" s="1736"/>
      <c r="E297" s="1736"/>
      <c r="F297" s="1736"/>
      <c r="G297" s="1736"/>
    </row>
    <row r="298" spans="1:7" ht="12" customHeight="1">
      <c r="A298" s="1735"/>
      <c r="B298" s="1735"/>
      <c r="C298" s="1736"/>
      <c r="D298" s="1736"/>
      <c r="E298" s="1736"/>
      <c r="F298" s="1736"/>
      <c r="G298" s="1736"/>
    </row>
    <row r="299" spans="1:7" ht="12" customHeight="1">
      <c r="A299" s="1735"/>
      <c r="B299" s="1735"/>
      <c r="C299" s="1736"/>
      <c r="D299" s="1736"/>
      <c r="E299" s="1736"/>
      <c r="F299" s="1736"/>
      <c r="G299" s="1736"/>
    </row>
    <row r="300" spans="1:7" ht="12" customHeight="1">
      <c r="A300" s="1735"/>
      <c r="B300" s="1735"/>
      <c r="C300" s="1736"/>
      <c r="D300" s="1736"/>
      <c r="E300" s="1736"/>
      <c r="F300" s="1736"/>
      <c r="G300" s="1736"/>
    </row>
    <row r="301" spans="1:7" ht="12" customHeight="1">
      <c r="A301" s="1735"/>
      <c r="B301" s="1735"/>
      <c r="C301" s="1736"/>
      <c r="D301" s="1736"/>
      <c r="E301" s="1736"/>
      <c r="F301" s="1736"/>
      <c r="G301" s="1736"/>
    </row>
    <row r="302" spans="1:7" ht="12" customHeight="1">
      <c r="A302" s="1735"/>
      <c r="B302" s="1735"/>
      <c r="C302" s="1736"/>
      <c r="D302" s="1736"/>
      <c r="E302" s="1736"/>
      <c r="F302" s="1736"/>
      <c r="G302" s="1736"/>
    </row>
    <row r="303" spans="1:7" ht="12" customHeight="1">
      <c r="A303" s="1735"/>
      <c r="B303" s="1735"/>
      <c r="C303" s="1736"/>
      <c r="D303" s="1736"/>
      <c r="E303" s="1736"/>
      <c r="F303" s="1736"/>
      <c r="G303" s="1736"/>
    </row>
  </sheetData>
  <sheetProtection algorithmName="SHA-512" hashValue="hdXmwffJ+czU2JbrWbacnbaCJ5n8VULmOHcdQlN7NsoH3ByYO01Gf+dWAZa6W0rjZkRNCIAQEgpInQ6eJoQF0w==" saltValue="qtxKiWo8BH5WoYd2Q3JpnQ==" spinCount="100000" sheet="1" objects="1" scenarios="1"/>
  <phoneticPr fontId="10" type="noConversion"/>
  <dataValidations count="3">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zero." sqref="C10:D10 C28:D32 C35:D40 C14:D19 C21:D23">
      <formula1>0</formula1>
    </dataValidation>
    <dataValidation type="whole" operator="greaterThanOrEqual" allowBlank="1" showInputMessage="1" showErrorMessage="1" errorTitle="Invalid Data Entry" error="Please enter a positive number or press the delete key or enter zero." sqref="E40">
      <formula1>0</formula1>
    </dataValidation>
  </dataValidations>
  <hyperlinks>
    <hyperlink ref="G1" location="Contents!F1" display="Return to Contents page"/>
  </hyperlinks>
  <printOptions horizontalCentered="1"/>
  <pageMargins left="0.25" right="0.25" top="0.19" bottom="0.19" header="0.5" footer="0.5"/>
  <pageSetup orientation="portrait" blackAndWhite="1" r:id="rId1"/>
  <headerFooter alignWithMargins="0">
    <oddFooter>&amp;L&amp;D     &amp;T&amp;CCode No. 55</oddFooter>
  </headerFooter>
  <rowBreaks count="1" manualBreakCount="1">
    <brk id="58" max="65535"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4" tint="0.39997558519241921"/>
    <pageSetUpPr fitToPage="1"/>
  </sheetPr>
  <dimension ref="A1:F54"/>
  <sheetViews>
    <sheetView zoomScaleNormal="100" workbookViewId="0">
      <selection activeCell="D14" sqref="D14"/>
    </sheetView>
  </sheetViews>
  <sheetFormatPr defaultRowHeight="12.75"/>
  <cols>
    <col min="1" max="1" width="41.42578125" style="2697" customWidth="1"/>
    <col min="2" max="2" width="8" style="2697" customWidth="1"/>
    <col min="3" max="3" width="14.28515625" style="2697" customWidth="1"/>
    <col min="4" max="4" width="14.85546875" style="2697" customWidth="1"/>
    <col min="5" max="5" width="13.7109375" style="2697" customWidth="1"/>
    <col min="6" max="6" width="21" style="2697" customWidth="1"/>
    <col min="7" max="16384" width="9.140625" style="2697"/>
  </cols>
  <sheetData>
    <row r="1" spans="1:6">
      <c r="A1" s="3428"/>
      <c r="B1" s="3429" t="s">
        <v>1019</v>
      </c>
      <c r="C1" s="3430">
        <f>OPEN!B4</f>
        <v>270</v>
      </c>
      <c r="D1" s="3428"/>
      <c r="E1" s="3431" t="s">
        <v>1020</v>
      </c>
      <c r="F1" s="3013" t="s">
        <v>866</v>
      </c>
    </row>
    <row r="2" spans="1:6">
      <c r="A2" s="3428"/>
      <c r="B2" s="3429"/>
      <c r="C2" s="3428"/>
      <c r="D2" s="3428"/>
      <c r="E2" s="3431" t="s">
        <v>1212</v>
      </c>
    </row>
    <row r="3" spans="1:6">
      <c r="A3" s="3428"/>
      <c r="B3" s="3429"/>
      <c r="C3" s="3428"/>
      <c r="D3" s="3428"/>
      <c r="E3" s="3431" t="str">
        <f>OPEN!P4</f>
        <v>2016-2017</v>
      </c>
    </row>
    <row r="4" spans="1:6" ht="6.75" customHeight="1">
      <c r="A4" s="3428"/>
      <c r="B4" s="3429"/>
      <c r="C4" s="3428"/>
      <c r="D4" s="3428"/>
      <c r="E4" s="3428"/>
    </row>
    <row r="5" spans="1:6">
      <c r="A5" s="3432"/>
      <c r="B5" s="3429"/>
      <c r="C5" s="3433" t="s">
        <v>1213</v>
      </c>
      <c r="D5" s="3433" t="s">
        <v>1213</v>
      </c>
      <c r="E5" s="3433" t="s">
        <v>1213</v>
      </c>
    </row>
    <row r="6" spans="1:6">
      <c r="A6" s="3428"/>
      <c r="B6" s="3434" t="s">
        <v>1045</v>
      </c>
      <c r="C6" s="3435" t="str">
        <f>OPEN!N4</f>
        <v>2014-2015</v>
      </c>
      <c r="D6" s="3435" t="str">
        <f>OPEN!O4</f>
        <v>2015-2016</v>
      </c>
      <c r="E6" s="3435" t="str">
        <f>E3</f>
        <v>2016-2017</v>
      </c>
    </row>
    <row r="7" spans="1:6">
      <c r="A7" s="3436" t="s">
        <v>1497</v>
      </c>
      <c r="B7" s="3437">
        <v>56</v>
      </c>
      <c r="C7" s="3438" t="s">
        <v>1139</v>
      </c>
      <c r="D7" s="3438" t="s">
        <v>1139</v>
      </c>
      <c r="E7" s="3438" t="s">
        <v>1215</v>
      </c>
    </row>
    <row r="8" spans="1:6">
      <c r="A8" s="3439"/>
      <c r="B8" s="3440" t="s">
        <v>1051</v>
      </c>
      <c r="C8" s="3442">
        <v>1</v>
      </c>
      <c r="D8" s="3441">
        <v>2</v>
      </c>
      <c r="E8" s="3441">
        <v>3</v>
      </c>
    </row>
    <row r="9" spans="1:6">
      <c r="A9" s="3443" t="s">
        <v>1218</v>
      </c>
      <c r="B9" s="3444">
        <v>1</v>
      </c>
      <c r="C9" s="3687">
        <v>24415</v>
      </c>
      <c r="D9" s="3686">
        <f>C19</f>
        <v>24600</v>
      </c>
      <c r="E9" s="2581">
        <f>D19</f>
        <v>24371</v>
      </c>
    </row>
    <row r="10" spans="1:6">
      <c r="A10" s="3443" t="s">
        <v>1219</v>
      </c>
      <c r="B10" s="3445">
        <v>3</v>
      </c>
      <c r="C10" s="3688"/>
      <c r="D10" s="3689"/>
      <c r="E10" s="3446"/>
    </row>
    <row r="11" spans="1:6">
      <c r="A11" s="3412" t="s">
        <v>1221</v>
      </c>
      <c r="B11" s="3549"/>
      <c r="C11" s="3448"/>
      <c r="D11" s="3449"/>
      <c r="E11" s="3448"/>
    </row>
    <row r="12" spans="1:6">
      <c r="A12" s="3413" t="s">
        <v>1222</v>
      </c>
      <c r="B12" s="3550"/>
      <c r="C12" s="3448"/>
      <c r="D12" s="3449"/>
      <c r="E12" s="3448"/>
    </row>
    <row r="13" spans="1:6">
      <c r="A13" s="3414" t="s">
        <v>1498</v>
      </c>
      <c r="B13" s="3551">
        <v>50</v>
      </c>
      <c r="C13" s="3806">
        <v>29043</v>
      </c>
      <c r="D13" s="3690">
        <v>31513</v>
      </c>
      <c r="E13" s="3448"/>
    </row>
    <row r="14" spans="1:6">
      <c r="A14" s="3414" t="s">
        <v>1499</v>
      </c>
      <c r="B14" s="3550">
        <v>55</v>
      </c>
      <c r="C14" s="3688">
        <v>50</v>
      </c>
      <c r="D14" s="3691">
        <v>10533</v>
      </c>
      <c r="E14" s="3448"/>
    </row>
    <row r="15" spans="1:6">
      <c r="A15" s="3547" t="s">
        <v>1228</v>
      </c>
      <c r="B15" s="3447"/>
      <c r="C15" s="3448"/>
      <c r="D15" s="3552"/>
      <c r="E15" s="3446"/>
    </row>
    <row r="16" spans="1:6">
      <c r="A16" s="3450" t="s">
        <v>1230</v>
      </c>
      <c r="B16" s="3548">
        <v>60</v>
      </c>
      <c r="C16" s="3692"/>
      <c r="D16" s="3689"/>
      <c r="E16" s="3446"/>
    </row>
    <row r="17" spans="1:5">
      <c r="A17" s="3451" t="s">
        <v>1245</v>
      </c>
      <c r="B17" s="3548">
        <v>170</v>
      </c>
      <c r="C17" s="3685">
        <f>SUM(C9:C16)</f>
        <v>53508</v>
      </c>
      <c r="D17" s="3452">
        <f>SUM(D9:D16)</f>
        <v>66646</v>
      </c>
      <c r="E17" s="3448"/>
    </row>
    <row r="18" spans="1:5">
      <c r="A18" s="3443" t="s">
        <v>1248</v>
      </c>
      <c r="B18" s="3444">
        <v>175</v>
      </c>
      <c r="C18" s="3685">
        <f>C53</f>
        <v>28908</v>
      </c>
      <c r="D18" s="3453">
        <f>D53</f>
        <v>42275</v>
      </c>
      <c r="E18" s="3448"/>
    </row>
    <row r="19" spans="1:5">
      <c r="A19" s="3443" t="s">
        <v>1250</v>
      </c>
      <c r="B19" s="3444">
        <v>190</v>
      </c>
      <c r="C19" s="3685">
        <f>C17-C18</f>
        <v>24600</v>
      </c>
      <c r="D19" s="3453">
        <f>D17-D18</f>
        <v>24371</v>
      </c>
      <c r="E19" s="3454" t="s">
        <v>1251</v>
      </c>
    </row>
    <row r="20" spans="1:5" ht="3.75" customHeight="1">
      <c r="A20" s="3428"/>
      <c r="B20" s="3428"/>
      <c r="C20" s="3428"/>
      <c r="D20" s="3428"/>
      <c r="E20" s="3428"/>
    </row>
    <row r="21" spans="1:5" ht="50.25" customHeight="1">
      <c r="A21" s="5285"/>
      <c r="B21" s="5285"/>
      <c r="C21" s="5285"/>
      <c r="D21" s="5285"/>
      <c r="E21" s="5285"/>
    </row>
    <row r="22" spans="1:5" ht="6.75" customHeight="1">
      <c r="A22" s="3430"/>
      <c r="B22" s="3429"/>
      <c r="C22" s="3428"/>
      <c r="D22" s="3428"/>
      <c r="E22" s="3428"/>
    </row>
    <row r="23" spans="1:5" ht="47.25" customHeight="1">
      <c r="A23" s="5285"/>
      <c r="B23" s="5285"/>
      <c r="C23" s="5285"/>
      <c r="D23" s="5285"/>
      <c r="E23" s="5285"/>
    </row>
    <row r="24" spans="1:5" ht="12" customHeight="1">
      <c r="A24" s="3428"/>
      <c r="B24" s="3428"/>
      <c r="C24" s="3428"/>
      <c r="D24" s="3428"/>
      <c r="E24" s="3428"/>
    </row>
    <row r="25" spans="1:5" ht="15.75" customHeight="1">
      <c r="A25" s="5285"/>
      <c r="B25" s="5285"/>
      <c r="C25" s="5285"/>
      <c r="D25" s="5285"/>
      <c r="E25" s="5285"/>
    </row>
    <row r="26" spans="1:5" ht="6" customHeight="1">
      <c r="A26" s="3429"/>
      <c r="B26" s="3429"/>
      <c r="C26" s="3433"/>
      <c r="D26" s="3433"/>
      <c r="E26" s="3433"/>
    </row>
    <row r="27" spans="1:5">
      <c r="A27" s="3428"/>
      <c r="B27" s="3429"/>
      <c r="C27" s="3433" t="s">
        <v>1213</v>
      </c>
      <c r="D27" s="3433" t="s">
        <v>1213</v>
      </c>
      <c r="E27" s="3433" t="s">
        <v>1213</v>
      </c>
    </row>
    <row r="28" spans="1:5">
      <c r="A28" s="3428"/>
      <c r="B28" s="3434" t="s">
        <v>1045</v>
      </c>
      <c r="C28" s="3435" t="str">
        <f>C6</f>
        <v>2014-2015</v>
      </c>
      <c r="D28" s="3435" t="str">
        <f>D6</f>
        <v>2015-2016</v>
      </c>
      <c r="E28" s="3435" t="str">
        <f>E6</f>
        <v>2016-2017</v>
      </c>
    </row>
    <row r="29" spans="1:5">
      <c r="A29" s="3436" t="s">
        <v>1500</v>
      </c>
      <c r="B29" s="3437">
        <v>56</v>
      </c>
      <c r="C29" s="3438" t="s">
        <v>1139</v>
      </c>
      <c r="D29" s="3438" t="s">
        <v>1139</v>
      </c>
      <c r="E29" s="3438" t="s">
        <v>1215</v>
      </c>
    </row>
    <row r="30" spans="1:5">
      <c r="A30" s="3439"/>
      <c r="B30" s="3440" t="s">
        <v>1051</v>
      </c>
      <c r="C30" s="3442">
        <v>1</v>
      </c>
      <c r="D30" s="3441">
        <v>2</v>
      </c>
      <c r="E30" s="3441">
        <v>3</v>
      </c>
    </row>
    <row r="31" spans="1:5">
      <c r="A31" s="3455" t="s">
        <v>1267</v>
      </c>
      <c r="B31" s="3456"/>
      <c r="C31" s="3457"/>
      <c r="D31" s="3458"/>
      <c r="E31" s="3457"/>
    </row>
    <row r="32" spans="1:5">
      <c r="A32" s="3459" t="s">
        <v>1268</v>
      </c>
      <c r="B32" s="3460"/>
      <c r="C32" s="3461"/>
      <c r="D32" s="3462"/>
      <c r="E32" s="3461"/>
    </row>
    <row r="33" spans="1:5">
      <c r="A33" s="3463" t="s">
        <v>1269</v>
      </c>
      <c r="B33" s="3464">
        <v>210</v>
      </c>
      <c r="C33" s="3693"/>
      <c r="D33" s="3694"/>
      <c r="E33" s="3461"/>
    </row>
    <row r="34" spans="1:5">
      <c r="A34" s="3465" t="s">
        <v>1270</v>
      </c>
      <c r="B34" s="3466">
        <v>215</v>
      </c>
      <c r="C34" s="3695"/>
      <c r="D34" s="3696"/>
      <c r="E34" s="3461"/>
    </row>
    <row r="35" spans="1:5">
      <c r="A35" s="3455" t="s">
        <v>1271</v>
      </c>
      <c r="B35" s="3456"/>
      <c r="C35" s="3461"/>
      <c r="D35" s="3458"/>
      <c r="E35" s="3461"/>
    </row>
    <row r="36" spans="1:5">
      <c r="A36" s="3463" t="s">
        <v>1272</v>
      </c>
      <c r="B36" s="3464">
        <v>220</v>
      </c>
      <c r="C36" s="3693"/>
      <c r="D36" s="3694"/>
      <c r="E36" s="3461"/>
    </row>
    <row r="37" spans="1:5">
      <c r="A37" s="3465" t="s">
        <v>1273</v>
      </c>
      <c r="B37" s="3466">
        <v>225</v>
      </c>
      <c r="C37" s="3695"/>
      <c r="D37" s="3696"/>
      <c r="E37" s="3461"/>
    </row>
    <row r="38" spans="1:5">
      <c r="A38" s="3465" t="s">
        <v>1276</v>
      </c>
      <c r="B38" s="3466">
        <v>230</v>
      </c>
      <c r="C38" s="3695"/>
      <c r="D38" s="3696"/>
      <c r="E38" s="3461"/>
    </row>
    <row r="39" spans="1:5">
      <c r="A39" s="3637" t="s">
        <v>59</v>
      </c>
      <c r="B39" s="3464">
        <v>232</v>
      </c>
      <c r="C39" s="3695">
        <v>23443</v>
      </c>
      <c r="D39" s="3694">
        <v>21401</v>
      </c>
      <c r="E39" s="3461"/>
    </row>
    <row r="40" spans="1:5">
      <c r="A40" s="3463" t="s">
        <v>1288</v>
      </c>
      <c r="B40" s="3464">
        <v>235</v>
      </c>
      <c r="C40" s="3695">
        <v>3164</v>
      </c>
      <c r="D40" s="3694">
        <v>9404</v>
      </c>
      <c r="E40" s="3461"/>
    </row>
    <row r="41" spans="1:5">
      <c r="A41" s="3463" t="s">
        <v>1292</v>
      </c>
      <c r="B41" s="3464">
        <v>240</v>
      </c>
      <c r="C41" s="3695"/>
      <c r="D41" s="3694">
        <v>10000</v>
      </c>
      <c r="E41" s="3461"/>
    </row>
    <row r="42" spans="1:5">
      <c r="A42" s="3465" t="s">
        <v>1293</v>
      </c>
      <c r="B42" s="3466">
        <v>245</v>
      </c>
      <c r="C42" s="3695">
        <v>2301</v>
      </c>
      <c r="D42" s="3696">
        <v>1470</v>
      </c>
      <c r="E42" s="3461"/>
    </row>
    <row r="43" spans="1:5">
      <c r="A43" s="3467" t="s">
        <v>694</v>
      </c>
      <c r="B43" s="3468"/>
      <c r="C43" s="3469"/>
      <c r="D43" s="3553"/>
      <c r="E43" s="3469"/>
    </row>
    <row r="44" spans="1:5">
      <c r="A44" s="3470" t="s">
        <v>1268</v>
      </c>
      <c r="B44" s="3471"/>
      <c r="C44" s="3469"/>
      <c r="D44" s="3554"/>
      <c r="E44" s="3469"/>
    </row>
    <row r="45" spans="1:5">
      <c r="A45" s="3472" t="s">
        <v>677</v>
      </c>
      <c r="B45" s="3473">
        <v>250</v>
      </c>
      <c r="C45" s="3697"/>
      <c r="D45" s="3698"/>
      <c r="E45" s="3469"/>
    </row>
    <row r="46" spans="1:5">
      <c r="A46" s="3474" t="s">
        <v>1271</v>
      </c>
      <c r="B46" s="3475"/>
      <c r="C46" s="3469"/>
      <c r="D46" s="3554"/>
      <c r="E46" s="3469"/>
    </row>
    <row r="47" spans="1:5">
      <c r="A47" s="3476" t="s">
        <v>353</v>
      </c>
      <c r="B47" s="3477">
        <v>255</v>
      </c>
      <c r="C47" s="3699"/>
      <c r="D47" s="3807"/>
      <c r="E47" s="3469"/>
    </row>
    <row r="48" spans="1:5">
      <c r="A48" s="3472" t="s">
        <v>1273</v>
      </c>
      <c r="B48" s="3473">
        <v>260</v>
      </c>
      <c r="C48" s="3700"/>
      <c r="D48" s="3802"/>
      <c r="E48" s="3469"/>
    </row>
    <row r="49" spans="1:5">
      <c r="A49" s="3478" t="s">
        <v>1276</v>
      </c>
      <c r="B49" s="3479">
        <v>265</v>
      </c>
      <c r="C49" s="3700"/>
      <c r="D49" s="3802"/>
      <c r="E49" s="3469"/>
    </row>
    <row r="50" spans="1:5">
      <c r="A50" s="3478" t="s">
        <v>1288</v>
      </c>
      <c r="B50" s="3479">
        <v>270</v>
      </c>
      <c r="C50" s="3700"/>
      <c r="D50" s="3802"/>
      <c r="E50" s="3469"/>
    </row>
    <row r="51" spans="1:5">
      <c r="A51" s="3472" t="s">
        <v>728</v>
      </c>
      <c r="B51" s="3473">
        <v>275</v>
      </c>
      <c r="C51" s="3700"/>
      <c r="D51" s="3802"/>
      <c r="E51" s="3469"/>
    </row>
    <row r="52" spans="1:5">
      <c r="A52" s="3478" t="s">
        <v>1293</v>
      </c>
      <c r="B52" s="3479">
        <v>280</v>
      </c>
      <c r="C52" s="3700"/>
      <c r="D52" s="3802"/>
      <c r="E52" s="3482"/>
    </row>
    <row r="53" spans="1:5">
      <c r="A53" s="3480" t="s">
        <v>1363</v>
      </c>
      <c r="B53" s="3526" t="s">
        <v>1364</v>
      </c>
      <c r="C53" s="3640">
        <f>SUM(C31:C52)</f>
        <v>28908</v>
      </c>
      <c r="D53" s="3481">
        <f>SUM(D31:D52)</f>
        <v>42275</v>
      </c>
      <c r="E53" s="3481"/>
    </row>
    <row r="54" spans="1:5" ht="15">
      <c r="A54" s="3483"/>
      <c r="B54" s="3483"/>
      <c r="C54" s="3483"/>
      <c r="D54" s="3483"/>
      <c r="E54" s="3483"/>
    </row>
  </sheetData>
  <sheetProtection algorithmName="SHA-512" hashValue="XSsqzBsGtwyHcdfeGNiC6LWwqh3GpQOE7lD8m27I26fs4j712cR+QjX7JvPmAXD0uYlNzlJPPwXGr0M9BvyjOg==" saltValue="rGCi/W5UgOGkLJ7gko7IWQ==" spinCount="100000" sheet="1" objects="1" scenarios="1"/>
  <mergeCells count="3">
    <mergeCell ref="A21:E21"/>
    <mergeCell ref="A23:E23"/>
    <mergeCell ref="A25:E25"/>
  </mergeCells>
  <dataValidations count="2">
    <dataValidation type="whole" operator="greaterThanOrEqual" showInputMessage="1" showErrorMessage="1" errorTitle="Invalid beginning cash balance" error="Please enter a number or press the delete key or enter zero." sqref="C9:D9">
      <formula1>-1000000000</formula1>
    </dataValidation>
    <dataValidation type="whole" operator="greaterThanOrEqual" showInputMessage="1" showErrorMessage="1" errorTitle="Invalid Data Entry" error="Please enter a positive number or press the delete key or enter zero." sqref="C16:D16 C10:D10 C47:E52 C45:E45 C33:E34 C36:E43 C13:D14">
      <formula1>0</formula1>
    </dataValidation>
  </dataValidations>
  <hyperlinks>
    <hyperlink ref="F1" location="Contents!F1" display="Return to Contents page"/>
  </hyperlinks>
  <pageMargins left="0.7" right="0.7" top="0.5" bottom="0.5" header="0.3" footer="0.3"/>
  <pageSetup orientation="portrait" blackAndWhite="1" r:id="rId1"/>
  <headerFooter>
    <oddFooter>&amp;L&amp;D  &amp;T&amp;CCode No. 56&amp;RPage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6" tint="-0.249977111117893"/>
  </sheetPr>
  <dimension ref="A1:G34"/>
  <sheetViews>
    <sheetView zoomScaleNormal="100" workbookViewId="0">
      <selection activeCell="C18" sqref="C18"/>
    </sheetView>
  </sheetViews>
  <sheetFormatPr defaultRowHeight="12.75"/>
  <cols>
    <col min="1" max="1" width="11" style="4427" customWidth="1"/>
    <col min="2" max="2" width="38.85546875" style="4427" customWidth="1"/>
    <col min="3" max="4" width="17.42578125" style="4427" customWidth="1"/>
    <col min="5" max="5" width="3.42578125" style="4427" customWidth="1"/>
    <col min="6" max="6" width="21.28515625" style="4427" customWidth="1"/>
    <col min="7" max="16384" width="9.140625" style="4427"/>
  </cols>
  <sheetData>
    <row r="1" spans="1:6">
      <c r="C1" s="4428" t="s">
        <v>1019</v>
      </c>
      <c r="D1" s="4429">
        <f>OPEN!$B$4</f>
        <v>270</v>
      </c>
      <c r="F1" s="4288" t="s">
        <v>866</v>
      </c>
    </row>
    <row r="3" spans="1:6" ht="13.5" thickBot="1">
      <c r="A3" s="5259" t="s">
        <v>2093</v>
      </c>
      <c r="B3" s="5259"/>
      <c r="C3" s="5259"/>
      <c r="D3" s="5259"/>
      <c r="E3" s="4430"/>
      <c r="F3" s="4431"/>
    </row>
    <row r="5" spans="1:6">
      <c r="B5" s="5257" t="s">
        <v>1152</v>
      </c>
      <c r="C5" s="5260" t="s">
        <v>2094</v>
      </c>
      <c r="D5" s="4434"/>
    </row>
    <row r="6" spans="1:6" ht="29.25" customHeight="1">
      <c r="B6" s="5258"/>
      <c r="C6" s="5261"/>
      <c r="D6" s="4435"/>
    </row>
    <row r="7" spans="1:6" ht="27" customHeight="1">
      <c r="B7" s="4436" t="s">
        <v>2095</v>
      </c>
      <c r="C7" s="4438">
        <f>'C013'!$E$178</f>
        <v>0</v>
      </c>
      <c r="D7" s="4439"/>
    </row>
    <row r="8" spans="1:6" ht="27" customHeight="1">
      <c r="B8" s="4436" t="s">
        <v>2096</v>
      </c>
      <c r="C8" s="4438">
        <f>'C014'!$E$179</f>
        <v>0</v>
      </c>
      <c r="D8" s="4439"/>
    </row>
    <row r="9" spans="1:6" ht="27" customHeight="1">
      <c r="B9" s="4436" t="s">
        <v>2097</v>
      </c>
      <c r="C9" s="4438">
        <f>'C053'!$E$260</f>
        <v>0</v>
      </c>
      <c r="D9" s="4439"/>
    </row>
    <row r="10" spans="1:6" ht="27" customHeight="1">
      <c r="B10" s="4436" t="s">
        <v>2098</v>
      </c>
      <c r="C10" s="4438">
        <f>'C018'!$E$182</f>
        <v>0</v>
      </c>
      <c r="D10" s="4439"/>
    </row>
    <row r="11" spans="1:6" ht="27" customHeight="1">
      <c r="B11" s="4436" t="s">
        <v>2099</v>
      </c>
      <c r="C11" s="4438">
        <f>'C028'!$E$107</f>
        <v>0</v>
      </c>
      <c r="D11" s="4439"/>
    </row>
    <row r="12" spans="1:6" ht="27" customHeight="1">
      <c r="B12" s="4436" t="s">
        <v>2100</v>
      </c>
      <c r="C12" s="4438">
        <f>'C011'!$E$179</f>
        <v>0</v>
      </c>
      <c r="D12" s="4439"/>
    </row>
    <row r="13" spans="1:6" ht="27" customHeight="1">
      <c r="B13" s="4436" t="s">
        <v>2101</v>
      </c>
      <c r="C13" s="4438">
        <f>'C026'!$E$79</f>
        <v>0</v>
      </c>
      <c r="D13" s="4439"/>
    </row>
    <row r="14" spans="1:6" ht="27" customHeight="1">
      <c r="B14" s="4436" t="s">
        <v>2102</v>
      </c>
      <c r="C14" s="4438">
        <f>'C029'!$E$183</f>
        <v>0</v>
      </c>
      <c r="D14" s="4439"/>
    </row>
    <row r="15" spans="1:6" ht="27" customHeight="1">
      <c r="B15" s="4436" t="s">
        <v>2103</v>
      </c>
      <c r="C15" s="4438">
        <f>'C015'!$E$174</f>
        <v>0</v>
      </c>
      <c r="D15" s="4439"/>
    </row>
    <row r="16" spans="1:6" ht="27" customHeight="1">
      <c r="B16" s="4436" t="s">
        <v>2104</v>
      </c>
      <c r="C16" s="4438">
        <f>'C034'!$E$186</f>
        <v>0</v>
      </c>
      <c r="D16" s="4439"/>
    </row>
    <row r="17" spans="1:7" ht="27" customHeight="1">
      <c r="B17" s="5192" t="s">
        <v>2105</v>
      </c>
      <c r="C17" s="4438">
        <f>'C055'!$E$40</f>
        <v>0</v>
      </c>
      <c r="D17" s="4439"/>
    </row>
    <row r="18" spans="1:7" ht="27" customHeight="1">
      <c r="B18" s="4440" t="s">
        <v>2592</v>
      </c>
      <c r="C18" s="5191">
        <f>'C047'!E45</f>
        <v>0</v>
      </c>
      <c r="D18" s="4439"/>
      <c r="F18" s="5195"/>
    </row>
    <row r="19" spans="1:7" ht="30" customHeight="1">
      <c r="B19" s="5193" t="s">
        <v>1121</v>
      </c>
      <c r="C19" s="4441">
        <f>SUM(C7:C18)</f>
        <v>0</v>
      </c>
      <c r="D19" s="4442"/>
      <c r="F19" s="5195" t="s">
        <v>2612</v>
      </c>
    </row>
    <row r="20" spans="1:7" hidden="1">
      <c r="E20" s="4443"/>
      <c r="F20" s="4444">
        <f>COUNTIF(D7:D17,"CK")</f>
        <v>0</v>
      </c>
      <c r="G20" s="4432" t="s">
        <v>2106</v>
      </c>
    </row>
    <row r="21" spans="1:7" hidden="1"/>
    <row r="22" spans="1:7" hidden="1">
      <c r="A22" s="4433" t="s">
        <v>2107</v>
      </c>
      <c r="B22" s="4433" t="s">
        <v>2108</v>
      </c>
    </row>
    <row r="23" spans="1:7" hidden="1">
      <c r="B23" s="4433" t="str">
        <f>"the general fund?  [$" &amp; OPEN!$N$7 &amp; " x adj. (weighted) FTE enrollment, excluding special education]"</f>
        <v>the general fund?  [$ x adj. (weighted) FTE enrollment, excluding special education]</v>
      </c>
      <c r="E23" s="4445"/>
      <c r="F23" s="4446"/>
    </row>
    <row r="24" spans="1:7" hidden="1"/>
    <row r="25" spans="1:7" hidden="1">
      <c r="A25" s="4433" t="s">
        <v>2109</v>
      </c>
      <c r="B25" s="4433" t="str">
        <f>"The amount to be transferred to the general fund for the "&amp;OPEN!$P$4&amp;" school year"</f>
        <v>The amount to be transferred to the general fund for the 2016-2017 school year</v>
      </c>
    </row>
    <row r="26" spans="1:7" hidden="1">
      <c r="B26" s="4433" t="s">
        <v>2110</v>
      </c>
    </row>
    <row r="27" spans="1:7" hidden="1">
      <c r="B27" s="4433"/>
    </row>
    <row r="28" spans="1:7" hidden="1">
      <c r="B28" s="4448" t="s">
        <v>2111</v>
      </c>
      <c r="E28" s="4447"/>
      <c r="F28" s="4449" t="e">
        <f>IF(F20&gt;0,"Error on transfer to general above",IF(AND(C19&gt;#REF!,C19&lt;&gt;0),"Lower transfers to general in a fund so that you are not over the maximum amount in Line #2.",""))</f>
        <v>#REF!</v>
      </c>
    </row>
    <row r="29" spans="1:7" hidden="1">
      <c r="B29" s="4450"/>
    </row>
    <row r="30" spans="1:7" hidden="1">
      <c r="B30" s="4451" t="s">
        <v>2112</v>
      </c>
    </row>
    <row r="31" spans="1:7" hidden="1">
      <c r="B31" s="4451" t="s">
        <v>2113</v>
      </c>
    </row>
    <row r="32" spans="1:7" hidden="1"/>
    <row r="33" spans="1:4" hidden="1">
      <c r="A33" s="4452"/>
      <c r="B33" s="4453" t="s">
        <v>2114</v>
      </c>
      <c r="C33" s="4452"/>
      <c r="D33" s="4452"/>
    </row>
    <row r="34" spans="1:4" hidden="1">
      <c r="A34" s="4452"/>
      <c r="B34" s="4454"/>
      <c r="C34" s="4452"/>
      <c r="D34" s="4452"/>
    </row>
  </sheetData>
  <sheetProtection algorithmName="SHA-512" hashValue="4ltWURNBsBk1fZHCadTzJGZ2bV6FdRC0tWlZivDlCRx5jY8VSxM9Q3ypiEqa2IREJ+R9YqzMcrtOJUgIWVy/XQ==" saltValue="SQdQeAGYaetEGprckMnYdQ==" spinCount="100000" sheet="1" objects="1" scenarios="1"/>
  <mergeCells count="3">
    <mergeCell ref="B5:B6"/>
    <mergeCell ref="A3:D3"/>
    <mergeCell ref="C5:C6"/>
  </mergeCells>
  <hyperlinks>
    <hyperlink ref="F1" location="Contents!A1" display="Return to Contents page"/>
  </hyperlinks>
  <printOptions horizontalCentered="1"/>
  <pageMargins left="0.7" right="0.7" top="0.5" bottom="0.75" header="0.3" footer="0.3"/>
  <pageSetup scale="88" orientation="portrait" blackAndWhite="1" r:id="rId1"/>
  <headerFooter>
    <oddFooter>&amp;L&amp;D  &amp;T&amp;CForm 149&amp;RPage &amp;P</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4" tint="0.39997558519241921"/>
  </sheetPr>
  <dimension ref="A1:S210"/>
  <sheetViews>
    <sheetView zoomScaleNormal="100" workbookViewId="0">
      <selection activeCell="C9" sqref="C9"/>
    </sheetView>
  </sheetViews>
  <sheetFormatPr defaultColWidth="10.7109375" defaultRowHeight="12.6" customHeight="1"/>
  <cols>
    <col min="1" max="1" width="44.7109375" style="322" customWidth="1"/>
    <col min="2" max="2" width="5.28515625" style="402" customWidth="1"/>
    <col min="3" max="3" width="14.140625" style="319" customWidth="1"/>
    <col min="4" max="4" width="14" style="319" customWidth="1"/>
    <col min="5" max="5" width="13.7109375" style="319" customWidth="1"/>
    <col min="6" max="6" width="2.5703125" style="319" customWidth="1"/>
    <col min="7" max="7" width="20.85546875" style="319" customWidth="1"/>
    <col min="8" max="8" width="16" style="319" customWidth="1"/>
    <col min="9" max="9" width="20.5703125" style="319" customWidth="1"/>
    <col min="10" max="10" width="18.42578125" style="319" customWidth="1"/>
    <col min="11" max="16384" width="10.7109375" style="319"/>
  </cols>
  <sheetData>
    <row r="1" spans="1:19" ht="12.6" customHeight="1">
      <c r="A1" s="314"/>
      <c r="B1" s="315" t="s">
        <v>1019</v>
      </c>
      <c r="C1" s="2856">
        <f>OPEN!B4</f>
        <v>270</v>
      </c>
      <c r="D1" s="314"/>
      <c r="E1" s="317" t="s">
        <v>1020</v>
      </c>
      <c r="F1" s="318"/>
      <c r="G1" s="3013" t="s">
        <v>866</v>
      </c>
      <c r="H1" s="2861"/>
      <c r="I1" s="318"/>
      <c r="J1" s="318"/>
      <c r="S1" s="319" t="s">
        <v>1252</v>
      </c>
    </row>
    <row r="2" spans="1:19" ht="12.6" customHeight="1">
      <c r="A2" s="314"/>
      <c r="B2" s="315"/>
      <c r="C2" s="314"/>
      <c r="D2" s="314"/>
      <c r="E2" s="317" t="s">
        <v>1212</v>
      </c>
      <c r="F2" s="318"/>
      <c r="G2" s="318"/>
      <c r="H2" s="318"/>
      <c r="I2" s="318"/>
      <c r="J2" s="318"/>
    </row>
    <row r="3" spans="1:19" ht="12.6" customHeight="1">
      <c r="A3" s="314"/>
      <c r="B3" s="315"/>
      <c r="C3" s="314"/>
      <c r="D3" s="314"/>
      <c r="E3" s="317" t="str">
        <f>OPEN!N2</f>
        <v>2016-2017</v>
      </c>
      <c r="F3" s="318"/>
      <c r="G3" s="318"/>
      <c r="H3" s="318"/>
      <c r="I3" s="318"/>
      <c r="J3" s="318"/>
    </row>
    <row r="4" spans="1:19" ht="12.75" customHeight="1">
      <c r="A4" s="314"/>
      <c r="B4" s="315"/>
      <c r="C4" s="314"/>
      <c r="D4" s="314"/>
      <c r="E4" s="314"/>
      <c r="F4" s="318"/>
      <c r="G4" s="318"/>
      <c r="H4" s="318"/>
      <c r="I4" s="318"/>
      <c r="J4" s="318"/>
    </row>
    <row r="5" spans="1:19" ht="12.6" customHeight="1">
      <c r="A5" s="314"/>
      <c r="B5" s="315"/>
      <c r="C5" s="320" t="s">
        <v>1213</v>
      </c>
      <c r="D5" s="320" t="s">
        <v>1213</v>
      </c>
      <c r="E5" s="320" t="s">
        <v>1213</v>
      </c>
      <c r="F5" s="318"/>
      <c r="G5" s="318"/>
      <c r="H5" s="318"/>
      <c r="I5" s="318"/>
      <c r="J5" s="318"/>
      <c r="N5" s="321"/>
      <c r="O5" s="322"/>
      <c r="P5" s="322"/>
      <c r="Q5" s="322"/>
      <c r="R5" s="322"/>
    </row>
    <row r="6" spans="1:19" ht="12.6" customHeight="1">
      <c r="A6" s="314"/>
      <c r="B6" s="323" t="s">
        <v>1045</v>
      </c>
      <c r="C6" s="324" t="str">
        <f>OPEN!N4</f>
        <v>2014-2015</v>
      </c>
      <c r="D6" s="324" t="str">
        <f>OPEN!O4</f>
        <v>2015-2016</v>
      </c>
      <c r="E6" s="324" t="str">
        <f>OPEN!P4</f>
        <v>2016-2017</v>
      </c>
      <c r="F6" s="318"/>
      <c r="G6" s="318"/>
      <c r="H6" s="318"/>
      <c r="I6" s="318"/>
      <c r="J6" s="318"/>
      <c r="K6" s="322"/>
      <c r="L6" s="322"/>
      <c r="M6" s="322"/>
      <c r="N6" s="322"/>
      <c r="O6" s="325"/>
      <c r="P6" s="325"/>
      <c r="Q6" s="325"/>
      <c r="R6" s="322"/>
    </row>
    <row r="7" spans="1:19" ht="12.6" customHeight="1">
      <c r="A7" s="326" t="s">
        <v>1253</v>
      </c>
      <c r="B7" s="327">
        <v>57</v>
      </c>
      <c r="C7" s="328" t="s">
        <v>1139</v>
      </c>
      <c r="D7" s="328" t="s">
        <v>1139</v>
      </c>
      <c r="E7" s="328" t="s">
        <v>1215</v>
      </c>
      <c r="F7" s="318"/>
      <c r="G7" s="318"/>
      <c r="H7" s="318"/>
      <c r="I7" s="318"/>
      <c r="J7" s="318"/>
      <c r="N7" s="322"/>
      <c r="O7" s="325"/>
      <c r="P7" s="325"/>
      <c r="Q7" s="325"/>
      <c r="R7" s="322"/>
    </row>
    <row r="8" spans="1:19" ht="12.6" customHeight="1">
      <c r="A8" s="2866" t="s">
        <v>1685</v>
      </c>
      <c r="B8" s="330" t="s">
        <v>1051</v>
      </c>
      <c r="C8" s="331">
        <v>1</v>
      </c>
      <c r="D8" s="331">
        <v>2</v>
      </c>
      <c r="E8" s="331">
        <v>3</v>
      </c>
      <c r="F8" s="318"/>
      <c r="G8" s="318"/>
      <c r="H8" s="318"/>
      <c r="I8" s="318"/>
      <c r="J8" s="318"/>
      <c r="N8" s="322"/>
      <c r="O8" s="325"/>
      <c r="P8" s="325"/>
      <c r="Q8" s="325"/>
      <c r="R8" s="322"/>
    </row>
    <row r="9" spans="1:19" s="337" customFormat="1" ht="11.25" customHeight="1">
      <c r="A9" s="332" t="s">
        <v>1218</v>
      </c>
      <c r="B9" s="333">
        <v>1</v>
      </c>
      <c r="C9" s="2568"/>
      <c r="D9" s="335">
        <f>C19</f>
        <v>0</v>
      </c>
      <c r="E9" s="2844">
        <f>D19</f>
        <v>0</v>
      </c>
      <c r="F9" s="336"/>
      <c r="G9" s="336"/>
      <c r="H9" s="336"/>
      <c r="I9" s="336"/>
      <c r="J9" s="336"/>
      <c r="N9" s="338"/>
      <c r="O9" s="339"/>
      <c r="P9" s="339"/>
      <c r="Q9" s="339"/>
      <c r="R9" s="338"/>
    </row>
    <row r="10" spans="1:19" s="337" customFormat="1" ht="11.25" customHeight="1">
      <c r="A10" s="343" t="s">
        <v>1219</v>
      </c>
      <c r="B10" s="344">
        <v>3</v>
      </c>
      <c r="C10" s="2845"/>
      <c r="D10" s="2846"/>
      <c r="E10" s="352"/>
      <c r="F10" s="336"/>
      <c r="G10" s="336"/>
      <c r="H10" s="336"/>
      <c r="I10" s="336"/>
      <c r="J10" s="336"/>
      <c r="N10" s="350"/>
      <c r="O10" s="338"/>
      <c r="P10" s="338"/>
      <c r="Q10" s="338"/>
    </row>
    <row r="11" spans="1:19" s="337" customFormat="1" ht="11.25" customHeight="1">
      <c r="A11" s="2847" t="s">
        <v>1221</v>
      </c>
      <c r="B11" s="2848"/>
      <c r="C11" s="342"/>
      <c r="D11" s="2849"/>
      <c r="E11" s="353"/>
      <c r="F11" s="336"/>
      <c r="G11" s="336"/>
      <c r="H11" s="336"/>
      <c r="I11" s="336"/>
      <c r="J11" s="336"/>
      <c r="N11" s="338"/>
      <c r="O11" s="351"/>
      <c r="P11" s="351"/>
      <c r="Q11" s="351"/>
    </row>
    <row r="12" spans="1:19" s="337" customFormat="1" ht="11.25" customHeight="1">
      <c r="A12" s="354" t="s">
        <v>1228</v>
      </c>
      <c r="B12" s="2850">
        <v>10</v>
      </c>
      <c r="C12" s="358"/>
      <c r="D12" s="2573"/>
      <c r="E12" s="358"/>
      <c r="F12" s="336"/>
      <c r="G12" s="336"/>
      <c r="H12" s="336"/>
      <c r="I12" s="336"/>
      <c r="J12" s="336"/>
    </row>
    <row r="13" spans="1:19" s="337" customFormat="1" ht="11.25" customHeight="1">
      <c r="A13" s="343" t="s">
        <v>1233</v>
      </c>
      <c r="B13" s="344"/>
      <c r="C13" s="353"/>
      <c r="D13" s="345"/>
      <c r="E13" s="353"/>
      <c r="F13" s="336"/>
      <c r="G13" s="336"/>
      <c r="H13" s="336"/>
      <c r="I13" s="336"/>
      <c r="J13" s="336"/>
    </row>
    <row r="14" spans="1:19" s="337" customFormat="1" ht="11.25" customHeight="1">
      <c r="A14" s="343" t="s">
        <v>1850</v>
      </c>
      <c r="B14" s="2850">
        <v>95</v>
      </c>
      <c r="C14" s="358"/>
      <c r="D14" s="358"/>
      <c r="E14" s="358"/>
      <c r="F14" s="336"/>
      <c r="G14" s="336"/>
      <c r="H14" s="357"/>
      <c r="I14" s="357"/>
      <c r="J14" s="336"/>
    </row>
    <row r="15" spans="1:19" s="337" customFormat="1" ht="11.25" customHeight="1">
      <c r="A15" s="340" t="s">
        <v>1237</v>
      </c>
      <c r="B15" s="2695"/>
      <c r="C15" s="2851"/>
      <c r="D15" s="2851"/>
      <c r="E15" s="2851"/>
      <c r="F15" s="336"/>
      <c r="G15" s="336"/>
      <c r="H15" s="336"/>
      <c r="I15" s="336"/>
      <c r="J15" s="336"/>
    </row>
    <row r="16" spans="1:19" s="337" customFormat="1" ht="11.25" customHeight="1">
      <c r="A16" s="346" t="s">
        <v>1238</v>
      </c>
      <c r="B16" s="2852">
        <v>140</v>
      </c>
      <c r="C16" s="358"/>
      <c r="D16" s="348"/>
      <c r="E16" s="358"/>
      <c r="F16" s="336"/>
      <c r="G16" s="336"/>
      <c r="H16" s="336"/>
      <c r="I16" s="336"/>
      <c r="J16" s="336"/>
    </row>
    <row r="17" spans="1:12" s="337" customFormat="1" ht="11.25" customHeight="1">
      <c r="A17" s="2853" t="s">
        <v>1245</v>
      </c>
      <c r="B17" s="333">
        <v>170</v>
      </c>
      <c r="C17" s="2570">
        <f>SUM(C9:C16)</f>
        <v>0</v>
      </c>
      <c r="D17" s="349">
        <f>SUM(D9:D16)</f>
        <v>0</v>
      </c>
      <c r="E17" s="356">
        <f>SUM(E9:E16)</f>
        <v>0</v>
      </c>
      <c r="F17" s="336"/>
      <c r="G17" s="336"/>
      <c r="H17" s="360"/>
      <c r="I17" s="363"/>
      <c r="J17" s="357"/>
    </row>
    <row r="18" spans="1:12" s="337" customFormat="1" ht="11.25" customHeight="1">
      <c r="A18" s="332" t="s">
        <v>1248</v>
      </c>
      <c r="B18" s="333">
        <v>175</v>
      </c>
      <c r="C18" s="2570">
        <f>C196</f>
        <v>0</v>
      </c>
      <c r="D18" s="335">
        <f>D196</f>
        <v>0</v>
      </c>
      <c r="E18" s="2570">
        <f>IF(E196&lt;=E17,E196,"ERROR")</f>
        <v>0</v>
      </c>
      <c r="F18" s="336"/>
      <c r="G18" s="3106" t="str">
        <f>IF(E18="ERROR","Expenditures must be less than or equal to the Resources Available","")</f>
        <v/>
      </c>
      <c r="H18" s="360"/>
      <c r="I18" s="363"/>
      <c r="J18" s="357"/>
    </row>
    <row r="19" spans="1:12" s="337" customFormat="1" ht="11.25" customHeight="1">
      <c r="A19" s="332" t="s">
        <v>1250</v>
      </c>
      <c r="B19" s="333">
        <v>190</v>
      </c>
      <c r="C19" s="2570">
        <f>C17-C18</f>
        <v>0</v>
      </c>
      <c r="D19" s="2570">
        <f>D17-D18</f>
        <v>0</v>
      </c>
      <c r="E19" s="2854">
        <f>IF(ISERROR(E17-E18),"NEGATIVE",E17-E18)</f>
        <v>0</v>
      </c>
      <c r="F19" s="364"/>
      <c r="G19" s="336"/>
      <c r="H19" s="336"/>
      <c r="I19" s="365"/>
      <c r="J19" s="336"/>
      <c r="K19" s="336"/>
      <c r="L19" s="336"/>
    </row>
    <row r="20" spans="1:12" ht="13.5" customHeight="1">
      <c r="A20" s="314"/>
      <c r="B20" s="314"/>
      <c r="C20" s="314"/>
      <c r="D20" s="314"/>
      <c r="E20" s="314"/>
      <c r="F20" s="318"/>
      <c r="G20" s="318"/>
      <c r="H20" s="318"/>
      <c r="I20" s="314"/>
      <c r="J20" s="318"/>
      <c r="K20" s="318"/>
      <c r="L20" s="318"/>
    </row>
    <row r="21" spans="1:12" ht="12" customHeight="1">
      <c r="A21" s="314"/>
      <c r="B21" s="315"/>
      <c r="C21" s="314"/>
      <c r="D21" s="314"/>
      <c r="E21" s="314"/>
      <c r="F21" s="318"/>
      <c r="G21" s="318"/>
      <c r="H21" s="318"/>
      <c r="I21" s="318"/>
      <c r="J21" s="318"/>
    </row>
    <row r="22" spans="1:12" ht="12.6" customHeight="1">
      <c r="A22" s="314"/>
      <c r="B22" s="315"/>
      <c r="C22" s="320" t="s">
        <v>1213</v>
      </c>
      <c r="D22" s="320" t="s">
        <v>1213</v>
      </c>
      <c r="E22" s="320" t="s">
        <v>1213</v>
      </c>
      <c r="F22" s="318"/>
      <c r="G22" s="318"/>
      <c r="H22" s="318"/>
      <c r="I22" s="318"/>
      <c r="J22" s="318"/>
    </row>
    <row r="23" spans="1:12" ht="12.6" customHeight="1">
      <c r="A23" s="314"/>
      <c r="B23" s="323" t="s">
        <v>1045</v>
      </c>
      <c r="C23" s="324" t="str">
        <f>C6</f>
        <v>2014-2015</v>
      </c>
      <c r="D23" s="324" t="str">
        <f>D6</f>
        <v>2015-2016</v>
      </c>
      <c r="E23" s="324" t="str">
        <f>E6</f>
        <v>2016-2017</v>
      </c>
      <c r="F23" s="318"/>
      <c r="G23" s="318"/>
      <c r="H23" s="318"/>
      <c r="I23" s="318"/>
      <c r="J23" s="318"/>
    </row>
    <row r="24" spans="1:12" ht="12.6" customHeight="1">
      <c r="A24" s="326" t="s">
        <v>1254</v>
      </c>
      <c r="B24" s="327">
        <v>57</v>
      </c>
      <c r="C24" s="328" t="s">
        <v>1139</v>
      </c>
      <c r="D24" s="328" t="s">
        <v>1139</v>
      </c>
      <c r="E24" s="328" t="s">
        <v>1215</v>
      </c>
      <c r="F24" s="318"/>
      <c r="G24" s="318"/>
      <c r="H24" s="318"/>
      <c r="I24" s="318"/>
      <c r="J24" s="318"/>
    </row>
    <row r="25" spans="1:12" ht="12.6" customHeight="1">
      <c r="A25" s="329"/>
      <c r="B25" s="330" t="s">
        <v>1051</v>
      </c>
      <c r="C25" s="331">
        <v>1</v>
      </c>
      <c r="D25" s="331">
        <v>2</v>
      </c>
      <c r="E25" s="331">
        <v>3</v>
      </c>
      <c r="F25" s="318"/>
      <c r="G25" s="318"/>
      <c r="H25" s="318"/>
      <c r="I25" s="318"/>
      <c r="J25" s="318"/>
    </row>
    <row r="26" spans="1:12" ht="12.6" customHeight="1">
      <c r="A26" s="375" t="s">
        <v>1267</v>
      </c>
      <c r="B26" s="376"/>
      <c r="C26" s="377"/>
      <c r="D26" s="387"/>
      <c r="E26" s="377"/>
      <c r="F26" s="318"/>
      <c r="G26" s="318"/>
      <c r="H26" s="318"/>
      <c r="I26" s="318"/>
      <c r="J26" s="318"/>
    </row>
    <row r="27" spans="1:12" ht="12.6" customHeight="1">
      <c r="A27" s="378" t="s">
        <v>1268</v>
      </c>
      <c r="B27" s="379"/>
      <c r="C27" s="380"/>
      <c r="D27" s="391"/>
      <c r="E27" s="380"/>
      <c r="F27" s="318"/>
      <c r="G27" s="318"/>
      <c r="H27" s="318"/>
      <c r="I27" s="318"/>
      <c r="J27" s="318"/>
    </row>
    <row r="28" spans="1:12" ht="12.6" customHeight="1">
      <c r="A28" s="381" t="s">
        <v>1269</v>
      </c>
      <c r="B28" s="382">
        <v>210</v>
      </c>
      <c r="C28" s="383"/>
      <c r="D28" s="388"/>
      <c r="E28" s="383"/>
      <c r="F28" s="318"/>
      <c r="G28" s="318"/>
      <c r="H28" s="318"/>
      <c r="I28" s="318"/>
      <c r="J28" s="318"/>
    </row>
    <row r="29" spans="1:12" ht="12.6" customHeight="1">
      <c r="A29" s="384" t="s">
        <v>1270</v>
      </c>
      <c r="B29" s="385">
        <v>215</v>
      </c>
      <c r="C29" s="386"/>
      <c r="D29" s="389"/>
      <c r="E29" s="386"/>
      <c r="F29" s="318"/>
      <c r="G29" s="318"/>
      <c r="H29" s="318"/>
      <c r="I29" s="318"/>
      <c r="J29" s="318"/>
    </row>
    <row r="30" spans="1:12" ht="12.6" customHeight="1">
      <c r="A30" s="375" t="s">
        <v>1271</v>
      </c>
      <c r="B30" s="376"/>
      <c r="C30" s="377"/>
      <c r="D30" s="387"/>
      <c r="E30" s="377"/>
      <c r="F30" s="318"/>
      <c r="G30" s="318"/>
      <c r="H30" s="318"/>
      <c r="I30" s="318"/>
      <c r="J30" s="318"/>
    </row>
    <row r="31" spans="1:12" ht="12.6" customHeight="1">
      <c r="A31" s="381" t="s">
        <v>1272</v>
      </c>
      <c r="B31" s="382">
        <v>220</v>
      </c>
      <c r="C31" s="383"/>
      <c r="D31" s="388"/>
      <c r="E31" s="383"/>
      <c r="F31" s="318"/>
      <c r="G31" s="318"/>
      <c r="H31" s="318"/>
      <c r="I31" s="318"/>
      <c r="J31" s="318"/>
    </row>
    <row r="32" spans="1:12" ht="12.6" customHeight="1">
      <c r="A32" s="384" t="s">
        <v>1273</v>
      </c>
      <c r="B32" s="385">
        <v>225</v>
      </c>
      <c r="C32" s="386"/>
      <c r="D32" s="389"/>
      <c r="E32" s="386"/>
      <c r="F32" s="318"/>
      <c r="G32" s="318"/>
      <c r="H32" s="318"/>
      <c r="I32" s="318"/>
      <c r="J32" s="318"/>
    </row>
    <row r="33" spans="1:10" ht="12.6" customHeight="1">
      <c r="A33" s="384" t="s">
        <v>1276</v>
      </c>
      <c r="B33" s="385">
        <v>230</v>
      </c>
      <c r="C33" s="386"/>
      <c r="D33" s="389"/>
      <c r="E33" s="386"/>
      <c r="F33" s="318"/>
      <c r="G33" s="318"/>
      <c r="H33" s="318"/>
      <c r="I33" s="318"/>
      <c r="J33" s="318"/>
    </row>
    <row r="34" spans="1:10" ht="12.6" customHeight="1">
      <c r="A34" s="375" t="s">
        <v>1281</v>
      </c>
      <c r="B34" s="382">
        <v>235</v>
      </c>
      <c r="C34" s="2571"/>
      <c r="D34" s="390"/>
      <c r="E34" s="2571"/>
      <c r="F34" s="318"/>
      <c r="G34" s="318"/>
      <c r="H34" s="318"/>
      <c r="I34" s="318"/>
      <c r="J34" s="318"/>
    </row>
    <row r="35" spans="1:10" ht="12.6" customHeight="1">
      <c r="A35" s="2899" t="s">
        <v>711</v>
      </c>
      <c r="B35" s="2900">
        <v>237</v>
      </c>
      <c r="C35" s="2571"/>
      <c r="D35" s="390"/>
      <c r="E35" s="2571"/>
      <c r="F35" s="318"/>
      <c r="G35" s="318"/>
      <c r="H35" s="318"/>
      <c r="I35" s="318"/>
      <c r="J35" s="318"/>
    </row>
    <row r="36" spans="1:10" ht="12.6" customHeight="1">
      <c r="A36" s="375" t="s">
        <v>1282</v>
      </c>
      <c r="B36" s="376"/>
      <c r="C36" s="377"/>
      <c r="D36" s="387"/>
      <c r="E36" s="377"/>
      <c r="F36" s="318"/>
      <c r="G36" s="318"/>
      <c r="H36" s="318"/>
      <c r="I36" s="318"/>
      <c r="J36" s="318"/>
    </row>
    <row r="37" spans="1:10" ht="12.6" customHeight="1">
      <c r="A37" s="378" t="s">
        <v>1283</v>
      </c>
      <c r="B37" s="379"/>
      <c r="C37" s="380"/>
      <c r="D37" s="391"/>
      <c r="E37" s="380"/>
      <c r="F37" s="318"/>
      <c r="G37" s="318"/>
      <c r="H37" s="318"/>
      <c r="I37" s="318"/>
      <c r="J37" s="318"/>
    </row>
    <row r="38" spans="1:10" ht="12.6" customHeight="1">
      <c r="A38" s="381" t="s">
        <v>1284</v>
      </c>
      <c r="B38" s="382">
        <v>240</v>
      </c>
      <c r="C38" s="383"/>
      <c r="D38" s="388"/>
      <c r="E38" s="383"/>
      <c r="F38" s="318"/>
      <c r="G38" s="318"/>
      <c r="H38" s="318"/>
      <c r="I38" s="318"/>
      <c r="J38" s="318"/>
    </row>
    <row r="39" spans="1:10" ht="12.6" customHeight="1">
      <c r="A39" s="375" t="s">
        <v>1285</v>
      </c>
      <c r="B39" s="376">
        <v>245</v>
      </c>
      <c r="C39" s="2571"/>
      <c r="D39" s="390"/>
      <c r="E39" s="2571"/>
      <c r="F39" s="318"/>
      <c r="G39" s="318"/>
      <c r="H39" s="318"/>
      <c r="I39" s="318"/>
      <c r="J39" s="318"/>
    </row>
    <row r="40" spans="1:10" ht="12.6" customHeight="1">
      <c r="A40" s="384" t="s">
        <v>1286</v>
      </c>
      <c r="B40" s="385">
        <v>250</v>
      </c>
      <c r="C40" s="386"/>
      <c r="D40" s="389"/>
      <c r="E40" s="386"/>
      <c r="F40" s="318"/>
      <c r="G40" s="318"/>
      <c r="H40" s="318"/>
      <c r="I40" s="318"/>
      <c r="J40" s="318"/>
    </row>
    <row r="41" spans="1:10" ht="12.6" customHeight="1">
      <c r="A41" s="384" t="s">
        <v>1287</v>
      </c>
      <c r="B41" s="385">
        <v>255</v>
      </c>
      <c r="C41" s="386"/>
      <c r="D41" s="389"/>
      <c r="E41" s="386"/>
      <c r="F41" s="318"/>
      <c r="G41" s="318"/>
      <c r="H41" s="318"/>
      <c r="I41" s="318"/>
      <c r="J41" s="318"/>
    </row>
    <row r="42" spans="1:10" ht="12.6" customHeight="1">
      <c r="A42" s="378" t="s">
        <v>1288</v>
      </c>
      <c r="B42" s="379"/>
      <c r="C42" s="380"/>
      <c r="D42" s="391"/>
      <c r="E42" s="380"/>
      <c r="F42" s="318"/>
      <c r="G42" s="318"/>
      <c r="H42" s="318"/>
      <c r="I42" s="318"/>
      <c r="J42" s="318"/>
    </row>
    <row r="43" spans="1:10" ht="12.6" customHeight="1">
      <c r="A43" s="381" t="s">
        <v>1289</v>
      </c>
      <c r="B43" s="382">
        <v>260</v>
      </c>
      <c r="C43" s="383"/>
      <c r="D43" s="388"/>
      <c r="E43" s="383"/>
      <c r="F43" s="318"/>
      <c r="G43" s="318"/>
      <c r="H43" s="318"/>
      <c r="I43" s="318"/>
      <c r="J43" s="318"/>
    </row>
    <row r="44" spans="1:10" ht="12.6" customHeight="1">
      <c r="A44" s="384" t="s">
        <v>1290</v>
      </c>
      <c r="B44" s="385">
        <v>265</v>
      </c>
      <c r="C44" s="386"/>
      <c r="D44" s="389"/>
      <c r="E44" s="386"/>
      <c r="F44" s="318"/>
      <c r="G44" s="318"/>
      <c r="H44" s="318"/>
      <c r="I44" s="318"/>
      <c r="J44" s="318"/>
    </row>
    <row r="45" spans="1:10" ht="12.6" customHeight="1">
      <c r="A45" s="2901" t="s">
        <v>1257</v>
      </c>
      <c r="B45" s="2902">
        <v>267</v>
      </c>
      <c r="C45" s="386"/>
      <c r="D45" s="389"/>
      <c r="E45" s="386"/>
      <c r="F45" s="318"/>
      <c r="G45" s="318"/>
      <c r="H45" s="318"/>
      <c r="I45" s="318"/>
      <c r="J45" s="318"/>
    </row>
    <row r="46" spans="1:10" ht="12.6" customHeight="1">
      <c r="A46" s="384" t="s">
        <v>1291</v>
      </c>
      <c r="B46" s="385">
        <v>270</v>
      </c>
      <c r="C46" s="386"/>
      <c r="D46" s="389"/>
      <c r="E46" s="386"/>
      <c r="F46" s="318"/>
      <c r="G46" s="318"/>
      <c r="H46" s="318"/>
      <c r="I46" s="318"/>
      <c r="J46" s="318"/>
    </row>
    <row r="47" spans="1:10" ht="12.6" customHeight="1">
      <c r="A47" s="381" t="s">
        <v>1292</v>
      </c>
      <c r="B47" s="382">
        <v>275</v>
      </c>
      <c r="C47" s="383"/>
      <c r="D47" s="388"/>
      <c r="E47" s="383"/>
      <c r="F47" s="318"/>
      <c r="G47" s="318"/>
      <c r="H47" s="318"/>
      <c r="I47" s="318"/>
      <c r="J47" s="318"/>
    </row>
    <row r="48" spans="1:10" ht="12.6" customHeight="1">
      <c r="A48" s="384" t="s">
        <v>1293</v>
      </c>
      <c r="B48" s="385">
        <v>280</v>
      </c>
      <c r="C48" s="386"/>
      <c r="D48" s="389"/>
      <c r="E48" s="386"/>
      <c r="F48" s="318"/>
      <c r="G48" s="318"/>
      <c r="H48" s="318"/>
      <c r="I48" s="318"/>
      <c r="J48" s="318"/>
    </row>
    <row r="49" spans="1:10" ht="12.6" customHeight="1">
      <c r="A49" s="375" t="s">
        <v>1294</v>
      </c>
      <c r="B49" s="376"/>
      <c r="C49" s="377"/>
      <c r="D49" s="387"/>
      <c r="E49" s="377"/>
      <c r="F49" s="318"/>
      <c r="G49" s="318"/>
      <c r="H49" s="318"/>
      <c r="I49" s="318"/>
      <c r="J49" s="318"/>
    </row>
    <row r="50" spans="1:10" ht="12.6" customHeight="1">
      <c r="A50" s="378" t="s">
        <v>1295</v>
      </c>
      <c r="B50" s="379"/>
      <c r="C50" s="380"/>
      <c r="D50" s="391"/>
      <c r="E50" s="380"/>
      <c r="F50" s="318"/>
      <c r="G50" s="318"/>
      <c r="H50" s="318"/>
      <c r="I50" s="318"/>
      <c r="J50" s="318"/>
    </row>
    <row r="51" spans="1:10" ht="12.6" customHeight="1">
      <c r="A51" s="378" t="s">
        <v>1268</v>
      </c>
      <c r="B51" s="379"/>
      <c r="C51" s="380"/>
      <c r="D51" s="391"/>
      <c r="E51" s="380"/>
      <c r="F51" s="318"/>
      <c r="G51" s="318"/>
      <c r="H51" s="318"/>
      <c r="I51" s="318"/>
      <c r="J51" s="318"/>
    </row>
    <row r="52" spans="1:10" ht="12.6" customHeight="1">
      <c r="A52" s="381" t="s">
        <v>1269</v>
      </c>
      <c r="B52" s="382">
        <v>285</v>
      </c>
      <c r="C52" s="383"/>
      <c r="D52" s="388"/>
      <c r="E52" s="383"/>
      <c r="F52" s="318"/>
      <c r="G52" s="318"/>
      <c r="H52" s="318"/>
      <c r="I52" s="318"/>
      <c r="J52" s="318"/>
    </row>
    <row r="53" spans="1:10" ht="12.6" customHeight="1">
      <c r="A53" s="384" t="s">
        <v>1270</v>
      </c>
      <c r="B53" s="385">
        <v>290</v>
      </c>
      <c r="C53" s="386"/>
      <c r="D53" s="389"/>
      <c r="E53" s="386"/>
      <c r="F53" s="318"/>
      <c r="G53" s="318"/>
      <c r="H53" s="318"/>
      <c r="I53" s="318"/>
      <c r="J53" s="318"/>
    </row>
    <row r="54" spans="1:10" ht="12.6" customHeight="1">
      <c r="A54" s="375" t="s">
        <v>1271</v>
      </c>
      <c r="B54" s="376"/>
      <c r="C54" s="377"/>
      <c r="D54" s="387"/>
      <c r="E54" s="377"/>
      <c r="F54" s="318"/>
      <c r="G54" s="318"/>
      <c r="H54" s="318"/>
      <c r="I54" s="318"/>
      <c r="J54" s="318"/>
    </row>
    <row r="55" spans="1:10" ht="12.6" customHeight="1">
      <c r="A55" s="381" t="s">
        <v>1272</v>
      </c>
      <c r="B55" s="382">
        <v>295</v>
      </c>
      <c r="C55" s="383"/>
      <c r="D55" s="388"/>
      <c r="E55" s="383"/>
      <c r="F55" s="318"/>
      <c r="G55" s="318"/>
      <c r="H55" s="318"/>
      <c r="I55" s="318"/>
      <c r="J55" s="318"/>
    </row>
    <row r="56" spans="1:10" ht="12.6" customHeight="1">
      <c r="A56" s="381" t="s">
        <v>1273</v>
      </c>
      <c r="B56" s="382">
        <v>300</v>
      </c>
      <c r="C56" s="383"/>
      <c r="D56" s="388"/>
      <c r="E56" s="383"/>
      <c r="F56" s="318"/>
      <c r="G56" s="318"/>
      <c r="H56" s="318"/>
      <c r="I56" s="318"/>
      <c r="J56" s="318"/>
    </row>
    <row r="57" spans="1:10" ht="12.6" customHeight="1">
      <c r="A57" s="384" t="s">
        <v>1276</v>
      </c>
      <c r="B57" s="385">
        <v>305</v>
      </c>
      <c r="C57" s="386"/>
      <c r="D57" s="389"/>
      <c r="E57" s="386"/>
      <c r="F57" s="318"/>
      <c r="G57" s="318"/>
      <c r="H57" s="318"/>
      <c r="I57" s="318"/>
      <c r="J57" s="318"/>
    </row>
    <row r="58" spans="1:10" ht="12.6" customHeight="1">
      <c r="A58" s="375" t="s">
        <v>1281</v>
      </c>
      <c r="B58" s="382">
        <v>310</v>
      </c>
      <c r="C58" s="2571"/>
      <c r="D58" s="390"/>
      <c r="E58" s="2571"/>
      <c r="F58" s="318"/>
      <c r="G58" s="318"/>
      <c r="H58" s="318"/>
      <c r="I58" s="318"/>
      <c r="J58" s="318"/>
    </row>
    <row r="59" spans="1:10" ht="12.6" customHeight="1">
      <c r="A59" s="2899" t="s">
        <v>711</v>
      </c>
      <c r="B59" s="2903">
        <v>313</v>
      </c>
      <c r="C59" s="2571"/>
      <c r="D59" s="390"/>
      <c r="E59" s="2571"/>
      <c r="F59" s="318"/>
      <c r="G59" s="318"/>
      <c r="H59" s="318"/>
      <c r="I59" s="318"/>
      <c r="J59" s="318"/>
    </row>
    <row r="60" spans="1:10" ht="12.6" customHeight="1">
      <c r="A60" s="384" t="s">
        <v>1282</v>
      </c>
      <c r="B60" s="385">
        <v>315</v>
      </c>
      <c r="C60" s="386"/>
      <c r="D60" s="389"/>
      <c r="E60" s="386"/>
      <c r="F60" s="318"/>
      <c r="G60" s="318"/>
      <c r="H60" s="318"/>
      <c r="I60" s="318"/>
      <c r="J60" s="318"/>
    </row>
    <row r="61" spans="1:10" ht="12.6" customHeight="1">
      <c r="A61" s="314"/>
      <c r="B61" s="315" t="s">
        <v>1019</v>
      </c>
      <c r="C61" s="2860">
        <f>C1</f>
        <v>270</v>
      </c>
      <c r="D61" s="314"/>
      <c r="E61" s="317" t="s">
        <v>1020</v>
      </c>
      <c r="F61" s="318"/>
      <c r="G61" s="318"/>
      <c r="H61" s="318"/>
      <c r="I61" s="318"/>
      <c r="J61" s="318"/>
    </row>
    <row r="62" spans="1:10" ht="12.6" customHeight="1">
      <c r="A62" s="314"/>
      <c r="B62" s="315"/>
      <c r="C62" s="314"/>
      <c r="D62" s="314"/>
      <c r="E62" s="317" t="s">
        <v>1212</v>
      </c>
      <c r="F62" s="318"/>
      <c r="G62" s="318"/>
      <c r="H62" s="318"/>
      <c r="I62" s="318"/>
      <c r="J62" s="318"/>
    </row>
    <row r="63" spans="1:10" ht="12.6" customHeight="1">
      <c r="A63" s="314"/>
      <c r="B63" s="315"/>
      <c r="C63" s="314"/>
      <c r="D63" s="314"/>
      <c r="E63" s="317" t="str">
        <f>E3</f>
        <v>2016-2017</v>
      </c>
      <c r="F63" s="318"/>
      <c r="G63" s="318"/>
      <c r="H63" s="318"/>
      <c r="I63" s="318"/>
      <c r="J63" s="318"/>
    </row>
    <row r="64" spans="1:10" ht="12.6" customHeight="1">
      <c r="A64" s="314"/>
      <c r="B64" s="315"/>
      <c r="C64" s="314"/>
      <c r="D64" s="314"/>
      <c r="E64" s="314"/>
      <c r="F64" s="318"/>
      <c r="G64" s="318"/>
      <c r="H64" s="318"/>
      <c r="I64" s="318"/>
      <c r="J64" s="318"/>
    </row>
    <row r="65" spans="1:10" ht="12.6" customHeight="1">
      <c r="A65" s="314"/>
      <c r="B65" s="315"/>
      <c r="C65" s="320" t="s">
        <v>1213</v>
      </c>
      <c r="D65" s="320" t="s">
        <v>1213</v>
      </c>
      <c r="E65" s="320" t="s">
        <v>1213</v>
      </c>
      <c r="F65" s="318"/>
      <c r="G65" s="318"/>
      <c r="H65" s="318"/>
      <c r="I65" s="318"/>
      <c r="J65" s="318"/>
    </row>
    <row r="66" spans="1:10" ht="12.6" customHeight="1">
      <c r="A66" s="314"/>
      <c r="B66" s="323" t="s">
        <v>1045</v>
      </c>
      <c r="C66" s="324" t="str">
        <f>C6</f>
        <v>2014-2015</v>
      </c>
      <c r="D66" s="324" t="str">
        <f t="shared" ref="D66:E66" si="0">D6</f>
        <v>2015-2016</v>
      </c>
      <c r="E66" s="324" t="str">
        <f t="shared" si="0"/>
        <v>2016-2017</v>
      </c>
      <c r="F66" s="318"/>
      <c r="G66" s="318"/>
      <c r="H66" s="318"/>
      <c r="I66" s="318"/>
      <c r="J66" s="318"/>
    </row>
    <row r="67" spans="1:10" ht="12.6" customHeight="1">
      <c r="A67" s="326" t="s">
        <v>1254</v>
      </c>
      <c r="B67" s="327">
        <v>57</v>
      </c>
      <c r="C67" s="328" t="s">
        <v>1139</v>
      </c>
      <c r="D67" s="328" t="s">
        <v>1139</v>
      </c>
      <c r="E67" s="328" t="s">
        <v>1215</v>
      </c>
      <c r="F67" s="318"/>
      <c r="G67" s="318"/>
      <c r="H67" s="318"/>
      <c r="I67" s="318"/>
      <c r="J67" s="318"/>
    </row>
    <row r="68" spans="1:10" ht="12.6" customHeight="1">
      <c r="A68" s="329"/>
      <c r="B68" s="330" t="s">
        <v>1051</v>
      </c>
      <c r="C68" s="331">
        <v>1</v>
      </c>
      <c r="D68" s="331">
        <v>2</v>
      </c>
      <c r="E68" s="331">
        <v>3</v>
      </c>
      <c r="F68" s="318"/>
      <c r="G68" s="318"/>
      <c r="H68" s="318"/>
      <c r="I68" s="318"/>
      <c r="J68" s="318"/>
    </row>
    <row r="69" spans="1:10" ht="12.6" customHeight="1">
      <c r="A69" s="381" t="s">
        <v>1288</v>
      </c>
      <c r="B69" s="382">
        <v>320</v>
      </c>
      <c r="C69" s="383"/>
      <c r="D69" s="388"/>
      <c r="E69" s="383"/>
      <c r="F69" s="318"/>
      <c r="G69" s="318"/>
      <c r="H69" s="318"/>
      <c r="I69" s="318"/>
      <c r="J69" s="318"/>
    </row>
    <row r="70" spans="1:10" ht="12.6" customHeight="1">
      <c r="A70" s="375" t="s">
        <v>1292</v>
      </c>
      <c r="B70" s="376">
        <v>325</v>
      </c>
      <c r="C70" s="2571"/>
      <c r="D70" s="390"/>
      <c r="E70" s="2571"/>
      <c r="F70" s="318"/>
      <c r="G70" s="318"/>
      <c r="H70" s="318"/>
      <c r="I70" s="318"/>
      <c r="J70" s="318"/>
    </row>
    <row r="71" spans="1:10" ht="12.6" customHeight="1">
      <c r="A71" s="384" t="s">
        <v>1293</v>
      </c>
      <c r="B71" s="385">
        <v>330</v>
      </c>
      <c r="C71" s="386"/>
      <c r="D71" s="389"/>
      <c r="E71" s="386"/>
      <c r="F71" s="318"/>
      <c r="G71" s="318"/>
      <c r="H71" s="318"/>
      <c r="I71" s="318"/>
      <c r="J71" s="318"/>
    </row>
    <row r="72" spans="1:10" ht="12.6" customHeight="1">
      <c r="A72" s="375" t="s">
        <v>1296</v>
      </c>
      <c r="B72" s="376"/>
      <c r="C72" s="377"/>
      <c r="D72" s="387"/>
      <c r="E72" s="377"/>
      <c r="F72" s="318"/>
      <c r="G72" s="318"/>
      <c r="H72" s="318"/>
      <c r="I72" s="318"/>
      <c r="J72" s="318"/>
    </row>
    <row r="73" spans="1:10" ht="12.6" customHeight="1">
      <c r="A73" s="378" t="s">
        <v>1268</v>
      </c>
      <c r="B73" s="379"/>
      <c r="C73" s="380"/>
      <c r="D73" s="391"/>
      <c r="E73" s="380"/>
      <c r="F73" s="318"/>
      <c r="G73" s="318"/>
      <c r="H73" s="318"/>
      <c r="I73" s="318"/>
      <c r="J73" s="318"/>
    </row>
    <row r="74" spans="1:10" ht="12.6" customHeight="1">
      <c r="A74" s="381" t="s">
        <v>1269</v>
      </c>
      <c r="B74" s="382">
        <v>335</v>
      </c>
      <c r="C74" s="383"/>
      <c r="D74" s="388"/>
      <c r="E74" s="383"/>
      <c r="F74" s="318"/>
      <c r="G74" s="318"/>
      <c r="H74" s="318"/>
      <c r="I74" s="318"/>
      <c r="J74" s="318"/>
    </row>
    <row r="75" spans="1:10" ht="12.6" customHeight="1">
      <c r="A75" s="384" t="s">
        <v>1270</v>
      </c>
      <c r="B75" s="385">
        <v>340</v>
      </c>
      <c r="C75" s="386"/>
      <c r="D75" s="389"/>
      <c r="E75" s="386"/>
      <c r="F75" s="318"/>
      <c r="G75" s="318"/>
      <c r="H75" s="318"/>
      <c r="I75" s="318"/>
      <c r="J75" s="318"/>
    </row>
    <row r="76" spans="1:10" ht="12.6" customHeight="1">
      <c r="A76" s="375" t="s">
        <v>1271</v>
      </c>
      <c r="B76" s="376"/>
      <c r="C76" s="377"/>
      <c r="D76" s="387"/>
      <c r="E76" s="377"/>
      <c r="F76" s="318"/>
      <c r="G76" s="318"/>
      <c r="H76" s="318"/>
      <c r="I76" s="318"/>
      <c r="J76" s="318"/>
    </row>
    <row r="77" spans="1:10" ht="12.6" customHeight="1">
      <c r="A77" s="381" t="s">
        <v>1272</v>
      </c>
      <c r="B77" s="382">
        <v>345</v>
      </c>
      <c r="C77" s="383"/>
      <c r="D77" s="388"/>
      <c r="E77" s="383"/>
      <c r="F77" s="318"/>
      <c r="G77" s="318"/>
      <c r="H77" s="318"/>
      <c r="I77" s="318"/>
      <c r="J77" s="318"/>
    </row>
    <row r="78" spans="1:10" ht="12.6" customHeight="1">
      <c r="A78" s="384" t="s">
        <v>1273</v>
      </c>
      <c r="B78" s="385">
        <v>350</v>
      </c>
      <c r="C78" s="386"/>
      <c r="D78" s="389"/>
      <c r="E78" s="386"/>
      <c r="F78" s="318"/>
      <c r="G78" s="318"/>
      <c r="H78" s="318"/>
      <c r="I78" s="318"/>
      <c r="J78" s="318"/>
    </row>
    <row r="79" spans="1:10" ht="12.6" customHeight="1">
      <c r="A79" s="384" t="s">
        <v>1276</v>
      </c>
      <c r="B79" s="385">
        <v>355</v>
      </c>
      <c r="C79" s="386"/>
      <c r="D79" s="389"/>
      <c r="E79" s="386"/>
      <c r="F79" s="318"/>
      <c r="G79" s="318"/>
      <c r="H79" s="318"/>
      <c r="I79" s="318"/>
      <c r="J79" s="318"/>
    </row>
    <row r="80" spans="1:10" ht="12.6" customHeight="1">
      <c r="A80" s="381" t="s">
        <v>279</v>
      </c>
      <c r="B80" s="382">
        <v>360</v>
      </c>
      <c r="C80" s="383"/>
      <c r="D80" s="388"/>
      <c r="E80" s="383"/>
      <c r="F80" s="318"/>
      <c r="G80" s="318"/>
      <c r="H80" s="318"/>
      <c r="I80" s="318"/>
      <c r="J80" s="318"/>
    </row>
    <row r="81" spans="1:10" ht="12.6" customHeight="1">
      <c r="A81" s="2904" t="s">
        <v>711</v>
      </c>
      <c r="B81" s="2903">
        <v>363</v>
      </c>
      <c r="C81" s="383"/>
      <c r="D81" s="388"/>
      <c r="E81" s="383"/>
      <c r="F81" s="318"/>
      <c r="G81" s="318"/>
      <c r="H81" s="318"/>
      <c r="I81" s="318"/>
      <c r="J81" s="318"/>
    </row>
    <row r="82" spans="1:10" ht="12.6" customHeight="1">
      <c r="A82" s="384" t="s">
        <v>1282</v>
      </c>
      <c r="B82" s="385">
        <v>365</v>
      </c>
      <c r="C82" s="386"/>
      <c r="D82" s="389"/>
      <c r="E82" s="386"/>
      <c r="F82" s="318"/>
      <c r="G82" s="318"/>
      <c r="H82" s="318"/>
      <c r="I82" s="318"/>
      <c r="J82" s="318"/>
    </row>
    <row r="83" spans="1:10" ht="12.6" customHeight="1">
      <c r="A83" s="375" t="s">
        <v>1288</v>
      </c>
      <c r="B83" s="393"/>
      <c r="C83" s="377"/>
      <c r="D83" s="387"/>
      <c r="E83" s="377"/>
      <c r="F83" s="318"/>
      <c r="G83" s="318"/>
      <c r="H83" s="318"/>
      <c r="I83" s="318"/>
      <c r="J83" s="318"/>
    </row>
    <row r="84" spans="1:10" ht="12.6" customHeight="1">
      <c r="A84" s="381" t="s">
        <v>1279</v>
      </c>
      <c r="B84" s="382">
        <v>370</v>
      </c>
      <c r="C84" s="383"/>
      <c r="D84" s="388"/>
      <c r="E84" s="383"/>
      <c r="F84" s="318"/>
      <c r="G84" s="318"/>
      <c r="H84" s="318"/>
      <c r="I84" s="318"/>
      <c r="J84" s="318"/>
    </row>
    <row r="85" spans="1:10" ht="12.6" customHeight="1">
      <c r="A85" s="381" t="s">
        <v>796</v>
      </c>
      <c r="B85" s="382">
        <v>375</v>
      </c>
      <c r="C85" s="383"/>
      <c r="D85" s="388"/>
      <c r="E85" s="383"/>
      <c r="F85" s="318"/>
      <c r="G85" s="318"/>
      <c r="H85" s="318"/>
      <c r="I85" s="318"/>
      <c r="J85" s="318"/>
    </row>
    <row r="86" spans="1:10" ht="12.6" customHeight="1">
      <c r="A86" s="384" t="s">
        <v>1291</v>
      </c>
      <c r="B86" s="385">
        <v>380</v>
      </c>
      <c r="C86" s="386"/>
      <c r="D86" s="389"/>
      <c r="E86" s="386"/>
      <c r="F86" s="318"/>
      <c r="G86" s="318"/>
      <c r="H86" s="318"/>
      <c r="I86" s="318"/>
      <c r="J86" s="318"/>
    </row>
    <row r="87" spans="1:10" ht="12.6" customHeight="1">
      <c r="A87" s="384" t="s">
        <v>1292</v>
      </c>
      <c r="B87" s="385">
        <v>385</v>
      </c>
      <c r="C87" s="386"/>
      <c r="D87" s="389"/>
      <c r="E87" s="386"/>
      <c r="F87" s="318"/>
      <c r="G87" s="318"/>
      <c r="H87" s="318"/>
      <c r="I87" s="318"/>
      <c r="J87" s="318"/>
    </row>
    <row r="88" spans="1:10" ht="12.6" customHeight="1">
      <c r="A88" s="384" t="s">
        <v>1293</v>
      </c>
      <c r="B88" s="385">
        <v>390</v>
      </c>
      <c r="C88" s="386"/>
      <c r="D88" s="389"/>
      <c r="E88" s="386"/>
      <c r="F88" s="318"/>
      <c r="G88" s="318"/>
      <c r="H88" s="318"/>
      <c r="I88" s="318"/>
      <c r="J88" s="318"/>
    </row>
    <row r="89" spans="1:10" ht="12.6" customHeight="1">
      <c r="A89" s="375" t="s">
        <v>1302</v>
      </c>
      <c r="B89" s="376"/>
      <c r="C89" s="377"/>
      <c r="D89" s="387"/>
      <c r="E89" s="377"/>
      <c r="F89" s="318"/>
      <c r="G89" s="318"/>
      <c r="H89" s="318"/>
      <c r="I89" s="318"/>
      <c r="J89" s="318"/>
    </row>
    <row r="90" spans="1:10" ht="12.6" customHeight="1">
      <c r="A90" s="378" t="s">
        <v>1268</v>
      </c>
      <c r="B90" s="379"/>
      <c r="C90" s="380"/>
      <c r="D90" s="391"/>
      <c r="E90" s="380"/>
      <c r="F90" s="318"/>
      <c r="G90" s="318"/>
      <c r="H90" s="318"/>
      <c r="I90" s="318"/>
      <c r="J90" s="318"/>
    </row>
    <row r="91" spans="1:10" ht="12.6" customHeight="1">
      <c r="A91" s="381" t="s">
        <v>1269</v>
      </c>
      <c r="B91" s="382">
        <v>395</v>
      </c>
      <c r="C91" s="383"/>
      <c r="D91" s="388"/>
      <c r="E91" s="383"/>
      <c r="F91" s="318"/>
      <c r="G91" s="318"/>
      <c r="H91" s="318"/>
      <c r="I91" s="318"/>
      <c r="J91" s="318"/>
    </row>
    <row r="92" spans="1:10" ht="12.6" customHeight="1">
      <c r="A92" s="384" t="s">
        <v>1270</v>
      </c>
      <c r="B92" s="385">
        <v>400</v>
      </c>
      <c r="C92" s="386"/>
      <c r="D92" s="389"/>
      <c r="E92" s="386"/>
      <c r="F92" s="318"/>
      <c r="G92" s="318"/>
      <c r="H92" s="318"/>
      <c r="I92" s="318"/>
      <c r="J92" s="318"/>
    </row>
    <row r="93" spans="1:10" ht="12.6" customHeight="1">
      <c r="A93" s="375" t="s">
        <v>1271</v>
      </c>
      <c r="B93" s="376"/>
      <c r="C93" s="377"/>
      <c r="D93" s="387"/>
      <c r="E93" s="377"/>
      <c r="F93" s="318"/>
      <c r="G93" s="318"/>
      <c r="H93" s="318"/>
      <c r="I93" s="318"/>
      <c r="J93" s="318"/>
    </row>
    <row r="94" spans="1:10" ht="12.6" customHeight="1">
      <c r="A94" s="381" t="s">
        <v>1272</v>
      </c>
      <c r="B94" s="382">
        <v>405</v>
      </c>
      <c r="C94" s="383"/>
      <c r="D94" s="388"/>
      <c r="E94" s="383"/>
      <c r="F94" s="318"/>
      <c r="G94" s="318"/>
      <c r="H94" s="318"/>
      <c r="I94" s="318"/>
      <c r="J94" s="318"/>
    </row>
    <row r="95" spans="1:10" ht="12.6" customHeight="1">
      <c r="A95" s="384" t="s">
        <v>1273</v>
      </c>
      <c r="B95" s="385">
        <v>410</v>
      </c>
      <c r="C95" s="386"/>
      <c r="D95" s="389"/>
      <c r="E95" s="386"/>
      <c r="F95" s="318"/>
      <c r="G95" s="318"/>
      <c r="H95" s="318"/>
      <c r="I95" s="318"/>
      <c r="J95" s="318"/>
    </row>
    <row r="96" spans="1:10" ht="12.6" customHeight="1">
      <c r="A96" s="384" t="s">
        <v>1276</v>
      </c>
      <c r="B96" s="385">
        <v>415</v>
      </c>
      <c r="C96" s="386"/>
      <c r="D96" s="389"/>
      <c r="E96" s="386"/>
      <c r="F96" s="318"/>
      <c r="G96" s="318"/>
      <c r="H96" s="318"/>
      <c r="I96" s="318"/>
      <c r="J96" s="318"/>
    </row>
    <row r="97" spans="1:10" ht="12.6" customHeight="1">
      <c r="A97" s="381" t="s">
        <v>279</v>
      </c>
      <c r="B97" s="382">
        <v>420</v>
      </c>
      <c r="C97" s="383"/>
      <c r="D97" s="388"/>
      <c r="E97" s="383"/>
      <c r="F97" s="318"/>
      <c r="G97" s="318"/>
      <c r="H97" s="318"/>
      <c r="I97" s="318"/>
      <c r="J97" s="318"/>
    </row>
    <row r="98" spans="1:10" ht="12.6" customHeight="1">
      <c r="A98" s="384" t="s">
        <v>1303</v>
      </c>
      <c r="B98" s="385">
        <v>425</v>
      </c>
      <c r="C98" s="386"/>
      <c r="D98" s="389"/>
      <c r="E98" s="386"/>
      <c r="F98" s="318"/>
      <c r="G98" s="318"/>
      <c r="H98" s="318"/>
      <c r="I98" s="318"/>
      <c r="J98" s="318"/>
    </row>
    <row r="99" spans="1:10" ht="12.6" customHeight="1">
      <c r="A99" s="375" t="s">
        <v>1282</v>
      </c>
      <c r="B99" s="376"/>
      <c r="C99" s="377"/>
      <c r="D99" s="387"/>
      <c r="E99" s="377"/>
      <c r="F99" s="318"/>
      <c r="G99" s="318"/>
      <c r="H99" s="318"/>
      <c r="I99" s="318"/>
      <c r="J99" s="318"/>
    </row>
    <row r="100" spans="1:10" ht="12.6" customHeight="1">
      <c r="A100" s="381" t="s">
        <v>1304</v>
      </c>
      <c r="B100" s="382">
        <v>430</v>
      </c>
      <c r="C100" s="383"/>
      <c r="D100" s="388"/>
      <c r="E100" s="383"/>
      <c r="F100" s="318"/>
      <c r="G100" s="318"/>
      <c r="H100" s="318"/>
      <c r="I100" s="318"/>
      <c r="J100" s="318"/>
    </row>
    <row r="101" spans="1:10" ht="12.6" customHeight="1">
      <c r="A101" s="381" t="s">
        <v>675</v>
      </c>
      <c r="B101" s="382">
        <v>435</v>
      </c>
      <c r="C101" s="383"/>
      <c r="D101" s="388"/>
      <c r="E101" s="383"/>
      <c r="F101" s="318"/>
      <c r="G101" s="318"/>
      <c r="H101" s="318"/>
      <c r="I101" s="318"/>
      <c r="J101" s="318"/>
    </row>
    <row r="102" spans="1:10" ht="12.6" customHeight="1">
      <c r="A102" s="384" t="s">
        <v>1287</v>
      </c>
      <c r="B102" s="385">
        <v>440</v>
      </c>
      <c r="C102" s="386"/>
      <c r="D102" s="389"/>
      <c r="E102" s="386"/>
      <c r="F102" s="318"/>
      <c r="G102" s="318"/>
      <c r="H102" s="318"/>
      <c r="I102" s="318"/>
      <c r="J102" s="318"/>
    </row>
    <row r="103" spans="1:10" ht="12.6" customHeight="1">
      <c r="A103" s="384" t="s">
        <v>1288</v>
      </c>
      <c r="B103" s="385">
        <v>445</v>
      </c>
      <c r="C103" s="386"/>
      <c r="D103" s="389"/>
      <c r="E103" s="386"/>
      <c r="F103" s="318"/>
      <c r="G103" s="318"/>
      <c r="H103" s="318"/>
      <c r="I103" s="318"/>
      <c r="J103" s="318"/>
    </row>
    <row r="104" spans="1:10" ht="12.6" customHeight="1">
      <c r="A104" s="384" t="s">
        <v>1292</v>
      </c>
      <c r="B104" s="385">
        <v>450</v>
      </c>
      <c r="C104" s="386"/>
      <c r="D104" s="389"/>
      <c r="E104" s="386"/>
      <c r="F104" s="318"/>
      <c r="G104" s="318"/>
      <c r="H104" s="318"/>
      <c r="I104" s="318"/>
      <c r="J104" s="318"/>
    </row>
    <row r="105" spans="1:10" ht="12.6" customHeight="1">
      <c r="A105" s="384" t="s">
        <v>1293</v>
      </c>
      <c r="B105" s="385">
        <v>455</v>
      </c>
      <c r="C105" s="386"/>
      <c r="D105" s="389"/>
      <c r="E105" s="386"/>
      <c r="F105" s="318"/>
      <c r="G105" s="318"/>
      <c r="H105" s="318"/>
      <c r="I105" s="318"/>
      <c r="J105" s="318"/>
    </row>
    <row r="106" spans="1:10" ht="12.6" customHeight="1">
      <c r="A106" s="375" t="s">
        <v>1307</v>
      </c>
      <c r="B106" s="376"/>
      <c r="C106" s="377"/>
      <c r="D106" s="387"/>
      <c r="E106" s="377"/>
      <c r="F106" s="318"/>
      <c r="G106" s="318"/>
      <c r="H106" s="318"/>
      <c r="I106" s="318"/>
      <c r="J106" s="318"/>
    </row>
    <row r="107" spans="1:10" ht="12.6" customHeight="1">
      <c r="A107" s="378" t="s">
        <v>1268</v>
      </c>
      <c r="B107" s="379"/>
      <c r="C107" s="380"/>
      <c r="D107" s="391"/>
      <c r="E107" s="380"/>
      <c r="F107" s="318"/>
      <c r="G107" s="318"/>
      <c r="H107" s="318"/>
      <c r="I107" s="318"/>
      <c r="J107" s="318"/>
    </row>
    <row r="108" spans="1:10" ht="12.6" customHeight="1">
      <c r="A108" s="381" t="s">
        <v>1269</v>
      </c>
      <c r="B108" s="382">
        <v>460</v>
      </c>
      <c r="C108" s="383"/>
      <c r="D108" s="388"/>
      <c r="E108" s="383"/>
      <c r="F108" s="318"/>
      <c r="G108" s="318"/>
      <c r="H108" s="318"/>
      <c r="I108" s="318"/>
      <c r="J108" s="318"/>
    </row>
    <row r="109" spans="1:10" ht="12.6" customHeight="1">
      <c r="A109" s="384" t="s">
        <v>1270</v>
      </c>
      <c r="B109" s="385">
        <v>465</v>
      </c>
      <c r="C109" s="386"/>
      <c r="D109" s="389"/>
      <c r="E109" s="386"/>
      <c r="F109" s="318"/>
      <c r="G109" s="318"/>
      <c r="H109" s="318"/>
      <c r="I109" s="318"/>
      <c r="J109" s="318"/>
    </row>
    <row r="110" spans="1:10" ht="12.6" customHeight="1">
      <c r="A110" s="375" t="s">
        <v>1271</v>
      </c>
      <c r="B110" s="376"/>
      <c r="C110" s="377"/>
      <c r="D110" s="387"/>
      <c r="E110" s="377"/>
      <c r="F110" s="318"/>
      <c r="G110" s="318"/>
      <c r="H110" s="318"/>
      <c r="I110" s="318"/>
      <c r="J110" s="318"/>
    </row>
    <row r="111" spans="1:10" ht="12.6" customHeight="1">
      <c r="A111" s="381" t="s">
        <v>1272</v>
      </c>
      <c r="B111" s="382">
        <v>470</v>
      </c>
      <c r="C111" s="383"/>
      <c r="D111" s="388"/>
      <c r="E111" s="383"/>
      <c r="F111" s="318"/>
      <c r="G111" s="318"/>
      <c r="H111" s="318"/>
      <c r="I111" s="318"/>
      <c r="J111" s="318"/>
    </row>
    <row r="112" spans="1:10" ht="12.6" customHeight="1">
      <c r="A112" s="384" t="s">
        <v>1273</v>
      </c>
      <c r="B112" s="385">
        <v>475</v>
      </c>
      <c r="C112" s="386"/>
      <c r="D112" s="389"/>
      <c r="E112" s="386"/>
      <c r="F112" s="318"/>
      <c r="G112" s="318"/>
      <c r="H112" s="318"/>
      <c r="I112" s="318"/>
      <c r="J112" s="318"/>
    </row>
    <row r="113" spans="1:10" ht="12.6" customHeight="1">
      <c r="A113" s="384" t="s">
        <v>1276</v>
      </c>
      <c r="B113" s="385">
        <v>480</v>
      </c>
      <c r="C113" s="386"/>
      <c r="D113" s="389"/>
      <c r="E113" s="386"/>
      <c r="F113" s="318"/>
      <c r="G113" s="318"/>
      <c r="H113" s="318"/>
      <c r="I113" s="318"/>
      <c r="J113" s="318"/>
    </row>
    <row r="114" spans="1:10" ht="12.6" customHeight="1">
      <c r="A114" s="381" t="s">
        <v>279</v>
      </c>
      <c r="B114" s="382">
        <v>485</v>
      </c>
      <c r="C114" s="383"/>
      <c r="D114" s="388"/>
      <c r="E114" s="383"/>
      <c r="F114" s="318"/>
      <c r="G114" s="318"/>
      <c r="H114" s="318"/>
      <c r="I114" s="318"/>
      <c r="J114" s="318"/>
    </row>
    <row r="115" spans="1:10" ht="12.6" customHeight="1">
      <c r="A115" s="384" t="s">
        <v>1303</v>
      </c>
      <c r="B115" s="385">
        <v>490</v>
      </c>
      <c r="C115" s="386"/>
      <c r="D115" s="389"/>
      <c r="E115" s="386"/>
      <c r="F115" s="318"/>
      <c r="G115" s="318"/>
      <c r="H115" s="318"/>
      <c r="I115" s="318"/>
      <c r="J115" s="318"/>
    </row>
    <row r="116" spans="1:10" ht="12.6" customHeight="1">
      <c r="A116" s="375" t="s">
        <v>1282</v>
      </c>
      <c r="B116" s="376"/>
      <c r="C116" s="377"/>
      <c r="D116" s="387"/>
      <c r="E116" s="377"/>
      <c r="F116" s="318"/>
      <c r="G116" s="318"/>
      <c r="H116" s="318"/>
      <c r="I116" s="318"/>
      <c r="J116" s="318"/>
    </row>
    <row r="117" spans="1:10" ht="12.6" customHeight="1">
      <c r="A117" s="381" t="s">
        <v>675</v>
      </c>
      <c r="B117" s="382">
        <v>495</v>
      </c>
      <c r="C117" s="383"/>
      <c r="D117" s="388"/>
      <c r="E117" s="383"/>
      <c r="F117" s="318"/>
      <c r="G117" s="318"/>
      <c r="H117" s="318"/>
      <c r="I117" s="318"/>
      <c r="J117" s="318"/>
    </row>
    <row r="118" spans="1:10" ht="12.6" customHeight="1">
      <c r="A118" s="384" t="s">
        <v>1287</v>
      </c>
      <c r="B118" s="385">
        <v>500</v>
      </c>
      <c r="C118" s="386"/>
      <c r="D118" s="389"/>
      <c r="E118" s="386"/>
      <c r="F118" s="318"/>
      <c r="G118" s="318"/>
      <c r="H118" s="318"/>
      <c r="I118" s="318"/>
      <c r="J118" s="318"/>
    </row>
    <row r="119" spans="1:10" ht="12.6" customHeight="1">
      <c r="A119" s="384" t="s">
        <v>1288</v>
      </c>
      <c r="B119" s="385">
        <v>505</v>
      </c>
      <c r="C119" s="386"/>
      <c r="D119" s="389"/>
      <c r="E119" s="386"/>
      <c r="F119" s="318"/>
      <c r="G119" s="318"/>
      <c r="H119" s="318"/>
      <c r="I119" s="318"/>
      <c r="J119" s="318"/>
    </row>
    <row r="120" spans="1:10" ht="12.6" customHeight="1">
      <c r="A120" s="314"/>
      <c r="B120" s="315" t="s">
        <v>1019</v>
      </c>
      <c r="C120" s="2860">
        <f>C1</f>
        <v>270</v>
      </c>
      <c r="D120" s="314"/>
      <c r="E120" s="317" t="s">
        <v>1020</v>
      </c>
      <c r="F120" s="318"/>
      <c r="G120" s="318"/>
      <c r="H120" s="318"/>
      <c r="I120" s="318"/>
      <c r="J120" s="318"/>
    </row>
    <row r="121" spans="1:10" ht="12.6" customHeight="1">
      <c r="A121" s="314"/>
      <c r="B121" s="315"/>
      <c r="C121" s="314"/>
      <c r="D121" s="314"/>
      <c r="E121" s="317" t="s">
        <v>1212</v>
      </c>
      <c r="F121" s="318"/>
      <c r="G121" s="318"/>
      <c r="H121" s="318"/>
      <c r="I121" s="318"/>
      <c r="J121" s="318"/>
    </row>
    <row r="122" spans="1:10" ht="12.6" customHeight="1">
      <c r="A122" s="314"/>
      <c r="B122" s="315"/>
      <c r="C122" s="314"/>
      <c r="D122" s="314"/>
      <c r="E122" s="317" t="str">
        <f>E3</f>
        <v>2016-2017</v>
      </c>
      <c r="F122" s="318"/>
      <c r="G122" s="318"/>
      <c r="H122" s="318"/>
      <c r="I122" s="318"/>
      <c r="J122" s="318"/>
    </row>
    <row r="123" spans="1:10" ht="12.6" customHeight="1">
      <c r="A123" s="314"/>
      <c r="B123" s="315"/>
      <c r="C123" s="314"/>
      <c r="D123" s="314"/>
      <c r="E123" s="314"/>
      <c r="F123" s="318"/>
      <c r="G123" s="318"/>
      <c r="H123" s="318"/>
      <c r="I123" s="318"/>
      <c r="J123" s="318"/>
    </row>
    <row r="124" spans="1:10" ht="12.6" customHeight="1">
      <c r="A124" s="314"/>
      <c r="B124" s="315"/>
      <c r="C124" s="320" t="s">
        <v>1213</v>
      </c>
      <c r="D124" s="320" t="s">
        <v>1213</v>
      </c>
      <c r="E124" s="320" t="s">
        <v>1213</v>
      </c>
      <c r="F124" s="318"/>
      <c r="G124" s="318"/>
      <c r="H124" s="318"/>
      <c r="I124" s="318"/>
      <c r="J124" s="318"/>
    </row>
    <row r="125" spans="1:10" ht="12.6" customHeight="1">
      <c r="A125" s="314"/>
      <c r="B125" s="323" t="s">
        <v>1045</v>
      </c>
      <c r="C125" s="324" t="str">
        <f>C6</f>
        <v>2014-2015</v>
      </c>
      <c r="D125" s="324" t="str">
        <f t="shared" ref="D125:E125" si="1">D6</f>
        <v>2015-2016</v>
      </c>
      <c r="E125" s="324" t="str">
        <f t="shared" si="1"/>
        <v>2016-2017</v>
      </c>
      <c r="F125" s="318"/>
      <c r="G125" s="318"/>
      <c r="H125" s="318"/>
      <c r="I125" s="318"/>
      <c r="J125" s="318"/>
    </row>
    <row r="126" spans="1:10" ht="12.6" customHeight="1">
      <c r="A126" s="326" t="s">
        <v>1254</v>
      </c>
      <c r="B126" s="327">
        <v>57</v>
      </c>
      <c r="C126" s="328" t="s">
        <v>1139</v>
      </c>
      <c r="D126" s="328" t="s">
        <v>1139</v>
      </c>
      <c r="E126" s="328" t="s">
        <v>1215</v>
      </c>
      <c r="F126" s="318"/>
      <c r="G126" s="318"/>
      <c r="H126" s="318"/>
      <c r="I126" s="318"/>
      <c r="J126" s="318"/>
    </row>
    <row r="127" spans="1:10" ht="12.6" customHeight="1">
      <c r="A127" s="329"/>
      <c r="B127" s="330" t="s">
        <v>1051</v>
      </c>
      <c r="C127" s="331">
        <v>1</v>
      </c>
      <c r="D127" s="331">
        <v>2</v>
      </c>
      <c r="E127" s="331">
        <v>3</v>
      </c>
      <c r="F127" s="318"/>
      <c r="G127" s="318"/>
      <c r="H127" s="318"/>
      <c r="I127" s="318"/>
      <c r="J127" s="318"/>
    </row>
    <row r="128" spans="1:10" ht="12.6" customHeight="1">
      <c r="A128" s="384" t="s">
        <v>1292</v>
      </c>
      <c r="B128" s="385">
        <v>510</v>
      </c>
      <c r="C128" s="386"/>
      <c r="D128" s="389"/>
      <c r="E128" s="386"/>
      <c r="F128" s="318"/>
      <c r="G128" s="318"/>
      <c r="H128" s="318"/>
      <c r="I128" s="318"/>
      <c r="J128" s="318"/>
    </row>
    <row r="129" spans="1:10" ht="12.6" customHeight="1">
      <c r="A129" s="384" t="s">
        <v>1293</v>
      </c>
      <c r="B129" s="385">
        <v>515</v>
      </c>
      <c r="C129" s="386"/>
      <c r="D129" s="389"/>
      <c r="E129" s="386"/>
      <c r="F129" s="318"/>
      <c r="G129" s="318"/>
      <c r="H129" s="318"/>
      <c r="I129" s="318"/>
      <c r="J129" s="318"/>
    </row>
    <row r="130" spans="1:10" ht="12.6" customHeight="1">
      <c r="A130" s="1151" t="s">
        <v>1745</v>
      </c>
      <c r="B130" s="1152"/>
      <c r="C130" s="1142"/>
      <c r="D130" s="1153"/>
      <c r="E130" s="1142"/>
      <c r="F130" s="318"/>
      <c r="G130" s="318"/>
      <c r="H130" s="318"/>
      <c r="I130" s="318"/>
      <c r="J130" s="318"/>
    </row>
    <row r="131" spans="1:10" ht="12.6" customHeight="1">
      <c r="A131" s="1146" t="s">
        <v>1268</v>
      </c>
      <c r="B131" s="1147"/>
      <c r="C131" s="1145"/>
      <c r="D131" s="1163"/>
      <c r="E131" s="1145"/>
      <c r="F131" s="318"/>
      <c r="G131" s="318"/>
      <c r="H131" s="318"/>
      <c r="I131" s="318"/>
      <c r="J131" s="318"/>
    </row>
    <row r="132" spans="1:10" ht="12.6" customHeight="1">
      <c r="A132" s="1148" t="s">
        <v>1269</v>
      </c>
      <c r="B132" s="3994">
        <v>625</v>
      </c>
      <c r="C132" s="1150"/>
      <c r="D132" s="1154"/>
      <c r="E132" s="1150"/>
      <c r="F132" s="318"/>
      <c r="G132" s="318"/>
      <c r="H132" s="318"/>
      <c r="I132" s="318"/>
      <c r="J132" s="318"/>
    </row>
    <row r="133" spans="1:10" ht="12.6" customHeight="1">
      <c r="A133" s="1148" t="s">
        <v>375</v>
      </c>
      <c r="B133" s="3994">
        <v>630</v>
      </c>
      <c r="C133" s="1150"/>
      <c r="D133" s="1154"/>
      <c r="E133" s="1150"/>
      <c r="F133" s="318"/>
      <c r="G133" s="318"/>
      <c r="H133" s="318"/>
      <c r="I133" s="318"/>
      <c r="J133" s="318"/>
    </row>
    <row r="134" spans="1:10" ht="12.6" customHeight="1">
      <c r="A134" s="1151" t="s">
        <v>1271</v>
      </c>
      <c r="B134" s="2994"/>
      <c r="C134" s="1142"/>
      <c r="D134" s="1153"/>
      <c r="E134" s="1142"/>
      <c r="F134" s="318"/>
      <c r="G134" s="318"/>
      <c r="H134" s="318"/>
      <c r="I134" s="318"/>
      <c r="J134" s="318"/>
    </row>
    <row r="135" spans="1:10" ht="12.6" customHeight="1">
      <c r="A135" s="1148" t="s">
        <v>353</v>
      </c>
      <c r="B135" s="3994">
        <v>635</v>
      </c>
      <c r="C135" s="1150"/>
      <c r="D135" s="1154"/>
      <c r="E135" s="1150"/>
      <c r="F135" s="318"/>
      <c r="G135" s="318"/>
      <c r="H135" s="318"/>
      <c r="I135" s="318"/>
      <c r="J135" s="318"/>
    </row>
    <row r="136" spans="1:10" ht="12.6" customHeight="1">
      <c r="A136" s="1155" t="s">
        <v>1273</v>
      </c>
      <c r="B136" s="3995">
        <v>640</v>
      </c>
      <c r="C136" s="1162"/>
      <c r="D136" s="1157"/>
      <c r="E136" s="1162"/>
      <c r="F136" s="318"/>
      <c r="G136" s="318"/>
      <c r="H136" s="318"/>
      <c r="I136" s="318"/>
      <c r="J136" s="318"/>
    </row>
    <row r="137" spans="1:10" ht="12.6" customHeight="1">
      <c r="A137" s="1155" t="s">
        <v>1276</v>
      </c>
      <c r="B137" s="3995">
        <v>645</v>
      </c>
      <c r="C137" s="1162"/>
      <c r="D137" s="1157"/>
      <c r="E137" s="1162"/>
      <c r="F137" s="318"/>
      <c r="G137" s="318"/>
      <c r="H137" s="318"/>
      <c r="I137" s="318"/>
      <c r="J137" s="318"/>
    </row>
    <row r="138" spans="1:10" ht="12.6" customHeight="1">
      <c r="A138" s="1151" t="s">
        <v>1753</v>
      </c>
      <c r="B138" s="2994">
        <v>650</v>
      </c>
      <c r="C138" s="2512"/>
      <c r="D138" s="1158"/>
      <c r="E138" s="2512"/>
      <c r="F138" s="318"/>
      <c r="G138" s="318"/>
      <c r="H138" s="318"/>
      <c r="I138" s="318"/>
      <c r="J138" s="318"/>
    </row>
    <row r="139" spans="1:10" ht="12.6" customHeight="1">
      <c r="A139" s="1155" t="s">
        <v>1303</v>
      </c>
      <c r="B139" s="3995">
        <v>655</v>
      </c>
      <c r="C139" s="1162"/>
      <c r="D139" s="1157"/>
      <c r="E139" s="1162"/>
      <c r="F139" s="373"/>
      <c r="G139" s="318"/>
      <c r="H139" s="318"/>
      <c r="I139" s="318"/>
      <c r="J139" s="318"/>
    </row>
    <row r="140" spans="1:10" ht="12.6" customHeight="1">
      <c r="A140" s="1155" t="s">
        <v>1282</v>
      </c>
      <c r="B140" s="3995">
        <v>660</v>
      </c>
      <c r="C140" s="1162"/>
      <c r="D140" s="1157"/>
      <c r="E140" s="1162"/>
      <c r="F140" s="318"/>
      <c r="G140" s="318"/>
      <c r="H140" s="318"/>
      <c r="I140" s="318"/>
      <c r="J140" s="318"/>
    </row>
    <row r="141" spans="1:10" ht="12.6" customHeight="1">
      <c r="A141" s="1155" t="s">
        <v>1288</v>
      </c>
      <c r="B141" s="3995">
        <v>665</v>
      </c>
      <c r="C141" s="1162"/>
      <c r="D141" s="1157"/>
      <c r="E141" s="1162"/>
      <c r="F141" s="318"/>
      <c r="G141" s="318"/>
      <c r="H141" s="318"/>
      <c r="I141" s="318"/>
      <c r="J141" s="318"/>
    </row>
    <row r="142" spans="1:10" ht="12.6" customHeight="1">
      <c r="A142" s="1155" t="s">
        <v>1292</v>
      </c>
      <c r="B142" s="3995">
        <v>670</v>
      </c>
      <c r="C142" s="1162"/>
      <c r="D142" s="1157"/>
      <c r="E142" s="1162"/>
      <c r="F142" s="318"/>
      <c r="G142" s="318"/>
      <c r="H142" s="318"/>
      <c r="I142" s="318"/>
      <c r="J142" s="318"/>
    </row>
    <row r="143" spans="1:10" ht="11.25" customHeight="1">
      <c r="A143" s="1155" t="s">
        <v>1293</v>
      </c>
      <c r="B143" s="3995">
        <v>675</v>
      </c>
      <c r="C143" s="1162"/>
      <c r="D143" s="1157"/>
      <c r="E143" s="1162"/>
      <c r="F143" s="318"/>
      <c r="G143" s="318"/>
      <c r="H143" s="318"/>
      <c r="I143" s="318"/>
      <c r="J143" s="318"/>
    </row>
    <row r="144" spans="1:10" ht="12.6" customHeight="1">
      <c r="A144" s="395" t="s">
        <v>1308</v>
      </c>
      <c r="B144" s="376"/>
      <c r="C144" s="377"/>
      <c r="D144" s="387"/>
      <c r="E144" s="377"/>
      <c r="F144" s="318"/>
      <c r="G144" s="318"/>
      <c r="H144" s="318"/>
      <c r="I144" s="318"/>
      <c r="J144" s="318"/>
    </row>
    <row r="145" spans="1:10" ht="12.6" customHeight="1">
      <c r="A145" s="396" t="s">
        <v>1309</v>
      </c>
      <c r="B145" s="379"/>
      <c r="C145" s="380"/>
      <c r="D145" s="391"/>
      <c r="E145" s="380"/>
      <c r="F145" s="318"/>
      <c r="G145" s="318"/>
      <c r="H145" s="318"/>
      <c r="I145" s="318"/>
      <c r="J145" s="318"/>
    </row>
    <row r="146" spans="1:10" ht="12.6" customHeight="1">
      <c r="A146" s="397" t="s">
        <v>1270</v>
      </c>
      <c r="B146" s="382">
        <v>520</v>
      </c>
      <c r="C146" s="383"/>
      <c r="D146" s="388"/>
      <c r="E146" s="383"/>
      <c r="F146" s="318"/>
      <c r="G146" s="318"/>
      <c r="H146" s="318"/>
      <c r="I146" s="318"/>
      <c r="J146" s="318"/>
    </row>
    <row r="147" spans="1:10" ht="12.6" customHeight="1">
      <c r="A147" s="395" t="s">
        <v>1310</v>
      </c>
      <c r="B147" s="376"/>
      <c r="C147" s="377"/>
      <c r="D147" s="387"/>
      <c r="E147" s="377"/>
      <c r="F147" s="318"/>
      <c r="G147" s="318"/>
      <c r="H147" s="318"/>
      <c r="I147" s="318"/>
      <c r="J147" s="318"/>
    </row>
    <row r="148" spans="1:10" ht="12.6" customHeight="1">
      <c r="A148" s="397" t="s">
        <v>1311</v>
      </c>
      <c r="B148" s="382">
        <v>525</v>
      </c>
      <c r="C148" s="383"/>
      <c r="D148" s="388"/>
      <c r="E148" s="383"/>
      <c r="F148" s="318"/>
      <c r="G148" s="318"/>
      <c r="H148" s="318"/>
      <c r="I148" s="318"/>
      <c r="J148" s="318"/>
    </row>
    <row r="149" spans="1:10" ht="12.6" customHeight="1">
      <c r="A149" s="398" t="s">
        <v>1314</v>
      </c>
      <c r="B149" s="385">
        <v>530</v>
      </c>
      <c r="C149" s="386"/>
      <c r="D149" s="389"/>
      <c r="E149" s="386"/>
      <c r="F149" s="318"/>
      <c r="G149" s="318"/>
      <c r="H149" s="318"/>
      <c r="I149" s="318"/>
      <c r="J149" s="318"/>
    </row>
    <row r="150" spans="1:10" ht="12.6" customHeight="1">
      <c r="A150" s="398" t="s">
        <v>1315</v>
      </c>
      <c r="B150" s="385">
        <v>535</v>
      </c>
      <c r="C150" s="386"/>
      <c r="D150" s="389"/>
      <c r="E150" s="386"/>
      <c r="F150" s="318"/>
      <c r="G150" s="318"/>
      <c r="H150" s="318"/>
      <c r="I150" s="318"/>
      <c r="J150" s="318"/>
    </row>
    <row r="151" spans="1:10" ht="12.6" customHeight="1">
      <c r="A151" s="397" t="s">
        <v>911</v>
      </c>
      <c r="B151" s="382">
        <v>540</v>
      </c>
      <c r="C151" s="383"/>
      <c r="D151" s="388"/>
      <c r="E151" s="383"/>
      <c r="F151" s="318"/>
      <c r="G151" s="318"/>
      <c r="H151" s="318"/>
      <c r="I151" s="318"/>
      <c r="J151" s="318"/>
    </row>
    <row r="152" spans="1:10" ht="12.6" customHeight="1">
      <c r="A152" s="395" t="s">
        <v>1318</v>
      </c>
      <c r="B152" s="376"/>
      <c r="C152" s="377"/>
      <c r="D152" s="387"/>
      <c r="E152" s="377"/>
      <c r="F152" s="318"/>
      <c r="G152" s="318"/>
      <c r="H152" s="318"/>
      <c r="I152" s="318"/>
      <c r="J152" s="318"/>
    </row>
    <row r="153" spans="1:10" ht="12.6" customHeight="1">
      <c r="A153" s="397" t="s">
        <v>1319</v>
      </c>
      <c r="B153" s="382">
        <v>545</v>
      </c>
      <c r="C153" s="383"/>
      <c r="D153" s="388"/>
      <c r="E153" s="383"/>
      <c r="F153" s="318"/>
      <c r="G153" s="318"/>
      <c r="H153" s="318"/>
      <c r="I153" s="318"/>
      <c r="J153" s="318"/>
    </row>
    <row r="154" spans="1:10" ht="12.6" customHeight="1">
      <c r="A154" s="398" t="s">
        <v>1320</v>
      </c>
      <c r="B154" s="385">
        <v>550</v>
      </c>
      <c r="C154" s="386"/>
      <c r="D154" s="389"/>
      <c r="E154" s="386"/>
      <c r="F154" s="318"/>
      <c r="G154" s="318"/>
      <c r="H154" s="318"/>
      <c r="I154" s="318"/>
      <c r="J154" s="318"/>
    </row>
    <row r="155" spans="1:10" ht="12.6" customHeight="1">
      <c r="A155" s="398" t="s">
        <v>1321</v>
      </c>
      <c r="B155" s="385">
        <v>555</v>
      </c>
      <c r="C155" s="386"/>
      <c r="D155" s="389"/>
      <c r="E155" s="386"/>
      <c r="F155" s="318"/>
      <c r="G155" s="318"/>
      <c r="H155" s="318"/>
      <c r="I155" s="318"/>
      <c r="J155" s="318"/>
    </row>
    <row r="156" spans="1:10" ht="12.6" customHeight="1">
      <c r="A156" s="398" t="s">
        <v>1322</v>
      </c>
      <c r="B156" s="385">
        <v>560</v>
      </c>
      <c r="C156" s="386"/>
      <c r="D156" s="389"/>
      <c r="E156" s="386"/>
      <c r="F156" s="318"/>
      <c r="G156" s="318"/>
      <c r="H156" s="318"/>
      <c r="I156" s="318"/>
      <c r="J156" s="318"/>
    </row>
    <row r="157" spans="1:10" ht="12.6" customHeight="1">
      <c r="A157" s="398" t="s">
        <v>1323</v>
      </c>
      <c r="B157" s="385">
        <v>565</v>
      </c>
      <c r="C157" s="386"/>
      <c r="D157" s="389"/>
      <c r="E157" s="386"/>
      <c r="F157" s="318"/>
      <c r="G157" s="318"/>
      <c r="H157" s="318"/>
      <c r="I157" s="318"/>
      <c r="J157" s="318"/>
    </row>
    <row r="158" spans="1:10" ht="12.6" customHeight="1">
      <c r="A158" s="398" t="s">
        <v>1326</v>
      </c>
      <c r="B158" s="385">
        <v>570</v>
      </c>
      <c r="C158" s="386"/>
      <c r="D158" s="389"/>
      <c r="E158" s="386"/>
      <c r="F158" s="318"/>
      <c r="G158" s="318"/>
      <c r="H158" s="318"/>
      <c r="I158" s="318"/>
      <c r="J158" s="318"/>
    </row>
    <row r="159" spans="1:10" ht="12.6" customHeight="1">
      <c r="A159" s="395" t="s">
        <v>1327</v>
      </c>
      <c r="B159" s="376"/>
      <c r="C159" s="377"/>
      <c r="D159" s="387"/>
      <c r="E159" s="377"/>
      <c r="F159" s="318"/>
      <c r="G159" s="318"/>
      <c r="H159" s="318"/>
      <c r="I159" s="318"/>
      <c r="J159" s="318"/>
    </row>
    <row r="160" spans="1:10" ht="12.6" customHeight="1">
      <c r="A160" s="397" t="s">
        <v>1335</v>
      </c>
      <c r="B160" s="382">
        <v>575</v>
      </c>
      <c r="C160" s="383"/>
      <c r="D160" s="388"/>
      <c r="E160" s="383"/>
      <c r="F160" s="318"/>
      <c r="G160" s="318"/>
      <c r="H160" s="318"/>
      <c r="I160" s="318"/>
      <c r="J160" s="318"/>
    </row>
    <row r="161" spans="1:10" ht="12.6" customHeight="1">
      <c r="A161" s="398" t="s">
        <v>1336</v>
      </c>
      <c r="B161" s="385">
        <v>580</v>
      </c>
      <c r="C161" s="386"/>
      <c r="D161" s="389"/>
      <c r="E161" s="386"/>
      <c r="F161" s="318"/>
      <c r="G161" s="318"/>
      <c r="H161" s="318"/>
      <c r="I161" s="318"/>
      <c r="J161" s="318"/>
    </row>
    <row r="162" spans="1:10" ht="12.6" customHeight="1">
      <c r="A162" s="395" t="s">
        <v>1337</v>
      </c>
      <c r="B162" s="376"/>
      <c r="C162" s="377"/>
      <c r="D162" s="387"/>
      <c r="E162" s="377"/>
      <c r="F162" s="318"/>
      <c r="G162" s="318"/>
      <c r="H162" s="318"/>
      <c r="I162" s="318"/>
      <c r="J162" s="318"/>
    </row>
    <row r="163" spans="1:10" ht="12.6" customHeight="1">
      <c r="A163" s="397" t="s">
        <v>1338</v>
      </c>
      <c r="B163" s="382">
        <v>585</v>
      </c>
      <c r="C163" s="383"/>
      <c r="D163" s="388"/>
      <c r="E163" s="383"/>
      <c r="F163" s="318"/>
      <c r="G163" s="318"/>
      <c r="H163" s="318"/>
      <c r="I163" s="318"/>
      <c r="J163" s="318"/>
    </row>
    <row r="164" spans="1:10" ht="12.6" customHeight="1">
      <c r="A164" s="395" t="s">
        <v>1339</v>
      </c>
      <c r="B164" s="376"/>
      <c r="C164" s="377"/>
      <c r="D164" s="387"/>
      <c r="E164" s="377"/>
      <c r="F164" s="318"/>
      <c r="G164" s="318"/>
      <c r="H164" s="318"/>
      <c r="I164" s="318"/>
      <c r="J164" s="318"/>
    </row>
    <row r="165" spans="1:10" ht="12.6" customHeight="1">
      <c r="A165" s="397" t="s">
        <v>1340</v>
      </c>
      <c r="B165" s="382">
        <v>590</v>
      </c>
      <c r="C165" s="383"/>
      <c r="D165" s="388"/>
      <c r="E165" s="383"/>
      <c r="F165" s="318"/>
      <c r="G165" s="318"/>
      <c r="H165" s="318"/>
      <c r="I165" s="318"/>
      <c r="J165" s="318"/>
    </row>
    <row r="166" spans="1:10" ht="12.6" customHeight="1">
      <c r="A166" s="398" t="s">
        <v>1341</v>
      </c>
      <c r="B166" s="385">
        <v>595</v>
      </c>
      <c r="C166" s="386"/>
      <c r="D166" s="389"/>
      <c r="E166" s="386"/>
      <c r="F166" s="318"/>
      <c r="G166" s="318"/>
      <c r="H166" s="318"/>
      <c r="I166" s="318"/>
      <c r="J166" s="318"/>
    </row>
    <row r="167" spans="1:10" ht="12.6" customHeight="1">
      <c r="A167" s="398" t="s">
        <v>1342</v>
      </c>
      <c r="B167" s="385">
        <v>600</v>
      </c>
      <c r="C167" s="386"/>
      <c r="D167" s="389"/>
      <c r="E167" s="386"/>
      <c r="F167" s="318"/>
      <c r="G167" s="318"/>
      <c r="H167" s="318"/>
      <c r="I167" s="318"/>
      <c r="J167" s="318"/>
    </row>
    <row r="168" spans="1:10" ht="12.6" customHeight="1">
      <c r="A168" s="398" t="s">
        <v>1343</v>
      </c>
      <c r="B168" s="385">
        <v>605</v>
      </c>
      <c r="C168" s="386"/>
      <c r="D168" s="389"/>
      <c r="E168" s="386"/>
      <c r="F168" s="318"/>
      <c r="G168" s="318"/>
      <c r="H168" s="318"/>
      <c r="I168" s="318"/>
      <c r="J168" s="318"/>
    </row>
    <row r="169" spans="1:10" ht="12.6" customHeight="1">
      <c r="A169" s="398" t="s">
        <v>1344</v>
      </c>
      <c r="B169" s="385">
        <v>610</v>
      </c>
      <c r="C169" s="386"/>
      <c r="D169" s="389"/>
      <c r="E169" s="386"/>
      <c r="F169" s="318"/>
      <c r="G169" s="318"/>
      <c r="H169" s="318"/>
      <c r="I169" s="318"/>
      <c r="J169" s="318"/>
    </row>
    <row r="170" spans="1:10" ht="12.6" customHeight="1">
      <c r="A170" s="398" t="s">
        <v>1345</v>
      </c>
      <c r="B170" s="385">
        <v>615</v>
      </c>
      <c r="C170" s="386"/>
      <c r="D170" s="389"/>
      <c r="E170" s="386"/>
      <c r="F170" s="318"/>
      <c r="G170" s="318"/>
      <c r="H170" s="318"/>
      <c r="I170" s="318"/>
      <c r="J170" s="318"/>
    </row>
    <row r="171" spans="1:10" ht="12.6" customHeight="1">
      <c r="A171" s="398" t="s">
        <v>1346</v>
      </c>
      <c r="B171" s="385">
        <v>620</v>
      </c>
      <c r="C171" s="2571"/>
      <c r="D171" s="389"/>
      <c r="E171" s="386"/>
      <c r="F171" s="318"/>
      <c r="G171" s="318"/>
      <c r="H171" s="318"/>
      <c r="I171" s="318"/>
      <c r="J171" s="318"/>
    </row>
    <row r="172" spans="1:10" ht="12.6" customHeight="1">
      <c r="A172" s="395" t="s">
        <v>1751</v>
      </c>
      <c r="B172" s="376"/>
      <c r="C172" s="3908"/>
      <c r="D172" s="387"/>
      <c r="E172" s="377"/>
      <c r="F172" s="318"/>
      <c r="G172" s="318"/>
      <c r="H172" s="318"/>
      <c r="I172" s="318"/>
      <c r="J172" s="318"/>
    </row>
    <row r="173" spans="1:10" ht="12.6" customHeight="1">
      <c r="A173" s="396" t="s">
        <v>1309</v>
      </c>
      <c r="B173" s="379"/>
      <c r="C173" s="3861"/>
      <c r="D173" s="391"/>
      <c r="E173" s="380"/>
      <c r="F173" s="318"/>
      <c r="G173" s="318"/>
      <c r="H173" s="318"/>
      <c r="I173" s="318"/>
      <c r="J173" s="318"/>
    </row>
    <row r="174" spans="1:10" ht="12.6" customHeight="1">
      <c r="A174" s="397" t="s">
        <v>1347</v>
      </c>
      <c r="B174" s="2903">
        <v>695</v>
      </c>
      <c r="C174" s="4027"/>
      <c r="D174" s="388"/>
      <c r="E174" s="383"/>
      <c r="F174" s="318"/>
      <c r="G174" s="318"/>
      <c r="H174" s="318"/>
      <c r="I174" s="318"/>
      <c r="J174" s="318"/>
    </row>
    <row r="175" spans="1:10" ht="12.6" customHeight="1">
      <c r="A175" s="398" t="s">
        <v>1270</v>
      </c>
      <c r="B175" s="2902">
        <v>700</v>
      </c>
      <c r="C175" s="4027"/>
      <c r="D175" s="389"/>
      <c r="E175" s="386"/>
      <c r="F175" s="318"/>
      <c r="G175" s="318"/>
      <c r="H175" s="318"/>
      <c r="I175" s="318"/>
      <c r="J175" s="318"/>
    </row>
    <row r="176" spans="1:10" ht="12.6" customHeight="1">
      <c r="A176" s="395" t="s">
        <v>1310</v>
      </c>
      <c r="B176" s="3971"/>
      <c r="C176" s="3861"/>
      <c r="D176" s="387"/>
      <c r="E176" s="377"/>
      <c r="F176" s="318"/>
      <c r="G176" s="318"/>
      <c r="H176" s="318"/>
      <c r="I176" s="318"/>
      <c r="J176" s="318"/>
    </row>
    <row r="177" spans="1:10" ht="12.6" customHeight="1">
      <c r="A177" s="397" t="s">
        <v>1348</v>
      </c>
      <c r="B177" s="2903">
        <v>705</v>
      </c>
      <c r="C177" s="4027"/>
      <c r="D177" s="388"/>
      <c r="E177" s="383"/>
      <c r="F177" s="318"/>
      <c r="G177" s="318"/>
      <c r="H177" s="318"/>
      <c r="I177" s="318"/>
      <c r="J177" s="318"/>
    </row>
    <row r="178" spans="1:10" ht="12.6" customHeight="1">
      <c r="A178" s="398" t="s">
        <v>1314</v>
      </c>
      <c r="B178" s="2902">
        <v>710</v>
      </c>
      <c r="C178" s="4027"/>
      <c r="D178" s="389"/>
      <c r="E178" s="386"/>
      <c r="F178" s="318"/>
      <c r="G178" s="318"/>
      <c r="H178" s="318"/>
      <c r="I178" s="318"/>
      <c r="J178" s="318"/>
    </row>
    <row r="179" spans="1:10" ht="12.6" customHeight="1">
      <c r="A179" s="398" t="s">
        <v>1315</v>
      </c>
      <c r="B179" s="2902">
        <v>715</v>
      </c>
      <c r="C179" s="4027"/>
      <c r="D179" s="389"/>
      <c r="E179" s="386"/>
      <c r="F179" s="318"/>
      <c r="G179" s="318"/>
      <c r="H179" s="318"/>
      <c r="I179" s="318"/>
      <c r="J179" s="318"/>
    </row>
    <row r="180" spans="1:10" ht="12.6" customHeight="1">
      <c r="A180" s="314"/>
      <c r="B180" s="315" t="s">
        <v>1019</v>
      </c>
      <c r="C180" s="2860">
        <f>C1</f>
        <v>270</v>
      </c>
      <c r="D180" s="314"/>
      <c r="E180" s="317" t="s">
        <v>1020</v>
      </c>
      <c r="F180" s="318"/>
      <c r="G180" s="318"/>
      <c r="H180" s="318"/>
      <c r="I180" s="318"/>
      <c r="J180" s="318"/>
    </row>
    <row r="181" spans="1:10" ht="12.6" customHeight="1">
      <c r="A181" s="314"/>
      <c r="B181" s="315"/>
      <c r="C181" s="314"/>
      <c r="D181" s="314"/>
      <c r="E181" s="317" t="s">
        <v>1212</v>
      </c>
      <c r="F181" s="318"/>
      <c r="G181" s="318"/>
      <c r="H181" s="318"/>
      <c r="I181" s="318"/>
      <c r="J181" s="318"/>
    </row>
    <row r="182" spans="1:10" ht="12.6" customHeight="1">
      <c r="A182" s="314"/>
      <c r="B182" s="315"/>
      <c r="C182" s="314"/>
      <c r="D182" s="314"/>
      <c r="E182" s="317" t="str">
        <f>E3</f>
        <v>2016-2017</v>
      </c>
      <c r="F182" s="318"/>
      <c r="G182" s="318"/>
      <c r="H182" s="318"/>
      <c r="I182" s="318"/>
      <c r="J182" s="318"/>
    </row>
    <row r="183" spans="1:10" ht="12.6" customHeight="1">
      <c r="A183" s="314"/>
      <c r="B183" s="315"/>
      <c r="C183" s="314"/>
      <c r="D183" s="314"/>
      <c r="E183" s="314"/>
      <c r="F183" s="318"/>
      <c r="G183" s="318"/>
      <c r="H183" s="318"/>
      <c r="I183" s="318"/>
      <c r="J183" s="318"/>
    </row>
    <row r="184" spans="1:10" ht="12.6" customHeight="1">
      <c r="A184" s="314"/>
      <c r="B184" s="315"/>
      <c r="C184" s="320" t="s">
        <v>1213</v>
      </c>
      <c r="D184" s="320" t="s">
        <v>1213</v>
      </c>
      <c r="E184" s="320" t="s">
        <v>1213</v>
      </c>
      <c r="F184" s="318"/>
      <c r="G184" s="318"/>
      <c r="H184" s="318"/>
      <c r="I184" s="318"/>
      <c r="J184" s="318"/>
    </row>
    <row r="185" spans="1:10" ht="12.6" customHeight="1">
      <c r="A185" s="314"/>
      <c r="B185" s="323" t="s">
        <v>1045</v>
      </c>
      <c r="C185" s="324" t="str">
        <f>C6</f>
        <v>2014-2015</v>
      </c>
      <c r="D185" s="324" t="str">
        <f t="shared" ref="D185:E185" si="2">D6</f>
        <v>2015-2016</v>
      </c>
      <c r="E185" s="324" t="str">
        <f t="shared" si="2"/>
        <v>2016-2017</v>
      </c>
      <c r="F185" s="318"/>
      <c r="G185" s="318"/>
      <c r="H185" s="318"/>
      <c r="I185" s="318"/>
      <c r="J185" s="318"/>
    </row>
    <row r="186" spans="1:10" ht="12.6" customHeight="1">
      <c r="A186" s="326" t="s">
        <v>1254</v>
      </c>
      <c r="B186" s="327">
        <v>57</v>
      </c>
      <c r="C186" s="328" t="s">
        <v>1139</v>
      </c>
      <c r="D186" s="328" t="s">
        <v>1139</v>
      </c>
      <c r="E186" s="328" t="s">
        <v>1215</v>
      </c>
      <c r="F186" s="318"/>
      <c r="G186" s="318"/>
      <c r="H186" s="318"/>
      <c r="I186" s="318"/>
      <c r="J186" s="318"/>
    </row>
    <row r="187" spans="1:10" ht="12.6" customHeight="1">
      <c r="A187" s="329"/>
      <c r="B187" s="330" t="s">
        <v>1051</v>
      </c>
      <c r="C187" s="2635">
        <v>1</v>
      </c>
      <c r="D187" s="331">
        <v>2</v>
      </c>
      <c r="E187" s="331">
        <v>3</v>
      </c>
      <c r="F187" s="318"/>
      <c r="G187" s="318"/>
      <c r="H187" s="318"/>
      <c r="I187" s="318"/>
      <c r="J187" s="318"/>
    </row>
    <row r="188" spans="1:10" ht="12.6" customHeight="1">
      <c r="A188" s="375" t="s">
        <v>1281</v>
      </c>
      <c r="B188" s="3971">
        <v>720</v>
      </c>
      <c r="C188" s="4032"/>
      <c r="D188" s="390"/>
      <c r="E188" s="2571"/>
      <c r="F188" s="318"/>
      <c r="G188" s="318"/>
      <c r="H188" s="318"/>
      <c r="I188" s="318"/>
      <c r="J188" s="318"/>
    </row>
    <row r="189" spans="1:10" ht="12.6" customHeight="1">
      <c r="A189" s="398" t="s">
        <v>1318</v>
      </c>
      <c r="B189" s="2902">
        <v>725</v>
      </c>
      <c r="C189" s="4027"/>
      <c r="D189" s="389"/>
      <c r="E189" s="386"/>
      <c r="F189" s="318"/>
      <c r="G189" s="318"/>
      <c r="H189" s="318"/>
      <c r="I189" s="318"/>
      <c r="J189" s="318"/>
    </row>
    <row r="190" spans="1:10" ht="12.6" customHeight="1">
      <c r="A190" s="398" t="s">
        <v>1327</v>
      </c>
      <c r="B190" s="2902">
        <v>730</v>
      </c>
      <c r="C190" s="4027"/>
      <c r="D190" s="389"/>
      <c r="E190" s="386"/>
      <c r="F190" s="318"/>
      <c r="G190" s="318"/>
      <c r="H190" s="318"/>
      <c r="I190" s="318"/>
      <c r="J190" s="318"/>
    </row>
    <row r="191" spans="1:10" ht="12.6" customHeight="1">
      <c r="A191" s="398" t="s">
        <v>1337</v>
      </c>
      <c r="B191" s="2902">
        <v>735</v>
      </c>
      <c r="C191" s="4027"/>
      <c r="D191" s="389"/>
      <c r="E191" s="386"/>
      <c r="F191" s="318"/>
      <c r="G191" s="318"/>
      <c r="H191" s="318"/>
      <c r="I191" s="318"/>
      <c r="J191" s="318"/>
    </row>
    <row r="192" spans="1:10" ht="12.6" customHeight="1">
      <c r="A192" s="398" t="s">
        <v>1345</v>
      </c>
      <c r="B192" s="2902">
        <v>740</v>
      </c>
      <c r="C192" s="4027"/>
      <c r="D192" s="389"/>
      <c r="E192" s="386"/>
      <c r="F192" s="318"/>
      <c r="G192" s="318"/>
      <c r="H192" s="318"/>
      <c r="I192" s="318"/>
      <c r="J192" s="318"/>
    </row>
    <row r="193" spans="1:10" ht="12.6" customHeight="1">
      <c r="A193" s="398" t="s">
        <v>1346</v>
      </c>
      <c r="B193" s="2902">
        <v>745</v>
      </c>
      <c r="C193" s="4027"/>
      <c r="D193" s="389"/>
      <c r="E193" s="386"/>
      <c r="F193" s="318"/>
      <c r="G193" s="318"/>
      <c r="H193" s="318"/>
      <c r="I193" s="318"/>
      <c r="J193" s="318"/>
    </row>
    <row r="194" spans="1:10" ht="12.6" customHeight="1">
      <c r="A194" s="398" t="s">
        <v>1349</v>
      </c>
      <c r="B194" s="385">
        <v>680</v>
      </c>
      <c r="C194" s="383"/>
      <c r="D194" s="389"/>
      <c r="E194" s="386"/>
      <c r="F194" s="318"/>
      <c r="G194" s="318"/>
      <c r="H194" s="318"/>
      <c r="I194" s="318"/>
      <c r="J194" s="318"/>
    </row>
    <row r="195" spans="1:10" ht="12.6" customHeight="1">
      <c r="A195" s="398" t="s">
        <v>1350</v>
      </c>
      <c r="B195" s="385">
        <v>690</v>
      </c>
      <c r="C195" s="383"/>
      <c r="D195" s="389"/>
      <c r="E195" s="386"/>
      <c r="F195" s="318"/>
      <c r="G195" s="318"/>
      <c r="H195" s="318"/>
      <c r="I195" s="318"/>
      <c r="J195" s="318"/>
    </row>
    <row r="196" spans="1:10" ht="12.6" customHeight="1">
      <c r="A196" s="398" t="s">
        <v>1363</v>
      </c>
      <c r="B196" s="399" t="s">
        <v>1364</v>
      </c>
      <c r="C196" s="2855">
        <f>SUM(C26:C60,C69:C119,C128:C179,C188:C195)</f>
        <v>0</v>
      </c>
      <c r="D196" s="2855">
        <f t="shared" ref="D196:E196" si="3">SUM(D26:D60,D69:D119,D128:D179,D188:D195)</f>
        <v>0</v>
      </c>
      <c r="E196" s="2855">
        <f t="shared" si="3"/>
        <v>0</v>
      </c>
      <c r="F196" s="318"/>
      <c r="G196" s="318"/>
      <c r="H196" s="318"/>
      <c r="I196" s="318"/>
      <c r="J196" s="318"/>
    </row>
    <row r="197" spans="1:10" ht="12.6" customHeight="1">
      <c r="A197" s="314"/>
      <c r="B197" s="315"/>
      <c r="C197" s="314"/>
      <c r="D197" s="314"/>
      <c r="E197" s="314"/>
      <c r="F197" s="318"/>
      <c r="G197" s="318"/>
      <c r="H197" s="318"/>
      <c r="I197" s="318"/>
      <c r="J197" s="318"/>
    </row>
    <row r="198" spans="1:10" ht="12.6" customHeight="1">
      <c r="A198" s="314" t="s">
        <v>1255</v>
      </c>
      <c r="B198" s="315"/>
      <c r="C198" s="314"/>
      <c r="D198" s="314"/>
      <c r="E198" s="314"/>
      <c r="F198" s="318"/>
      <c r="G198" s="318"/>
      <c r="H198" s="318"/>
      <c r="I198" s="318"/>
      <c r="J198" s="318"/>
    </row>
    <row r="199" spans="1:10" ht="12.6" customHeight="1">
      <c r="A199" s="400"/>
      <c r="B199" s="315"/>
      <c r="C199" s="314"/>
      <c r="D199" s="314"/>
      <c r="E199" s="314"/>
      <c r="F199" s="318"/>
      <c r="G199" s="318"/>
      <c r="H199" s="318"/>
      <c r="I199" s="318"/>
      <c r="J199" s="318"/>
    </row>
    <row r="200" spans="1:10" ht="12.6" customHeight="1">
      <c r="A200" s="320"/>
      <c r="B200" s="320"/>
      <c r="C200" s="320"/>
      <c r="D200" s="320"/>
      <c r="E200" s="320"/>
      <c r="F200" s="320"/>
      <c r="G200" s="318"/>
      <c r="H200" s="318"/>
      <c r="I200" s="318"/>
      <c r="J200" s="318"/>
    </row>
    <row r="201" spans="1:10" ht="14.1" customHeight="1">
      <c r="A201" s="401"/>
      <c r="B201" s="401"/>
      <c r="C201" s="401"/>
      <c r="D201" s="401"/>
      <c r="E201" s="401"/>
      <c r="F201" s="318"/>
      <c r="G201" s="318"/>
      <c r="H201" s="318"/>
      <c r="I201" s="318"/>
      <c r="J201" s="318"/>
    </row>
    <row r="202" spans="1:10" ht="12.75" customHeight="1">
      <c r="A202" s="401"/>
      <c r="B202" s="401"/>
      <c r="C202" s="401"/>
      <c r="D202" s="401"/>
      <c r="E202" s="401"/>
      <c r="F202" s="318"/>
      <c r="G202" s="318"/>
      <c r="H202" s="318"/>
      <c r="I202" s="318"/>
      <c r="J202" s="318"/>
    </row>
    <row r="203" spans="1:10" ht="12.75" customHeight="1">
      <c r="A203" s="401"/>
      <c r="B203" s="401"/>
      <c r="C203" s="401"/>
      <c r="D203" s="401"/>
      <c r="E203" s="401"/>
      <c r="F203" s="318"/>
      <c r="G203" s="318"/>
      <c r="H203" s="318"/>
      <c r="I203" s="318"/>
      <c r="J203" s="318"/>
    </row>
    <row r="204" spans="1:10" ht="14.1" customHeight="1">
      <c r="A204" s="401"/>
      <c r="B204" s="401"/>
      <c r="C204" s="401"/>
      <c r="D204" s="401"/>
      <c r="E204" s="401"/>
      <c r="F204" s="318"/>
      <c r="G204" s="318"/>
      <c r="H204" s="318"/>
      <c r="I204" s="318"/>
      <c r="J204" s="318"/>
    </row>
    <row r="205" spans="1:10" ht="12.75" customHeight="1">
      <c r="A205" s="401"/>
      <c r="B205" s="401"/>
      <c r="C205" s="401"/>
      <c r="D205" s="401"/>
      <c r="E205" s="401"/>
      <c r="F205" s="318"/>
      <c r="G205" s="318"/>
      <c r="H205" s="318"/>
      <c r="I205" s="318"/>
      <c r="J205" s="318"/>
    </row>
    <row r="206" spans="1:10" ht="12.75" customHeight="1">
      <c r="A206" s="401"/>
      <c r="B206" s="401"/>
      <c r="C206" s="401"/>
      <c r="D206" s="401"/>
      <c r="E206" s="401"/>
      <c r="F206" s="318"/>
      <c r="G206" s="318"/>
      <c r="H206" s="318"/>
      <c r="I206" s="318"/>
      <c r="J206" s="318"/>
    </row>
    <row r="207" spans="1:10" ht="12.75" customHeight="1">
      <c r="A207" s="401"/>
      <c r="B207" s="401"/>
      <c r="C207" s="401"/>
      <c r="D207" s="401"/>
      <c r="E207" s="401"/>
      <c r="F207" s="318"/>
      <c r="G207" s="318"/>
      <c r="H207" s="318"/>
      <c r="I207" s="318"/>
      <c r="J207" s="318"/>
    </row>
    <row r="208" spans="1:10" ht="12.6" customHeight="1">
      <c r="A208" s="319"/>
      <c r="B208" s="372"/>
      <c r="C208" s="372"/>
      <c r="D208" s="372"/>
      <c r="E208" s="372"/>
      <c r="F208" s="372"/>
      <c r="G208" s="318"/>
      <c r="H208" s="318"/>
      <c r="I208" s="318"/>
      <c r="J208" s="318"/>
    </row>
    <row r="209" spans="1:10" ht="12.75" customHeight="1">
      <c r="A209" s="372"/>
      <c r="B209" s="371"/>
      <c r="C209" s="372"/>
      <c r="D209" s="372"/>
      <c r="E209" s="372"/>
      <c r="F209" s="373"/>
      <c r="G209" s="318"/>
      <c r="H209" s="318"/>
      <c r="I209" s="318"/>
      <c r="J209" s="318"/>
    </row>
    <row r="210" spans="1:10" ht="12.6" customHeight="1">
      <c r="A210" s="314"/>
      <c r="B210" s="371"/>
      <c r="C210" s="373"/>
      <c r="D210" s="373"/>
      <c r="E210" s="373"/>
      <c r="F210" s="373"/>
      <c r="G210" s="318"/>
      <c r="H210" s="318"/>
      <c r="I210" s="318"/>
      <c r="J210" s="318"/>
    </row>
  </sheetData>
  <sheetProtection algorithmName="SHA-512" hashValue="p80q6R2QcNVYVbIGCZ/367rxDYwdXftOkASMqF4026bN4ku29l+j3KteKEGnMiomfSjA6t0mlFXzuwcrYYYuNA==" saltValue="ccYAJE797WZjzq+9DmhMHA==" spinCount="100000" sheet="1" objects="1" scenarios="1"/>
  <dataConsolidate/>
  <phoneticPr fontId="10" type="noConversion"/>
  <dataValidations count="2">
    <dataValidation type="whole" operator="greaterThanOrEqual" showInputMessage="1" showErrorMessage="1" errorTitle="Invalid Data Entry" error="Please enter a positive number or press the delete key or enter zero." sqref="C160:E161 C163:E163 C146:E158 C174:E175 C165:E171 C69:E71 C100:E105 C90:E92 C94:E98 C84:E88 C12:E12 C28:E29 C52:E53 C74:E75 C77:E82 C111:E115 C57:D57 C58:C59 D55:E59 C55:C56 C43:E48 C38:E41 C31:E35 C14:D14 C10:D10 C108:E109 C60:E60 C117:E119 C128:E129 C132:E133 C135:E143 C177:E179 C188:E195">
      <formula1>0</formula1>
    </dataValidation>
    <dataValidation type="whole" operator="greaterThanOrEqual" showInputMessage="1" showErrorMessage="1" errorTitle="Invalid beginning cash balance" error="Please enter a number or press the delete key or enter zero." sqref="C9">
      <formula1>-1000000000</formula1>
    </dataValidation>
  </dataValidations>
  <hyperlinks>
    <hyperlink ref="G1" location="Contents!F1" display="Return to Contents page"/>
  </hyperlinks>
  <printOptions horizontalCentered="1"/>
  <pageMargins left="0.25" right="0.25" top="0.25" bottom="0.25" header="0.5" footer="0.5"/>
  <pageSetup scale="98" fitToHeight="5" orientation="portrait" blackAndWhite="1" r:id="rId1"/>
  <headerFooter alignWithMargins="0">
    <oddFooter>&amp;L&amp;D     &amp;T &amp;CCode No. 57&amp;RPage &amp;P</oddFooter>
  </headerFooter>
  <rowBreaks count="3" manualBreakCount="3">
    <brk id="60" max="5" man="1"/>
    <brk id="119" max="5" man="1"/>
    <brk id="179" max="5" man="1"/>
  </rowBreak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theme="4" tint="0.39997558519241921"/>
    <pageSetUpPr fitToPage="1"/>
  </sheetPr>
  <dimension ref="A1:P312"/>
  <sheetViews>
    <sheetView workbookViewId="0">
      <selection activeCell="F52" sqref="F52"/>
    </sheetView>
  </sheetViews>
  <sheetFormatPr defaultColWidth="10.7109375" defaultRowHeight="12" customHeight="1"/>
  <cols>
    <col min="1" max="1" width="40.42578125" style="1781" customWidth="1"/>
    <col min="2" max="2" width="5.5703125" style="1823" customWidth="1"/>
    <col min="3" max="3" width="14.7109375" style="1775" customWidth="1"/>
    <col min="4" max="5" width="14.140625" style="1775" customWidth="1"/>
    <col min="6" max="6" width="15" style="1775" customWidth="1"/>
    <col min="7" max="7" width="2.140625" style="1775" customWidth="1"/>
    <col min="8" max="8" width="21" style="1775" customWidth="1"/>
    <col min="9" max="14" width="10.7109375" style="1775"/>
    <col min="15" max="15" width="12.5703125" style="1775" customWidth="1"/>
    <col min="16" max="16384" width="10.7109375" style="1775"/>
  </cols>
  <sheetData>
    <row r="1" spans="1:13" ht="12" customHeight="1">
      <c r="A1" s="1772" t="s">
        <v>1019</v>
      </c>
      <c r="B1" s="1773">
        <f>OPEN!$B$4</f>
        <v>270</v>
      </c>
      <c r="C1" s="1774"/>
      <c r="D1" s="1774"/>
      <c r="E1" s="1774"/>
      <c r="F1" s="1772" t="s">
        <v>1020</v>
      </c>
      <c r="H1" s="3013" t="s">
        <v>866</v>
      </c>
    </row>
    <row r="2" spans="1:13" ht="12" customHeight="1">
      <c r="A2" s="1774"/>
      <c r="B2" s="1776"/>
      <c r="C2" s="1774"/>
      <c r="D2" s="1774"/>
      <c r="E2" s="1774"/>
      <c r="F2" s="1772" t="s">
        <v>1212</v>
      </c>
    </row>
    <row r="3" spans="1:13" ht="12" customHeight="1">
      <c r="A3" s="1774"/>
      <c r="B3" s="1776"/>
      <c r="C3" s="1774"/>
      <c r="D3" s="1774"/>
      <c r="E3" s="1774"/>
      <c r="F3" s="1772" t="str">
        <f>OPEN!N2</f>
        <v>2016-2017</v>
      </c>
    </row>
    <row r="4" spans="1:13" ht="11.25" customHeight="1">
      <c r="A4" s="1774"/>
      <c r="B4" s="1776"/>
      <c r="C4" s="1774"/>
      <c r="D4" s="1774"/>
      <c r="E4" s="1774"/>
      <c r="F4" s="1774"/>
    </row>
    <row r="5" spans="1:13" ht="12" customHeight="1">
      <c r="A5" s="1774"/>
      <c r="B5" s="1776"/>
      <c r="C5" s="1777" t="s">
        <v>1213</v>
      </c>
      <c r="D5" s="1777" t="s">
        <v>1213</v>
      </c>
      <c r="E5" s="1777" t="s">
        <v>1213</v>
      </c>
      <c r="F5" s="1777" t="s">
        <v>10</v>
      </c>
    </row>
    <row r="6" spans="1:13" ht="12" customHeight="1">
      <c r="A6" s="1778"/>
      <c r="B6" s="1779" t="s">
        <v>1045</v>
      </c>
      <c r="C6" s="1780" t="str">
        <f>OPEN!N4</f>
        <v>2014-2015</v>
      </c>
      <c r="D6" s="1780" t="str">
        <f>OPEN!O4</f>
        <v>2015-2016</v>
      </c>
      <c r="E6" s="1780" t="str">
        <f>OPEN!P4</f>
        <v>2016-2017</v>
      </c>
      <c r="F6" s="1780" t="s">
        <v>758</v>
      </c>
      <c r="K6" s="1781"/>
      <c r="L6" s="1781"/>
      <c r="M6" s="1781"/>
    </row>
    <row r="7" spans="1:13" ht="12" customHeight="1">
      <c r="A7" s="1778" t="s">
        <v>815</v>
      </c>
      <c r="B7" s="1782">
        <v>62</v>
      </c>
      <c r="C7" s="1783" t="s">
        <v>1139</v>
      </c>
      <c r="D7" s="1783" t="s">
        <v>1139</v>
      </c>
      <c r="E7" s="1783" t="s">
        <v>1215</v>
      </c>
      <c r="F7" s="1783" t="s">
        <v>16</v>
      </c>
    </row>
    <row r="8" spans="1:13" ht="12" customHeight="1">
      <c r="A8" s="3349" t="str">
        <f>IF(B1=113,"(USD 441)"," ")</f>
        <v xml:space="preserve"> </v>
      </c>
      <c r="B8" s="1784" t="s">
        <v>1051</v>
      </c>
      <c r="C8" s="1785">
        <v>1</v>
      </c>
      <c r="D8" s="1785">
        <v>2</v>
      </c>
      <c r="E8" s="1785">
        <v>3</v>
      </c>
      <c r="F8" s="1785">
        <v>4</v>
      </c>
    </row>
    <row r="9" spans="1:13" ht="12" customHeight="1">
      <c r="A9" s="1786" t="s">
        <v>1218</v>
      </c>
      <c r="B9" s="1782">
        <v>1</v>
      </c>
      <c r="C9" s="1787">
        <v>338684</v>
      </c>
      <c r="D9" s="1788">
        <f>C53</f>
        <v>399657</v>
      </c>
      <c r="E9" s="1788">
        <f>D53</f>
        <v>410664</v>
      </c>
      <c r="F9" s="1789">
        <f>E9</f>
        <v>410664</v>
      </c>
    </row>
    <row r="10" spans="1:13" ht="12" customHeight="1">
      <c r="A10" s="1790" t="s">
        <v>19</v>
      </c>
      <c r="B10" s="1779"/>
      <c r="C10" s="1791"/>
      <c r="D10" s="1791"/>
      <c r="E10" s="1791"/>
      <c r="F10" s="1791"/>
    </row>
    <row r="11" spans="1:13" ht="12" customHeight="1">
      <c r="A11" s="1786" t="s">
        <v>816</v>
      </c>
      <c r="B11" s="1782"/>
      <c r="C11" s="1792"/>
      <c r="D11" s="1792"/>
      <c r="E11" s="1792"/>
      <c r="F11" s="1792"/>
    </row>
    <row r="12" spans="1:13" ht="12" customHeight="1">
      <c r="A12" s="1786" t="s">
        <v>817</v>
      </c>
      <c r="B12" s="1782"/>
      <c r="C12" s="1792"/>
      <c r="D12" s="1792"/>
      <c r="E12" s="1792"/>
      <c r="F12" s="1792"/>
    </row>
    <row r="13" spans="1:13" ht="12" customHeight="1">
      <c r="A13" s="1793" t="str">
        <f>OPEN!N8</f>
        <v xml:space="preserve">    2013  $</v>
      </c>
      <c r="B13" s="1784">
        <v>5</v>
      </c>
      <c r="C13" s="1794">
        <v>16985</v>
      </c>
      <c r="D13" s="1792"/>
      <c r="E13" s="1792"/>
      <c r="F13" s="1792"/>
    </row>
    <row r="14" spans="1:13" ht="12" customHeight="1">
      <c r="A14" s="1795" t="str">
        <f>OPEN!N9</f>
        <v xml:space="preserve">    2014  $</v>
      </c>
      <c r="B14" s="1796">
        <v>10</v>
      </c>
      <c r="C14" s="1797">
        <v>275352</v>
      </c>
      <c r="D14" s="1794">
        <v>3054</v>
      </c>
      <c r="E14" s="1792"/>
      <c r="F14" s="1792"/>
    </row>
    <row r="15" spans="1:13" ht="12" customHeight="1">
      <c r="A15" s="1793" t="str">
        <f>OPEN!N10</f>
        <v xml:space="preserve">    2015  $</v>
      </c>
      <c r="B15" s="1784">
        <v>15</v>
      </c>
      <c r="C15" s="1791"/>
      <c r="D15" s="1789">
        <f>IF('C04'!E19&lt;0,0,'C04'!E19)</f>
        <v>234111</v>
      </c>
      <c r="E15" s="1798">
        <f>'F110'!K33</f>
        <v>11523</v>
      </c>
      <c r="F15" s="1798">
        <f>E15</f>
        <v>11523</v>
      </c>
    </row>
    <row r="16" spans="1:13" ht="12" customHeight="1">
      <c r="A16" s="1795" t="str">
        <f>OPEN!N11</f>
        <v xml:space="preserve">    2016  $</v>
      </c>
      <c r="B16" s="1796">
        <v>20</v>
      </c>
      <c r="C16" s="1792"/>
      <c r="D16" s="1799"/>
      <c r="E16" s="1789">
        <f>'C04'!L19</f>
        <v>217654</v>
      </c>
      <c r="F16" s="1800"/>
    </row>
    <row r="17" spans="1:9" ht="12" customHeight="1">
      <c r="A17" s="1795" t="s">
        <v>818</v>
      </c>
      <c r="B17" s="1796">
        <v>25</v>
      </c>
      <c r="C17" s="1794">
        <v>5789</v>
      </c>
      <c r="D17" s="4121">
        <v>4067</v>
      </c>
      <c r="E17" s="1798">
        <f>0.667*F17</f>
        <v>598</v>
      </c>
      <c r="F17" s="4072">
        <f>'F110'!K37</f>
        <v>896</v>
      </c>
    </row>
    <row r="18" spans="1:9" ht="12" customHeight="1">
      <c r="A18" s="1795" t="s">
        <v>819</v>
      </c>
      <c r="B18" s="1796">
        <v>30</v>
      </c>
      <c r="C18" s="1797"/>
      <c r="D18" s="1797"/>
      <c r="E18" s="1794"/>
      <c r="F18" s="1789">
        <f>E18</f>
        <v>0</v>
      </c>
    </row>
    <row r="19" spans="1:9" ht="12" customHeight="1">
      <c r="A19" s="1793" t="s">
        <v>820</v>
      </c>
      <c r="B19" s="1784">
        <v>35</v>
      </c>
      <c r="C19" s="1791"/>
      <c r="D19" s="1791"/>
      <c r="E19" s="1791"/>
      <c r="F19" s="1794"/>
    </row>
    <row r="20" spans="1:9" ht="12" customHeight="1">
      <c r="A20" s="1795" t="s">
        <v>821</v>
      </c>
      <c r="B20" s="1796">
        <v>40</v>
      </c>
      <c r="C20" s="1794">
        <v>1136</v>
      </c>
      <c r="D20" s="1794">
        <v>57</v>
      </c>
      <c r="E20" s="1794"/>
      <c r="F20" s="1789">
        <f>E20</f>
        <v>0</v>
      </c>
    </row>
    <row r="21" spans="1:9" ht="12" customHeight="1">
      <c r="A21" s="1793" t="s">
        <v>820</v>
      </c>
      <c r="B21" s="1784">
        <v>45</v>
      </c>
      <c r="C21" s="1791"/>
      <c r="D21" s="1791"/>
      <c r="E21" s="1791"/>
      <c r="F21" s="1797"/>
    </row>
    <row r="22" spans="1:9" ht="12" customHeight="1">
      <c r="A22" s="1790" t="s">
        <v>822</v>
      </c>
      <c r="B22" s="1779"/>
      <c r="C22" s="1788"/>
      <c r="D22" s="1792"/>
      <c r="E22" s="1792"/>
      <c r="F22" s="1800"/>
    </row>
    <row r="23" spans="1:9" ht="12" customHeight="1">
      <c r="A23" s="1793" t="s">
        <v>285</v>
      </c>
      <c r="B23" s="1784">
        <v>55</v>
      </c>
      <c r="C23" s="1794">
        <v>14013</v>
      </c>
      <c r="D23" s="1794">
        <v>17837</v>
      </c>
      <c r="E23" s="1798">
        <f>IF(ISERROR('F194'!H80+'F194'!H22+'F194'!$P$80+'F194'!$P$22),0,('F194'!H80+'F194'!H22+'F194'!$P$80+'F194'!$P$22))</f>
        <v>15245</v>
      </c>
      <c r="F23" s="1798">
        <f>E23</f>
        <v>15245</v>
      </c>
    </row>
    <row r="24" spans="1:9" ht="12" customHeight="1">
      <c r="A24" s="1801" t="s">
        <v>820</v>
      </c>
      <c r="B24" s="1802">
        <v>60</v>
      </c>
      <c r="C24" s="1791"/>
      <c r="D24" s="1791"/>
      <c r="E24" s="1791"/>
      <c r="F24" s="1803">
        <f>F23*0.5</f>
        <v>7623</v>
      </c>
    </row>
    <row r="25" spans="1:9" ht="12" customHeight="1">
      <c r="A25" s="1801" t="s">
        <v>31</v>
      </c>
      <c r="B25" s="1802">
        <v>65</v>
      </c>
      <c r="C25" s="1794">
        <v>237</v>
      </c>
      <c r="D25" s="1794">
        <v>252</v>
      </c>
      <c r="E25" s="1798">
        <f>IF(ISERROR('F194'!$L$80+'F194'!$L$22),0,('F194'!$L$80+'F194'!$L$22))</f>
        <v>309</v>
      </c>
      <c r="F25" s="1803">
        <f>E25</f>
        <v>309</v>
      </c>
    </row>
    <row r="26" spans="1:9" ht="12" customHeight="1">
      <c r="A26" s="1801" t="s">
        <v>32</v>
      </c>
      <c r="B26" s="1802">
        <v>66</v>
      </c>
      <c r="C26" s="1792"/>
      <c r="D26" s="1792"/>
      <c r="E26" s="1792"/>
      <c r="F26" s="1803">
        <f>F25*0.5</f>
        <v>155</v>
      </c>
    </row>
    <row r="27" spans="1:9" ht="12" customHeight="1">
      <c r="A27" s="5027" t="s">
        <v>1870</v>
      </c>
      <c r="B27" s="5028">
        <v>67</v>
      </c>
      <c r="C27" s="3648"/>
      <c r="D27" s="3648"/>
      <c r="E27" s="1798">
        <f>IF(ISERROR('F194'!R80+'F194'!R22),0,('F194'!R80+'F194'!R22))</f>
        <v>2005</v>
      </c>
      <c r="F27" s="1803">
        <f>E27</f>
        <v>2005</v>
      </c>
    </row>
    <row r="28" spans="1:9" ht="12" customHeight="1">
      <c r="A28" s="5027" t="s">
        <v>32</v>
      </c>
      <c r="B28" s="5028">
        <v>68</v>
      </c>
      <c r="C28" s="1792"/>
      <c r="D28" s="1792"/>
      <c r="E28" s="1792"/>
      <c r="F28" s="1803">
        <f>F27*0.5</f>
        <v>1003</v>
      </c>
    </row>
    <row r="29" spans="1:9" ht="12" customHeight="1">
      <c r="A29" s="1801" t="s">
        <v>1939</v>
      </c>
      <c r="B29" s="1802">
        <v>70</v>
      </c>
      <c r="C29" s="1787">
        <v>27</v>
      </c>
      <c r="D29" s="1787">
        <v>5</v>
      </c>
      <c r="E29" s="1798">
        <f>IF(ISERROR('F194'!N80+'F194'!N22),0,('F194'!N80+'F194'!N22))</f>
        <v>0</v>
      </c>
      <c r="F29" s="1789">
        <f>E29</f>
        <v>0</v>
      </c>
    </row>
    <row r="30" spans="1:9" ht="12" customHeight="1">
      <c r="A30" s="1801" t="s">
        <v>820</v>
      </c>
      <c r="B30" s="3393">
        <v>72</v>
      </c>
      <c r="C30" s="1791"/>
      <c r="D30" s="3357"/>
      <c r="E30" s="3357"/>
      <c r="F30" s="1803">
        <f>F29*0.5</f>
        <v>0</v>
      </c>
    </row>
    <row r="31" spans="1:9" ht="12" customHeight="1">
      <c r="A31" s="1804" t="s">
        <v>872</v>
      </c>
      <c r="B31" s="3394"/>
      <c r="C31" s="1792"/>
      <c r="D31" s="3292"/>
      <c r="E31" s="3358"/>
      <c r="F31" s="1803"/>
    </row>
    <row r="32" spans="1:9" ht="12" customHeight="1">
      <c r="A32" s="1805" t="s">
        <v>1861</v>
      </c>
      <c r="B32" s="4271">
        <v>76</v>
      </c>
      <c r="C32" s="4066"/>
      <c r="D32" s="4066"/>
      <c r="E32" s="1798">
        <f>'F242'!$I$24</f>
        <v>0</v>
      </c>
      <c r="F32" s="1798">
        <f>E32</f>
        <v>0</v>
      </c>
      <c r="H32" s="4036"/>
      <c r="I32" s="4037"/>
    </row>
    <row r="33" spans="1:9" ht="12" customHeight="1">
      <c r="A33" s="1801" t="s">
        <v>873</v>
      </c>
      <c r="B33" s="3393">
        <v>77</v>
      </c>
      <c r="C33" s="1791"/>
      <c r="D33" s="1791"/>
      <c r="E33" s="3292"/>
      <c r="F33" s="1797"/>
      <c r="I33" s="4037"/>
    </row>
    <row r="34" spans="1:9" ht="12" customHeight="1">
      <c r="A34" s="5029" t="s">
        <v>2495</v>
      </c>
      <c r="B34" s="3393">
        <v>78</v>
      </c>
      <c r="C34" s="1788"/>
      <c r="D34" s="3648"/>
      <c r="E34" s="4072">
        <f>'F242'!$I$50</f>
        <v>0</v>
      </c>
      <c r="F34" s="1789">
        <f>E34</f>
        <v>0</v>
      </c>
      <c r="H34" s="4036"/>
    </row>
    <row r="35" spans="1:9" ht="12" customHeight="1">
      <c r="A35" s="5029" t="s">
        <v>873</v>
      </c>
      <c r="B35" s="5028">
        <v>79</v>
      </c>
      <c r="C35" s="1788"/>
      <c r="D35" s="1788"/>
      <c r="E35" s="4071"/>
      <c r="F35" s="4066"/>
      <c r="H35" s="4036"/>
    </row>
    <row r="36" spans="1:9" ht="12" customHeight="1">
      <c r="A36" s="5062" t="s">
        <v>2494</v>
      </c>
      <c r="B36" s="5059">
        <v>83</v>
      </c>
      <c r="C36" s="1788"/>
      <c r="D36" s="1788"/>
      <c r="E36" s="5060">
        <f>'F242'!I74</f>
        <v>0</v>
      </c>
      <c r="F36" s="5061">
        <f>E36</f>
        <v>0</v>
      </c>
      <c r="H36" s="4036"/>
    </row>
    <row r="37" spans="1:9" ht="12" customHeight="1">
      <c r="A37" s="4139" t="s">
        <v>873</v>
      </c>
      <c r="B37" s="5058">
        <v>84</v>
      </c>
      <c r="C37" s="1788"/>
      <c r="D37" s="1788"/>
      <c r="E37" s="4071"/>
      <c r="F37" s="5235"/>
      <c r="H37" s="4036"/>
    </row>
    <row r="38" spans="1:9" ht="12" customHeight="1">
      <c r="A38" s="3290" t="s">
        <v>1451</v>
      </c>
      <c r="B38" s="4272"/>
      <c r="C38" s="1792"/>
      <c r="D38" s="1792"/>
      <c r="E38" s="3358"/>
      <c r="F38" s="1803"/>
      <c r="I38" s="4036"/>
    </row>
    <row r="39" spans="1:9" ht="12" customHeight="1">
      <c r="A39" s="3291" t="s">
        <v>1452</v>
      </c>
      <c r="B39" s="4070">
        <v>80</v>
      </c>
      <c r="C39" s="3648"/>
      <c r="D39" s="1794"/>
      <c r="E39" s="4072">
        <f>'F242'!$I$16+'F242'!$I$42</f>
        <v>0</v>
      </c>
      <c r="F39" s="1798">
        <f>E39</f>
        <v>0</v>
      </c>
    </row>
    <row r="40" spans="1:9" ht="12" customHeight="1">
      <c r="A40" s="1805" t="s">
        <v>873</v>
      </c>
      <c r="B40" s="3306">
        <v>81</v>
      </c>
      <c r="C40" s="1792"/>
      <c r="D40" s="1792"/>
      <c r="E40" s="1792"/>
      <c r="F40" s="1794"/>
    </row>
    <row r="41" spans="1:9" ht="12" customHeight="1">
      <c r="A41" s="1807" t="s">
        <v>52</v>
      </c>
      <c r="B41" s="1806">
        <v>82</v>
      </c>
      <c r="C41" s="1798">
        <f>SUM(C9:C40)</f>
        <v>652223</v>
      </c>
      <c r="D41" s="1798">
        <f>SUM(D9:D40)</f>
        <v>659040</v>
      </c>
      <c r="E41" s="1798">
        <f>SUM(E9:E40)</f>
        <v>657998</v>
      </c>
      <c r="F41" s="1798">
        <f>SUM(F9:F40)</f>
        <v>449423</v>
      </c>
    </row>
    <row r="42" spans="1:9" ht="12" customHeight="1">
      <c r="A42" s="1804" t="s">
        <v>874</v>
      </c>
      <c r="B42" s="1780"/>
      <c r="C42" s="1791"/>
      <c r="D42" s="1791"/>
      <c r="E42" s="1791"/>
      <c r="F42" s="1791"/>
    </row>
    <row r="43" spans="1:9" ht="12" customHeight="1">
      <c r="A43" s="1808" t="s">
        <v>875</v>
      </c>
      <c r="B43" s="1783"/>
      <c r="C43" s="1792"/>
      <c r="D43" s="1792"/>
      <c r="E43" s="1792"/>
      <c r="F43" s="1792"/>
    </row>
    <row r="44" spans="1:9" ht="12" customHeight="1">
      <c r="A44" s="1805" t="s">
        <v>34</v>
      </c>
      <c r="B44" s="1806">
        <v>85</v>
      </c>
      <c r="C44" s="1794">
        <v>102566</v>
      </c>
      <c r="D44" s="1794">
        <v>81063</v>
      </c>
      <c r="E44" s="1809">
        <v>65713</v>
      </c>
      <c r="F44" s="1792"/>
    </row>
    <row r="45" spans="1:9" ht="12" customHeight="1">
      <c r="A45" s="1805" t="s">
        <v>1965</v>
      </c>
      <c r="B45" s="1806">
        <v>90</v>
      </c>
      <c r="C45" s="1797"/>
      <c r="D45" s="1797"/>
      <c r="E45" s="1797"/>
      <c r="F45" s="1792"/>
    </row>
    <row r="46" spans="1:9" ht="12" customHeight="1">
      <c r="A46" s="1801" t="s">
        <v>35</v>
      </c>
      <c r="B46" s="1802">
        <v>95</v>
      </c>
      <c r="C46" s="1797">
        <v>150000</v>
      </c>
      <c r="D46" s="1797">
        <v>167313</v>
      </c>
      <c r="E46" s="1810">
        <v>185000</v>
      </c>
      <c r="F46" s="1792"/>
    </row>
    <row r="47" spans="1:9" ht="12" customHeight="1">
      <c r="A47" s="1811" t="s">
        <v>876</v>
      </c>
      <c r="B47" s="1802">
        <v>100</v>
      </c>
      <c r="C47" s="1789">
        <f>SUM(C42:C46)</f>
        <v>252566</v>
      </c>
      <c r="D47" s="1789">
        <f>SUM(D42:D46)</f>
        <v>248376</v>
      </c>
      <c r="E47" s="1789">
        <f>SUM(E42:E46)</f>
        <v>250713</v>
      </c>
      <c r="F47" s="1798">
        <f>E47</f>
        <v>250713</v>
      </c>
    </row>
    <row r="48" spans="1:9" ht="12" customHeight="1">
      <c r="A48" s="1801" t="s">
        <v>36</v>
      </c>
      <c r="B48" s="1802">
        <v>105</v>
      </c>
      <c r="C48" s="1791"/>
      <c r="D48" s="1791"/>
      <c r="E48" s="1791"/>
      <c r="F48" s="1812">
        <v>34813</v>
      </c>
    </row>
    <row r="49" spans="1:16" ht="12" customHeight="1">
      <c r="A49" s="1801" t="s">
        <v>1967</v>
      </c>
      <c r="B49" s="1802">
        <v>110</v>
      </c>
      <c r="C49" s="1792"/>
      <c r="D49" s="1792"/>
      <c r="E49" s="1792"/>
      <c r="F49" s="1797"/>
    </row>
    <row r="50" spans="1:16" ht="12" customHeight="1">
      <c r="A50" s="1801" t="s">
        <v>37</v>
      </c>
      <c r="B50" s="1802">
        <v>115</v>
      </c>
      <c r="C50" s="1792"/>
      <c r="D50" s="1792"/>
      <c r="E50" s="1792"/>
      <c r="F50" s="1813">
        <v>185000</v>
      </c>
    </row>
    <row r="51" spans="1:16" ht="12" customHeight="1">
      <c r="A51" s="1801" t="s">
        <v>877</v>
      </c>
      <c r="B51" s="1802">
        <v>120</v>
      </c>
      <c r="C51" s="1792"/>
      <c r="D51" s="1792"/>
      <c r="E51" s="1792"/>
      <c r="F51" s="1797">
        <v>200000</v>
      </c>
      <c r="H51" s="3086"/>
    </row>
    <row r="52" spans="1:16" ht="12" customHeight="1">
      <c r="A52" s="1801" t="s">
        <v>878</v>
      </c>
      <c r="B52" s="1802">
        <v>185</v>
      </c>
      <c r="C52" s="1814" t="s">
        <v>51</v>
      </c>
      <c r="D52" s="1814" t="s">
        <v>51</v>
      </c>
      <c r="E52" s="1814" t="s">
        <v>51</v>
      </c>
      <c r="F52" s="1789">
        <f>SUM(F47:F51)</f>
        <v>670526</v>
      </c>
    </row>
    <row r="53" spans="1:16" ht="12" customHeight="1">
      <c r="A53" s="1801" t="s">
        <v>879</v>
      </c>
      <c r="B53" s="1802">
        <v>190</v>
      </c>
      <c r="C53" s="1798">
        <f>SUM(C41-C47)</f>
        <v>399657</v>
      </c>
      <c r="D53" s="1798">
        <f>SUM(D41-D47)</f>
        <v>410664</v>
      </c>
      <c r="E53" s="1798">
        <f>SUM(E41-E47)</f>
        <v>407285</v>
      </c>
      <c r="F53" s="1814" t="s">
        <v>1189</v>
      </c>
    </row>
    <row r="54" spans="1:16" ht="12" customHeight="1">
      <c r="A54" s="1774"/>
      <c r="B54" s="1802">
        <v>195</v>
      </c>
      <c r="C54" s="1815" t="s">
        <v>1456</v>
      </c>
      <c r="D54" s="1816"/>
      <c r="E54" s="1817"/>
      <c r="F54" s="1789">
        <f>SUM(F52-F41)</f>
        <v>221103</v>
      </c>
    </row>
    <row r="55" spans="1:16" ht="12" customHeight="1">
      <c r="A55" s="1774"/>
      <c r="B55" s="1802">
        <v>200</v>
      </c>
      <c r="C55" s="1815" t="s">
        <v>763</v>
      </c>
      <c r="D55" s="1816"/>
      <c r="E55" s="1817"/>
      <c r="F55" s="1789">
        <f>F54*'C01'!$F$119/100</f>
        <v>15477</v>
      </c>
      <c r="O55" s="3606"/>
      <c r="P55"/>
    </row>
    <row r="56" spans="1:16" ht="12" customHeight="1">
      <c r="A56" s="1774"/>
      <c r="B56" s="1802">
        <v>205</v>
      </c>
      <c r="C56" s="1815" t="str">
        <f>OPEN!N6</f>
        <v>Amount of 2016 Tax to be Levied</v>
      </c>
      <c r="D56" s="1816"/>
      <c r="E56" s="1818"/>
      <c r="F56" s="1789">
        <f>SUM(F54+F55)</f>
        <v>236580</v>
      </c>
      <c r="H56" s="3169" t="s">
        <v>389</v>
      </c>
      <c r="I56" s="3171">
        <f>IF(ISERROR(F56/OPEN!N44*1000),"Check errors below",F56/OPEN!N44*1000)</f>
        <v>7.4790000000000001</v>
      </c>
      <c r="O56" s="3606"/>
      <c r="P56"/>
    </row>
    <row r="57" spans="1:16" ht="12" customHeight="1">
      <c r="A57" s="1774"/>
      <c r="B57" s="2784"/>
      <c r="C57" s="1819"/>
      <c r="D57" s="1819"/>
      <c r="E57" s="1819"/>
      <c r="F57" s="1819"/>
      <c r="H57" s="3170" t="str">
        <f>IF(B1&lt;&gt;113,OPEN!N40,OPEN!N41)</f>
        <v/>
      </c>
      <c r="I57" s="1774"/>
    </row>
    <row r="58" spans="1:16" ht="12" customHeight="1">
      <c r="A58" s="1774" t="s">
        <v>1894</v>
      </c>
      <c r="B58" s="1777"/>
      <c r="C58" s="1819"/>
      <c r="D58" s="1819"/>
      <c r="E58" s="1819"/>
      <c r="F58" s="1819"/>
    </row>
    <row r="59" spans="1:16" ht="12" customHeight="1">
      <c r="A59" s="1820" t="s">
        <v>881</v>
      </c>
      <c r="B59" s="1777"/>
      <c r="C59" s="1819"/>
      <c r="D59" s="1819"/>
      <c r="E59" s="1819"/>
      <c r="F59" s="1819"/>
      <c r="H59" s="3379"/>
    </row>
    <row r="60" spans="1:16" ht="12" customHeight="1">
      <c r="A60" s="1774"/>
      <c r="B60" s="2784" t="s">
        <v>1364</v>
      </c>
      <c r="C60" s="1819"/>
      <c r="D60" s="1819"/>
      <c r="E60" s="1819"/>
      <c r="F60" s="1819"/>
    </row>
    <row r="61" spans="1:16" ht="12" customHeight="1">
      <c r="A61" s="1774"/>
      <c r="B61" s="1777"/>
      <c r="C61" s="1819"/>
      <c r="D61" s="1819"/>
      <c r="E61" s="1819"/>
      <c r="F61" s="1819"/>
    </row>
    <row r="62" spans="1:16" ht="12" customHeight="1">
      <c r="A62" s="1774"/>
      <c r="B62" s="1777"/>
      <c r="C62" s="1819"/>
      <c r="D62" s="1819"/>
      <c r="E62" s="1819"/>
      <c r="F62" s="1819"/>
    </row>
    <row r="63" spans="1:16" ht="12" customHeight="1">
      <c r="A63" s="1774"/>
      <c r="B63" s="1777"/>
      <c r="C63" s="1819"/>
      <c r="D63" s="1819"/>
      <c r="E63" s="1819"/>
      <c r="F63" s="1819"/>
    </row>
    <row r="64" spans="1:16" ht="12" customHeight="1">
      <c r="A64" s="1821"/>
      <c r="B64" s="1821"/>
      <c r="C64" s="1822"/>
      <c r="D64" s="1822"/>
      <c r="E64" s="1822"/>
      <c r="F64" s="1822"/>
    </row>
    <row r="65" spans="1:6" ht="12" customHeight="1">
      <c r="A65" s="1774"/>
      <c r="B65" s="1777"/>
      <c r="C65" s="1819"/>
      <c r="D65" s="1819"/>
      <c r="E65" s="1819"/>
      <c r="F65" s="1819"/>
    </row>
    <row r="66" spans="1:6" ht="12" customHeight="1">
      <c r="A66" s="1774"/>
      <c r="B66" s="1777"/>
      <c r="C66" s="1819"/>
      <c r="D66" s="1819"/>
      <c r="E66" s="1819"/>
      <c r="F66" s="1819"/>
    </row>
    <row r="67" spans="1:6" ht="12" customHeight="1">
      <c r="A67" s="1774"/>
      <c r="B67" s="1777"/>
      <c r="C67" s="1819"/>
      <c r="D67" s="1819"/>
      <c r="E67" s="1819"/>
      <c r="F67" s="1819"/>
    </row>
    <row r="68" spans="1:6" ht="12" customHeight="1">
      <c r="A68" s="1774"/>
      <c r="B68" s="1777"/>
      <c r="C68" s="1819"/>
      <c r="D68" s="1819"/>
      <c r="E68" s="1819"/>
      <c r="F68" s="1819"/>
    </row>
    <row r="69" spans="1:6" ht="12" customHeight="1">
      <c r="A69" s="1774"/>
      <c r="B69" s="1777"/>
      <c r="C69" s="1819"/>
      <c r="D69" s="1819"/>
      <c r="E69" s="1819"/>
      <c r="F69" s="1819"/>
    </row>
    <row r="70" spans="1:6" ht="12" customHeight="1">
      <c r="A70" s="1774"/>
      <c r="B70" s="1777"/>
      <c r="C70" s="1819"/>
      <c r="D70" s="1819"/>
      <c r="E70" s="1819"/>
      <c r="F70" s="1819"/>
    </row>
    <row r="71" spans="1:6" ht="12" customHeight="1">
      <c r="A71" s="1774"/>
      <c r="B71" s="1777"/>
      <c r="C71" s="1819"/>
      <c r="D71" s="1819"/>
      <c r="E71" s="1819"/>
      <c r="F71" s="1819"/>
    </row>
    <row r="72" spans="1:6" ht="12" customHeight="1">
      <c r="A72" s="1774"/>
      <c r="B72" s="1777"/>
      <c r="C72" s="1819"/>
      <c r="D72" s="1819"/>
      <c r="E72" s="1819"/>
      <c r="F72" s="1819"/>
    </row>
    <row r="73" spans="1:6" ht="12" customHeight="1">
      <c r="A73" s="1774"/>
      <c r="B73" s="1777"/>
      <c r="C73" s="1819"/>
      <c r="D73" s="1819"/>
      <c r="E73" s="1819"/>
      <c r="F73" s="1819"/>
    </row>
    <row r="74" spans="1:6" ht="12" customHeight="1">
      <c r="A74" s="1774"/>
      <c r="B74" s="1777"/>
      <c r="C74" s="1819"/>
      <c r="D74" s="1819"/>
      <c r="E74" s="1819"/>
      <c r="F74" s="1819"/>
    </row>
    <row r="75" spans="1:6" ht="12" customHeight="1">
      <c r="A75" s="1774"/>
      <c r="B75" s="1777"/>
      <c r="C75" s="1819"/>
      <c r="D75" s="1819"/>
      <c r="E75" s="1819"/>
      <c r="F75" s="1819"/>
    </row>
    <row r="76" spans="1:6" ht="12" customHeight="1">
      <c r="A76" s="1774"/>
      <c r="B76" s="1777"/>
      <c r="C76" s="1819"/>
      <c r="D76" s="1819"/>
      <c r="E76" s="1819"/>
      <c r="F76" s="1819"/>
    </row>
    <row r="77" spans="1:6" ht="12" customHeight="1">
      <c r="A77" s="1774"/>
      <c r="B77" s="1777"/>
      <c r="C77" s="1819"/>
      <c r="D77" s="1819"/>
      <c r="E77" s="1819"/>
      <c r="F77" s="1819"/>
    </row>
    <row r="78" spans="1:6" ht="12" customHeight="1">
      <c r="A78" s="1774"/>
      <c r="B78" s="1777"/>
      <c r="C78" s="1819"/>
      <c r="D78" s="1819"/>
      <c r="E78" s="1819"/>
      <c r="F78" s="1819"/>
    </row>
    <row r="79" spans="1:6" ht="12" customHeight="1">
      <c r="A79" s="1774"/>
      <c r="B79" s="1777"/>
      <c r="C79" s="1819"/>
      <c r="D79" s="1819"/>
      <c r="E79" s="1819"/>
      <c r="F79" s="1819"/>
    </row>
    <row r="80" spans="1:6" ht="12" customHeight="1">
      <c r="A80" s="1774"/>
      <c r="B80" s="1777"/>
      <c r="C80" s="1819"/>
      <c r="D80" s="1819"/>
      <c r="E80" s="1819"/>
      <c r="F80" s="1819"/>
    </row>
    <row r="81" spans="1:6" ht="12" customHeight="1">
      <c r="A81" s="1774"/>
      <c r="B81" s="1777"/>
      <c r="C81" s="1819"/>
      <c r="D81" s="1819"/>
      <c r="E81" s="1819"/>
      <c r="F81" s="1819"/>
    </row>
    <row r="82" spans="1:6" ht="12" customHeight="1">
      <c r="A82" s="1774"/>
      <c r="B82" s="1777"/>
      <c r="C82" s="1819"/>
      <c r="D82" s="1819"/>
      <c r="E82" s="1819"/>
      <c r="F82" s="1819"/>
    </row>
    <row r="83" spans="1:6" ht="12" customHeight="1">
      <c r="A83" s="1774"/>
      <c r="B83" s="1777"/>
      <c r="C83" s="1819"/>
      <c r="D83" s="1819"/>
      <c r="E83" s="1819"/>
      <c r="F83" s="1819"/>
    </row>
    <row r="84" spans="1:6" ht="12" customHeight="1">
      <c r="A84" s="1774"/>
      <c r="B84" s="1777"/>
      <c r="C84" s="1819"/>
      <c r="D84" s="1819"/>
      <c r="E84" s="1819"/>
      <c r="F84" s="1819"/>
    </row>
    <row r="85" spans="1:6" ht="12" customHeight="1">
      <c r="A85" s="1774"/>
      <c r="B85" s="1777"/>
      <c r="C85" s="1819"/>
      <c r="D85" s="1819"/>
      <c r="E85" s="1819"/>
      <c r="F85" s="1819"/>
    </row>
    <row r="86" spans="1:6" ht="12" customHeight="1">
      <c r="A86" s="1774"/>
      <c r="B86" s="1777"/>
      <c r="C86" s="1819"/>
      <c r="D86" s="1819"/>
      <c r="E86" s="1819"/>
      <c r="F86" s="1819"/>
    </row>
    <row r="87" spans="1:6" ht="12" customHeight="1">
      <c r="A87" s="1774"/>
      <c r="B87" s="1777"/>
      <c r="C87" s="1819"/>
      <c r="D87" s="1819"/>
      <c r="E87" s="1819"/>
      <c r="F87" s="1819"/>
    </row>
    <row r="88" spans="1:6" ht="12" customHeight="1">
      <c r="A88" s="1774"/>
      <c r="B88" s="1777"/>
      <c r="C88" s="1819"/>
      <c r="D88" s="1819"/>
      <c r="E88" s="1819"/>
      <c r="F88" s="1819"/>
    </row>
    <row r="89" spans="1:6" ht="12" customHeight="1">
      <c r="A89" s="1774"/>
      <c r="B89" s="1777"/>
      <c r="C89" s="1819"/>
      <c r="D89" s="1819"/>
      <c r="E89" s="1819"/>
      <c r="F89" s="1819"/>
    </row>
    <row r="90" spans="1:6" ht="12" customHeight="1">
      <c r="A90" s="1774"/>
      <c r="B90" s="1777"/>
      <c r="C90" s="1819"/>
      <c r="D90" s="1819"/>
      <c r="E90" s="1819"/>
      <c r="F90" s="1819"/>
    </row>
    <row r="91" spans="1:6" ht="12" customHeight="1">
      <c r="A91" s="1774"/>
      <c r="B91" s="1777"/>
      <c r="C91" s="1819"/>
      <c r="D91" s="1819"/>
      <c r="E91" s="1819"/>
      <c r="F91" s="1819"/>
    </row>
    <row r="92" spans="1:6" ht="12" customHeight="1">
      <c r="A92" s="1774"/>
      <c r="B92" s="1777"/>
      <c r="C92" s="1819"/>
      <c r="D92" s="1819"/>
      <c r="E92" s="1819"/>
      <c r="F92" s="1819"/>
    </row>
    <row r="93" spans="1:6" ht="12" customHeight="1">
      <c r="A93" s="1774"/>
      <c r="B93" s="1777"/>
      <c r="C93" s="1819"/>
      <c r="D93" s="1819"/>
      <c r="E93" s="1819"/>
      <c r="F93" s="1819"/>
    </row>
    <row r="94" spans="1:6" ht="12" customHeight="1">
      <c r="A94" s="1774"/>
      <c r="B94" s="1777"/>
      <c r="C94" s="1819"/>
      <c r="D94" s="1819"/>
      <c r="E94" s="1819"/>
      <c r="F94" s="1819"/>
    </row>
    <row r="95" spans="1:6" ht="12" customHeight="1">
      <c r="A95" s="1774"/>
      <c r="B95" s="1777"/>
      <c r="C95" s="1819"/>
      <c r="D95" s="1819"/>
      <c r="E95" s="1819"/>
      <c r="F95" s="1819"/>
    </row>
    <row r="96" spans="1:6" ht="12" customHeight="1">
      <c r="A96" s="1774"/>
      <c r="B96" s="1777"/>
      <c r="C96" s="1819"/>
      <c r="D96" s="1819"/>
      <c r="E96" s="1819"/>
      <c r="F96" s="1819"/>
    </row>
    <row r="97" spans="1:6" ht="12" customHeight="1">
      <c r="A97" s="1774"/>
      <c r="B97" s="1777"/>
      <c r="C97" s="1819"/>
      <c r="D97" s="1819"/>
      <c r="E97" s="1819"/>
      <c r="F97" s="1819"/>
    </row>
    <row r="98" spans="1:6" ht="12" customHeight="1">
      <c r="A98" s="1774"/>
      <c r="B98" s="1777"/>
      <c r="C98" s="1819"/>
      <c r="D98" s="1819"/>
      <c r="E98" s="1819"/>
      <c r="F98" s="1819"/>
    </row>
    <row r="99" spans="1:6" ht="12" customHeight="1">
      <c r="A99" s="1774"/>
      <c r="B99" s="1777"/>
      <c r="C99" s="1819"/>
      <c r="D99" s="1819"/>
      <c r="E99" s="1819"/>
      <c r="F99" s="1819"/>
    </row>
    <row r="100" spans="1:6" ht="12" customHeight="1">
      <c r="A100" s="1774"/>
      <c r="B100" s="1777"/>
      <c r="C100" s="1819"/>
      <c r="D100" s="1819"/>
      <c r="E100" s="1819"/>
      <c r="F100" s="1819"/>
    </row>
    <row r="101" spans="1:6" ht="12" customHeight="1">
      <c r="A101" s="1774"/>
      <c r="B101" s="1777"/>
      <c r="C101" s="1819"/>
      <c r="D101" s="1819"/>
      <c r="E101" s="1819"/>
      <c r="F101" s="1819"/>
    </row>
    <row r="102" spans="1:6" ht="12" customHeight="1">
      <c r="A102" s="1774"/>
      <c r="B102" s="1777"/>
      <c r="C102" s="1819"/>
      <c r="D102" s="1819"/>
      <c r="E102" s="1819"/>
      <c r="F102" s="1819"/>
    </row>
    <row r="103" spans="1:6" ht="12" customHeight="1">
      <c r="A103" s="1774"/>
      <c r="B103" s="1777"/>
      <c r="C103" s="1819"/>
      <c r="D103" s="1819"/>
      <c r="E103" s="1819"/>
      <c r="F103" s="1819"/>
    </row>
    <row r="104" spans="1:6" ht="12" customHeight="1">
      <c r="A104" s="1774"/>
      <c r="B104" s="1777"/>
      <c r="C104" s="1819"/>
      <c r="D104" s="1819"/>
      <c r="E104" s="1819"/>
      <c r="F104" s="1819"/>
    </row>
    <row r="105" spans="1:6" ht="12" customHeight="1">
      <c r="A105" s="1774"/>
      <c r="B105" s="1777"/>
      <c r="C105" s="1819"/>
      <c r="D105" s="1819"/>
      <c r="E105" s="1819"/>
      <c r="F105" s="1819"/>
    </row>
    <row r="106" spans="1:6" ht="12" customHeight="1">
      <c r="A106" s="1774"/>
      <c r="B106" s="1777"/>
      <c r="C106" s="1819"/>
      <c r="D106" s="1819"/>
      <c r="E106" s="1819"/>
      <c r="F106" s="1819"/>
    </row>
    <row r="107" spans="1:6" ht="12" customHeight="1">
      <c r="A107" s="1774"/>
      <c r="B107" s="1777"/>
      <c r="C107" s="1819"/>
      <c r="D107" s="1819"/>
      <c r="E107" s="1819"/>
      <c r="F107" s="1819"/>
    </row>
    <row r="108" spans="1:6" ht="12" customHeight="1">
      <c r="A108" s="1774"/>
      <c r="B108" s="1777"/>
      <c r="C108" s="1819"/>
      <c r="D108" s="1819"/>
      <c r="E108" s="1819"/>
      <c r="F108" s="1819"/>
    </row>
    <row r="109" spans="1:6" ht="12" customHeight="1">
      <c r="A109" s="1774"/>
      <c r="B109" s="1777"/>
      <c r="C109" s="1819"/>
      <c r="D109" s="1819"/>
      <c r="E109" s="1819"/>
      <c r="F109" s="1819"/>
    </row>
    <row r="110" spans="1:6" ht="12" customHeight="1">
      <c r="A110" s="1774"/>
      <c r="B110" s="1777"/>
      <c r="C110" s="1819"/>
      <c r="D110" s="1819"/>
      <c r="E110" s="1819"/>
      <c r="F110" s="1819"/>
    </row>
    <row r="111" spans="1:6" ht="12" customHeight="1">
      <c r="A111" s="1774"/>
      <c r="B111" s="1777"/>
      <c r="C111" s="1819"/>
      <c r="D111" s="1819"/>
      <c r="E111" s="1819"/>
      <c r="F111" s="1819"/>
    </row>
    <row r="112" spans="1:6" ht="12" customHeight="1">
      <c r="A112" s="1774"/>
      <c r="B112" s="1777"/>
      <c r="C112" s="1819"/>
      <c r="D112" s="1819"/>
      <c r="E112" s="1819"/>
      <c r="F112" s="1819"/>
    </row>
    <row r="113" spans="1:6" ht="12" customHeight="1">
      <c r="A113" s="1774"/>
      <c r="B113" s="1777"/>
      <c r="C113" s="1819"/>
      <c r="D113" s="1819"/>
      <c r="E113" s="1819"/>
      <c r="F113" s="1819"/>
    </row>
    <row r="114" spans="1:6" ht="12" customHeight="1">
      <c r="A114" s="1774"/>
      <c r="B114" s="1777"/>
      <c r="C114" s="1819"/>
      <c r="D114" s="1819"/>
      <c r="E114" s="1819"/>
      <c r="F114" s="1819"/>
    </row>
    <row r="115" spans="1:6" ht="12" customHeight="1">
      <c r="A115" s="1774"/>
      <c r="B115" s="1777"/>
      <c r="C115" s="1819"/>
      <c r="D115" s="1819"/>
      <c r="E115" s="1819"/>
      <c r="F115" s="1819"/>
    </row>
    <row r="116" spans="1:6" ht="12" customHeight="1">
      <c r="A116" s="1774"/>
      <c r="B116" s="1777"/>
      <c r="C116" s="1819"/>
      <c r="D116" s="1819"/>
      <c r="E116" s="1819"/>
      <c r="F116" s="1819"/>
    </row>
    <row r="117" spans="1:6" ht="12" customHeight="1">
      <c r="A117" s="1774"/>
      <c r="B117" s="1777"/>
      <c r="C117" s="1819"/>
      <c r="D117" s="1819"/>
      <c r="E117" s="1819"/>
      <c r="F117" s="1819"/>
    </row>
    <row r="118" spans="1:6" ht="12" customHeight="1">
      <c r="A118" s="1774"/>
      <c r="B118" s="1777"/>
      <c r="C118" s="1819"/>
      <c r="D118" s="1819"/>
      <c r="E118" s="1819"/>
      <c r="F118" s="1819"/>
    </row>
    <row r="119" spans="1:6" ht="12" customHeight="1">
      <c r="A119" s="1774"/>
      <c r="B119" s="1777"/>
      <c r="C119" s="1819"/>
      <c r="D119" s="1819"/>
      <c r="E119" s="1819"/>
      <c r="F119" s="1819"/>
    </row>
    <row r="120" spans="1:6" ht="12" customHeight="1">
      <c r="A120" s="1774"/>
      <c r="B120" s="1777"/>
      <c r="C120" s="1819"/>
      <c r="D120" s="1819"/>
      <c r="E120" s="1819"/>
      <c r="F120" s="1819"/>
    </row>
    <row r="121" spans="1:6" ht="12" customHeight="1">
      <c r="A121" s="1774"/>
      <c r="B121" s="1777"/>
      <c r="C121" s="1819"/>
      <c r="D121" s="1819"/>
      <c r="E121" s="1819"/>
      <c r="F121" s="1819"/>
    </row>
    <row r="122" spans="1:6" ht="12" customHeight="1">
      <c r="A122" s="1774"/>
      <c r="B122" s="1777"/>
      <c r="C122" s="1819"/>
      <c r="D122" s="1819"/>
      <c r="E122" s="1819"/>
      <c r="F122" s="1819"/>
    </row>
    <row r="123" spans="1:6" ht="12" customHeight="1">
      <c r="A123" s="1774"/>
      <c r="B123" s="1777"/>
      <c r="C123" s="1819"/>
      <c r="D123" s="1819"/>
      <c r="E123" s="1819"/>
      <c r="F123" s="1819"/>
    </row>
    <row r="124" spans="1:6" ht="12" customHeight="1">
      <c r="A124" s="1774"/>
      <c r="B124" s="1777"/>
      <c r="C124" s="1819"/>
      <c r="D124" s="1819"/>
      <c r="E124" s="1819"/>
      <c r="F124" s="1819"/>
    </row>
    <row r="125" spans="1:6" ht="5.0999999999999996" customHeight="1">
      <c r="A125" s="1774"/>
      <c r="B125" s="1777"/>
      <c r="C125" s="1819"/>
      <c r="D125" s="1819"/>
      <c r="E125" s="1819"/>
      <c r="F125" s="1819"/>
    </row>
    <row r="126" spans="1:6" ht="12" customHeight="1">
      <c r="A126" s="1774"/>
      <c r="B126" s="1777"/>
      <c r="C126" s="1819"/>
      <c r="D126" s="1819"/>
      <c r="E126" s="1819"/>
      <c r="F126" s="1819"/>
    </row>
    <row r="127" spans="1:6" ht="12" customHeight="1">
      <c r="A127" s="1774"/>
      <c r="B127" s="1777"/>
      <c r="C127" s="1819"/>
      <c r="D127" s="1819"/>
      <c r="E127" s="1819"/>
      <c r="F127" s="1819"/>
    </row>
    <row r="128" spans="1:6" ht="12" customHeight="1">
      <c r="A128" s="1774"/>
      <c r="B128" s="1777"/>
      <c r="C128" s="1819"/>
      <c r="D128" s="1819"/>
      <c r="E128" s="1819"/>
      <c r="F128" s="1819"/>
    </row>
    <row r="129" spans="1:6" ht="12" customHeight="1">
      <c r="A129" s="1774"/>
      <c r="B129" s="1777"/>
      <c r="C129" s="1819"/>
      <c r="D129" s="1819"/>
      <c r="E129" s="1819"/>
      <c r="F129" s="1819"/>
    </row>
    <row r="130" spans="1:6" ht="12" customHeight="1">
      <c r="A130" s="1774"/>
      <c r="B130" s="1777"/>
      <c r="C130" s="1819"/>
      <c r="D130" s="1819"/>
      <c r="E130" s="1819"/>
      <c r="F130" s="1819"/>
    </row>
    <row r="131" spans="1:6" ht="12" customHeight="1">
      <c r="A131" s="1774"/>
      <c r="B131" s="1777"/>
      <c r="C131" s="1819"/>
      <c r="D131" s="1819"/>
      <c r="E131" s="1819"/>
      <c r="F131" s="1819"/>
    </row>
    <row r="132" spans="1:6" ht="12" customHeight="1">
      <c r="A132" s="1774"/>
      <c r="B132" s="1777"/>
      <c r="C132" s="1819"/>
      <c r="D132" s="1819"/>
      <c r="E132" s="1819"/>
      <c r="F132" s="1819"/>
    </row>
    <row r="133" spans="1:6" ht="12" customHeight="1">
      <c r="A133" s="1774"/>
      <c r="B133" s="1777"/>
      <c r="C133" s="1819"/>
      <c r="D133" s="1819"/>
      <c r="E133" s="1819"/>
      <c r="F133" s="1819"/>
    </row>
    <row r="134" spans="1:6" ht="12" customHeight="1">
      <c r="A134" s="1774"/>
      <c r="B134" s="1777"/>
      <c r="C134" s="1819"/>
      <c r="D134" s="1819"/>
      <c r="E134" s="1819"/>
      <c r="F134" s="1819"/>
    </row>
    <row r="135" spans="1:6" ht="12" customHeight="1">
      <c r="A135" s="1774"/>
      <c r="B135" s="1777"/>
      <c r="C135" s="1819"/>
      <c r="D135" s="1819"/>
      <c r="E135" s="1819"/>
      <c r="F135" s="1819"/>
    </row>
    <row r="136" spans="1:6" ht="12" customHeight="1">
      <c r="A136" s="1774"/>
      <c r="B136" s="1777"/>
      <c r="C136" s="1819"/>
      <c r="D136" s="1819"/>
      <c r="E136" s="1819"/>
      <c r="F136" s="1819"/>
    </row>
    <row r="137" spans="1:6" ht="12" customHeight="1">
      <c r="A137" s="1774"/>
      <c r="B137" s="1777"/>
      <c r="C137" s="1819"/>
      <c r="D137" s="1819"/>
      <c r="E137" s="1819"/>
      <c r="F137" s="1819"/>
    </row>
    <row r="138" spans="1:6" ht="12" customHeight="1">
      <c r="A138" s="1774"/>
      <c r="B138" s="1777"/>
      <c r="C138" s="1819"/>
      <c r="D138" s="1819"/>
      <c r="E138" s="1819"/>
      <c r="F138" s="1819"/>
    </row>
    <row r="139" spans="1:6" ht="12" customHeight="1">
      <c r="A139" s="1774"/>
      <c r="B139" s="1777"/>
      <c r="C139" s="1819"/>
      <c r="D139" s="1819"/>
      <c r="E139" s="1819"/>
      <c r="F139" s="1819"/>
    </row>
    <row r="140" spans="1:6" ht="12" customHeight="1">
      <c r="A140" s="1774"/>
      <c r="B140" s="1777"/>
      <c r="C140" s="1819"/>
      <c r="D140" s="1819"/>
      <c r="E140" s="1819"/>
      <c r="F140" s="1819"/>
    </row>
    <row r="141" spans="1:6" ht="12" customHeight="1">
      <c r="A141" s="1774"/>
      <c r="B141" s="1777"/>
      <c r="C141" s="1819"/>
      <c r="D141" s="1819"/>
      <c r="E141" s="1819"/>
      <c r="F141" s="1819"/>
    </row>
    <row r="142" spans="1:6" ht="12" customHeight="1">
      <c r="A142" s="1774"/>
      <c r="B142" s="1777"/>
      <c r="C142" s="1819"/>
      <c r="D142" s="1819"/>
      <c r="E142" s="1819"/>
      <c r="F142" s="1819"/>
    </row>
    <row r="143" spans="1:6" ht="12" customHeight="1">
      <c r="A143" s="1774"/>
      <c r="B143" s="1777"/>
      <c r="C143" s="1819"/>
      <c r="D143" s="1819"/>
      <c r="E143" s="1819"/>
      <c r="F143" s="1819"/>
    </row>
    <row r="144" spans="1:6" ht="12" customHeight="1">
      <c r="A144" s="1774"/>
      <c r="B144" s="1777"/>
      <c r="C144" s="1819"/>
      <c r="D144" s="1819"/>
      <c r="E144" s="1819"/>
      <c r="F144" s="1819"/>
    </row>
    <row r="145" spans="1:6" ht="12" customHeight="1">
      <c r="A145" s="1774"/>
      <c r="B145" s="1777"/>
      <c r="C145" s="1819"/>
      <c r="D145" s="1819"/>
      <c r="E145" s="1819"/>
      <c r="F145" s="1819"/>
    </row>
    <row r="146" spans="1:6" ht="12" customHeight="1">
      <c r="A146" s="1774"/>
      <c r="B146" s="1777"/>
      <c r="C146" s="1819"/>
      <c r="D146" s="1819"/>
      <c r="E146" s="1819"/>
      <c r="F146" s="1819"/>
    </row>
    <row r="147" spans="1:6" ht="12" customHeight="1">
      <c r="A147" s="1774"/>
      <c r="B147" s="1777"/>
      <c r="C147" s="1819"/>
      <c r="D147" s="1819"/>
      <c r="E147" s="1819"/>
      <c r="F147" s="1819"/>
    </row>
    <row r="148" spans="1:6" ht="12" customHeight="1">
      <c r="A148" s="1774"/>
      <c r="B148" s="1777"/>
      <c r="C148" s="1819"/>
      <c r="D148" s="1819"/>
      <c r="E148" s="1819"/>
      <c r="F148" s="1819"/>
    </row>
    <row r="149" spans="1:6" ht="12" customHeight="1">
      <c r="A149" s="1774"/>
      <c r="B149" s="1777"/>
      <c r="C149" s="1819"/>
      <c r="D149" s="1819"/>
      <c r="E149" s="1819"/>
      <c r="F149" s="1819"/>
    </row>
    <row r="150" spans="1:6" ht="12" customHeight="1">
      <c r="A150" s="1774"/>
      <c r="B150" s="1777"/>
      <c r="C150" s="1819"/>
      <c r="D150" s="1819"/>
      <c r="E150" s="1819"/>
      <c r="F150" s="1819"/>
    </row>
    <row r="151" spans="1:6" ht="12" customHeight="1">
      <c r="A151" s="1774"/>
      <c r="B151" s="1777"/>
      <c r="C151" s="1819"/>
      <c r="D151" s="1819"/>
      <c r="E151" s="1819"/>
      <c r="F151" s="1819"/>
    </row>
    <row r="152" spans="1:6" ht="12" customHeight="1">
      <c r="A152" s="1774"/>
      <c r="B152" s="1777"/>
      <c r="C152" s="1819"/>
      <c r="D152" s="1819"/>
      <c r="E152" s="1819"/>
      <c r="F152" s="1819"/>
    </row>
    <row r="153" spans="1:6" ht="12" customHeight="1">
      <c r="A153" s="1774"/>
      <c r="B153" s="1777"/>
      <c r="C153" s="1819"/>
      <c r="D153" s="1819"/>
      <c r="E153" s="1819"/>
      <c r="F153" s="1819"/>
    </row>
    <row r="154" spans="1:6" ht="12" customHeight="1">
      <c r="A154" s="1774"/>
      <c r="B154" s="1777"/>
      <c r="C154" s="1819"/>
      <c r="D154" s="1819"/>
      <c r="E154" s="1819"/>
      <c r="F154" s="1819"/>
    </row>
    <row r="155" spans="1:6" ht="12" customHeight="1">
      <c r="A155" s="1774"/>
      <c r="B155" s="1777"/>
      <c r="C155" s="1819"/>
      <c r="D155" s="1819"/>
      <c r="E155" s="1819"/>
      <c r="F155" s="1819"/>
    </row>
    <row r="156" spans="1:6" ht="12" customHeight="1">
      <c r="A156" s="1774"/>
      <c r="B156" s="1777"/>
      <c r="C156" s="1819"/>
      <c r="D156" s="1819"/>
      <c r="E156" s="1819"/>
      <c r="F156" s="1819"/>
    </row>
    <row r="157" spans="1:6" ht="12" customHeight="1">
      <c r="A157" s="1774"/>
      <c r="B157" s="1777"/>
      <c r="C157" s="1819"/>
      <c r="D157" s="1819"/>
      <c r="E157" s="1819"/>
      <c r="F157" s="1819"/>
    </row>
    <row r="158" spans="1:6" ht="12" customHeight="1">
      <c r="A158" s="1774"/>
      <c r="B158" s="1777"/>
      <c r="C158" s="1819"/>
      <c r="D158" s="1819"/>
      <c r="E158" s="1819"/>
      <c r="F158" s="1819"/>
    </row>
    <row r="159" spans="1:6" ht="12" customHeight="1">
      <c r="A159" s="1774"/>
      <c r="B159" s="1777"/>
      <c r="C159" s="1819"/>
      <c r="D159" s="1819"/>
      <c r="E159" s="1819"/>
      <c r="F159" s="1819"/>
    </row>
    <row r="160" spans="1:6" ht="12" customHeight="1">
      <c r="A160" s="1774"/>
      <c r="B160" s="1777"/>
      <c r="C160" s="1819"/>
      <c r="D160" s="1819"/>
      <c r="E160" s="1819"/>
      <c r="F160" s="1819"/>
    </row>
    <row r="161" spans="1:6" ht="12" customHeight="1">
      <c r="A161" s="1774"/>
      <c r="B161" s="1777"/>
      <c r="C161" s="1819"/>
      <c r="D161" s="1819"/>
      <c r="E161" s="1819"/>
      <c r="F161" s="1819"/>
    </row>
    <row r="162" spans="1:6" ht="12" customHeight="1">
      <c r="A162" s="1774"/>
      <c r="B162" s="1777"/>
      <c r="C162" s="1819"/>
      <c r="D162" s="1819"/>
      <c r="E162" s="1819"/>
      <c r="F162" s="1819"/>
    </row>
    <row r="163" spans="1:6" ht="12" customHeight="1">
      <c r="A163" s="1774"/>
      <c r="B163" s="1777"/>
      <c r="C163" s="1819"/>
      <c r="D163" s="1819"/>
      <c r="E163" s="1819"/>
      <c r="F163" s="1819"/>
    </row>
    <row r="164" spans="1:6" ht="12" customHeight="1">
      <c r="A164" s="1774"/>
      <c r="B164" s="1777"/>
      <c r="C164" s="1819"/>
      <c r="D164" s="1819"/>
      <c r="E164" s="1819"/>
      <c r="F164" s="1819"/>
    </row>
    <row r="165" spans="1:6" ht="12" customHeight="1">
      <c r="A165" s="1774"/>
      <c r="B165" s="1777"/>
      <c r="C165" s="1819"/>
      <c r="D165" s="1819"/>
      <c r="E165" s="1819"/>
      <c r="F165" s="1819"/>
    </row>
    <row r="166" spans="1:6" ht="12" customHeight="1">
      <c r="A166" s="1774"/>
      <c r="B166" s="1777"/>
      <c r="C166" s="1819"/>
      <c r="D166" s="1819"/>
      <c r="E166" s="1819"/>
      <c r="F166" s="1819"/>
    </row>
    <row r="167" spans="1:6" ht="12" customHeight="1">
      <c r="A167" s="1774"/>
      <c r="B167" s="1777"/>
      <c r="C167" s="1819"/>
      <c r="D167" s="1819"/>
      <c r="E167" s="1819"/>
      <c r="F167" s="1819"/>
    </row>
    <row r="168" spans="1:6" ht="12" customHeight="1">
      <c r="A168" s="1774"/>
      <c r="B168" s="1777"/>
      <c r="C168" s="1819"/>
      <c r="D168" s="1819"/>
      <c r="E168" s="1819"/>
      <c r="F168" s="1819"/>
    </row>
    <row r="169" spans="1:6" ht="12" customHeight="1">
      <c r="A169" s="1774"/>
      <c r="B169" s="1777"/>
      <c r="C169" s="1819"/>
      <c r="D169" s="1819"/>
      <c r="E169" s="1819"/>
      <c r="F169" s="1819"/>
    </row>
    <row r="170" spans="1:6" ht="12" customHeight="1">
      <c r="A170" s="1774"/>
      <c r="B170" s="1777"/>
      <c r="C170" s="1819"/>
      <c r="D170" s="1819"/>
      <c r="E170" s="1819"/>
      <c r="F170" s="1819"/>
    </row>
    <row r="171" spans="1:6" ht="12" customHeight="1">
      <c r="A171" s="1774"/>
      <c r="B171" s="1777"/>
      <c r="C171" s="1819"/>
      <c r="D171" s="1819"/>
      <c r="E171" s="1819"/>
      <c r="F171" s="1819"/>
    </row>
    <row r="172" spans="1:6" ht="12" customHeight="1">
      <c r="A172" s="1774"/>
      <c r="B172" s="1777"/>
      <c r="C172" s="1819"/>
      <c r="D172" s="1819"/>
      <c r="E172" s="1819"/>
      <c r="F172" s="1819"/>
    </row>
    <row r="173" spans="1:6" ht="12" customHeight="1">
      <c r="A173" s="1774"/>
      <c r="B173" s="1777"/>
      <c r="C173" s="1819"/>
      <c r="D173" s="1819"/>
      <c r="E173" s="1819"/>
      <c r="F173" s="1819"/>
    </row>
    <row r="174" spans="1:6" ht="12" customHeight="1">
      <c r="A174" s="1774"/>
      <c r="B174" s="1777"/>
      <c r="C174" s="1819"/>
      <c r="D174" s="1819"/>
      <c r="E174" s="1819"/>
      <c r="F174" s="1819"/>
    </row>
    <row r="175" spans="1:6" ht="12" customHeight="1">
      <c r="A175" s="1774"/>
      <c r="B175" s="1777"/>
      <c r="C175" s="1819"/>
      <c r="D175" s="1819"/>
      <c r="E175" s="1819"/>
      <c r="F175" s="1819"/>
    </row>
    <row r="176" spans="1:6" ht="12" customHeight="1">
      <c r="A176" s="1774"/>
      <c r="B176" s="1777"/>
      <c r="C176" s="1819"/>
      <c r="D176" s="1819"/>
      <c r="E176" s="1819"/>
      <c r="F176" s="1819"/>
    </row>
    <row r="177" spans="1:6" ht="12" customHeight="1">
      <c r="A177" s="1774"/>
      <c r="B177" s="1777"/>
      <c r="C177" s="1819"/>
      <c r="D177" s="1819"/>
      <c r="E177" s="1819"/>
      <c r="F177" s="1819"/>
    </row>
    <row r="178" spans="1:6" ht="12" customHeight="1">
      <c r="A178" s="1774"/>
      <c r="B178" s="1777"/>
      <c r="C178" s="1819"/>
      <c r="D178" s="1819"/>
      <c r="E178" s="1819"/>
      <c r="F178" s="1819"/>
    </row>
    <row r="179" spans="1:6" ht="12" customHeight="1">
      <c r="A179" s="1774"/>
      <c r="B179" s="1777"/>
      <c r="C179" s="1819"/>
      <c r="D179" s="1819"/>
      <c r="E179" s="1819"/>
      <c r="F179" s="1819"/>
    </row>
    <row r="180" spans="1:6" ht="12" customHeight="1">
      <c r="A180" s="1774"/>
      <c r="B180" s="1777"/>
      <c r="C180" s="1819"/>
      <c r="D180" s="1819"/>
      <c r="E180" s="1819"/>
      <c r="F180" s="1819"/>
    </row>
    <row r="181" spans="1:6" ht="12" customHeight="1">
      <c r="A181" s="1774"/>
      <c r="B181" s="1777"/>
      <c r="C181" s="1819"/>
      <c r="D181" s="1819"/>
      <c r="E181" s="1819"/>
      <c r="F181" s="1819"/>
    </row>
    <row r="182" spans="1:6" ht="12" customHeight="1">
      <c r="A182" s="1774"/>
      <c r="B182" s="1777"/>
      <c r="C182" s="1819"/>
      <c r="D182" s="1819"/>
      <c r="E182" s="1819"/>
      <c r="F182" s="1819"/>
    </row>
    <row r="183" spans="1:6" ht="12" customHeight="1">
      <c r="A183" s="1774"/>
      <c r="B183" s="1777"/>
      <c r="C183" s="1819"/>
      <c r="D183" s="1819"/>
      <c r="E183" s="1819"/>
      <c r="F183" s="1819"/>
    </row>
    <row r="184" spans="1:6" ht="12" customHeight="1">
      <c r="A184" s="1774"/>
      <c r="B184" s="1777"/>
      <c r="C184" s="1819"/>
      <c r="D184" s="1819"/>
      <c r="E184" s="1819"/>
      <c r="F184" s="1819"/>
    </row>
    <row r="185" spans="1:6" ht="12" customHeight="1">
      <c r="A185" s="1774"/>
      <c r="B185" s="1777"/>
      <c r="C185" s="1819"/>
      <c r="D185" s="1819"/>
      <c r="E185" s="1819"/>
      <c r="F185" s="1819"/>
    </row>
    <row r="186" spans="1:6" ht="12" customHeight="1">
      <c r="A186" s="1774"/>
      <c r="B186" s="1777"/>
      <c r="C186" s="1819"/>
      <c r="D186" s="1819"/>
      <c r="E186" s="1819"/>
      <c r="F186" s="1819"/>
    </row>
    <row r="187" spans="1:6" ht="12" customHeight="1">
      <c r="A187" s="1774"/>
      <c r="B187" s="1777"/>
      <c r="C187" s="1819"/>
      <c r="D187" s="1819"/>
      <c r="E187" s="1819"/>
      <c r="F187" s="1819"/>
    </row>
    <row r="188" spans="1:6" ht="12" customHeight="1">
      <c r="A188" s="1774"/>
      <c r="B188" s="1777"/>
      <c r="C188" s="1819"/>
      <c r="D188" s="1819"/>
      <c r="E188" s="1819"/>
      <c r="F188" s="1819"/>
    </row>
    <row r="189" spans="1:6" ht="12" customHeight="1">
      <c r="A189" s="1774"/>
      <c r="B189" s="1777"/>
      <c r="C189" s="1819"/>
      <c r="D189" s="1819"/>
      <c r="E189" s="1819"/>
      <c r="F189" s="1819"/>
    </row>
    <row r="190" spans="1:6" ht="12" customHeight="1">
      <c r="A190" s="1774"/>
      <c r="B190" s="1777"/>
      <c r="C190" s="1819"/>
      <c r="D190" s="1819"/>
      <c r="E190" s="1819"/>
      <c r="F190" s="1819"/>
    </row>
    <row r="191" spans="1:6" ht="12" customHeight="1">
      <c r="A191" s="1774"/>
      <c r="B191" s="1777"/>
      <c r="C191" s="1819"/>
      <c r="D191" s="1819"/>
      <c r="E191" s="1819"/>
      <c r="F191" s="1819"/>
    </row>
    <row r="192" spans="1:6" ht="12" customHeight="1">
      <c r="A192" s="1774"/>
      <c r="B192" s="1777"/>
      <c r="C192" s="1819"/>
      <c r="D192" s="1819"/>
      <c r="E192" s="1819"/>
      <c r="F192" s="1819"/>
    </row>
    <row r="193" spans="1:6" ht="12" customHeight="1">
      <c r="A193" s="1774"/>
      <c r="B193" s="1777"/>
      <c r="C193" s="1819"/>
      <c r="D193" s="1819"/>
      <c r="E193" s="1819"/>
      <c r="F193" s="1819"/>
    </row>
    <row r="194" spans="1:6" ht="12" customHeight="1">
      <c r="A194" s="1774"/>
      <c r="B194" s="1777"/>
      <c r="C194" s="1819"/>
      <c r="D194" s="1819"/>
      <c r="E194" s="1819"/>
      <c r="F194" s="1819"/>
    </row>
    <row r="195" spans="1:6" ht="12" customHeight="1">
      <c r="A195" s="1774"/>
      <c r="B195" s="1777"/>
      <c r="C195" s="1819"/>
      <c r="D195" s="1819"/>
      <c r="E195" s="1819"/>
      <c r="F195" s="1819"/>
    </row>
    <row r="196" spans="1:6" ht="12" customHeight="1">
      <c r="A196" s="1774"/>
      <c r="B196" s="1777"/>
      <c r="C196" s="1819"/>
      <c r="D196" s="1819"/>
      <c r="E196" s="1819"/>
      <c r="F196" s="1819"/>
    </row>
    <row r="197" spans="1:6" ht="12" customHeight="1">
      <c r="A197" s="1774"/>
      <c r="B197" s="1777"/>
      <c r="C197" s="1819"/>
      <c r="D197" s="1819"/>
      <c r="E197" s="1819"/>
      <c r="F197" s="1819"/>
    </row>
    <row r="198" spans="1:6" ht="12" customHeight="1">
      <c r="A198" s="1774"/>
      <c r="B198" s="1777"/>
      <c r="C198" s="1819"/>
      <c r="D198" s="1819"/>
      <c r="E198" s="1819"/>
      <c r="F198" s="1819"/>
    </row>
    <row r="199" spans="1:6" ht="12" customHeight="1">
      <c r="A199" s="1774"/>
      <c r="B199" s="1777"/>
      <c r="C199" s="1819"/>
      <c r="D199" s="1819"/>
      <c r="E199" s="1819"/>
      <c r="F199" s="1819"/>
    </row>
    <row r="200" spans="1:6" ht="12" customHeight="1">
      <c r="A200" s="1774"/>
      <c r="B200" s="1777"/>
      <c r="C200" s="1819"/>
      <c r="D200" s="1819"/>
      <c r="E200" s="1819"/>
      <c r="F200" s="1819"/>
    </row>
    <row r="201" spans="1:6" ht="12" customHeight="1">
      <c r="A201" s="1774"/>
      <c r="B201" s="1777"/>
      <c r="C201" s="1819"/>
      <c r="D201" s="1819"/>
      <c r="E201" s="1819"/>
      <c r="F201" s="1819"/>
    </row>
    <row r="202" spans="1:6" ht="12" customHeight="1">
      <c r="A202" s="1774"/>
      <c r="B202" s="1777"/>
      <c r="C202" s="1819"/>
      <c r="D202" s="1819"/>
      <c r="E202" s="1819"/>
      <c r="F202" s="1819"/>
    </row>
    <row r="203" spans="1:6" ht="12" customHeight="1">
      <c r="A203" s="1774"/>
      <c r="B203" s="1777"/>
      <c r="C203" s="1819"/>
      <c r="D203" s="1819"/>
      <c r="E203" s="1819"/>
      <c r="F203" s="1819"/>
    </row>
    <row r="204" spans="1:6" ht="12" customHeight="1">
      <c r="A204" s="1774"/>
      <c r="B204" s="1777"/>
      <c r="C204" s="1819"/>
      <c r="D204" s="1819"/>
      <c r="E204" s="1819"/>
      <c r="F204" s="1819"/>
    </row>
    <row r="205" spans="1:6" ht="12" customHeight="1">
      <c r="A205" s="1774"/>
      <c r="B205" s="1777"/>
      <c r="C205" s="1819"/>
      <c r="D205" s="1819"/>
      <c r="E205" s="1819"/>
      <c r="F205" s="1819"/>
    </row>
    <row r="206" spans="1:6" ht="12" customHeight="1">
      <c r="A206" s="1774"/>
      <c r="B206" s="1777"/>
      <c r="C206" s="1819"/>
      <c r="D206" s="1819"/>
      <c r="E206" s="1819"/>
      <c r="F206" s="1819"/>
    </row>
    <row r="207" spans="1:6" ht="12" customHeight="1">
      <c r="A207" s="1774"/>
      <c r="B207" s="1777"/>
      <c r="C207" s="1819"/>
      <c r="D207" s="1819"/>
      <c r="E207" s="1819"/>
      <c r="F207" s="1819"/>
    </row>
    <row r="208" spans="1:6" ht="12" customHeight="1">
      <c r="A208" s="1774"/>
      <c r="B208" s="1777"/>
      <c r="C208" s="1819"/>
      <c r="D208" s="1819"/>
      <c r="E208" s="1819"/>
      <c r="F208" s="1819"/>
    </row>
    <row r="209" spans="1:6" ht="12" customHeight="1">
      <c r="A209" s="1774"/>
      <c r="B209" s="1777"/>
      <c r="C209" s="1819"/>
      <c r="D209" s="1819"/>
      <c r="E209" s="1819"/>
      <c r="F209" s="1819"/>
    </row>
    <row r="210" spans="1:6" ht="12" customHeight="1">
      <c r="A210" s="1774"/>
      <c r="B210" s="1777"/>
      <c r="C210" s="1819"/>
      <c r="D210" s="1819"/>
      <c r="E210" s="1819"/>
      <c r="F210" s="1819"/>
    </row>
    <row r="211" spans="1:6" ht="12" customHeight="1">
      <c r="A211" s="1774"/>
      <c r="B211" s="1777"/>
      <c r="C211" s="1819"/>
      <c r="D211" s="1819"/>
      <c r="E211" s="1819"/>
      <c r="F211" s="1819"/>
    </row>
    <row r="212" spans="1:6" ht="12" customHeight="1">
      <c r="A212" s="1774"/>
      <c r="B212" s="1777"/>
      <c r="C212" s="1819"/>
      <c r="D212" s="1819"/>
      <c r="E212" s="1819"/>
      <c r="F212" s="1819"/>
    </row>
    <row r="213" spans="1:6" ht="12" customHeight="1">
      <c r="A213" s="1774"/>
      <c r="B213" s="1777"/>
      <c r="C213" s="1819"/>
      <c r="D213" s="1819"/>
      <c r="E213" s="1819"/>
      <c r="F213" s="1819"/>
    </row>
    <row r="214" spans="1:6" ht="12" customHeight="1">
      <c r="A214" s="1774"/>
      <c r="B214" s="1777"/>
      <c r="C214" s="1819"/>
      <c r="D214" s="1819"/>
      <c r="E214" s="1819"/>
      <c r="F214" s="1819"/>
    </row>
    <row r="215" spans="1:6" ht="12" customHeight="1">
      <c r="A215" s="1774"/>
      <c r="B215" s="1777"/>
      <c r="C215" s="1819"/>
      <c r="D215" s="1819"/>
      <c r="E215" s="1819"/>
      <c r="F215" s="1819"/>
    </row>
    <row r="216" spans="1:6" ht="12" customHeight="1">
      <c r="A216" s="1774"/>
      <c r="B216" s="1777"/>
      <c r="C216" s="1819"/>
      <c r="D216" s="1819"/>
      <c r="E216" s="1819"/>
      <c r="F216" s="1819"/>
    </row>
    <row r="217" spans="1:6" ht="12" customHeight="1">
      <c r="A217" s="1774"/>
      <c r="B217" s="1777"/>
      <c r="C217" s="1819"/>
      <c r="D217" s="1819"/>
      <c r="E217" s="1819"/>
      <c r="F217" s="1819"/>
    </row>
    <row r="218" spans="1:6" ht="12" customHeight="1">
      <c r="A218" s="1774"/>
      <c r="B218" s="1777"/>
      <c r="C218" s="1819"/>
      <c r="D218" s="1819"/>
      <c r="E218" s="1819"/>
      <c r="F218" s="1819"/>
    </row>
    <row r="219" spans="1:6" ht="12" customHeight="1">
      <c r="A219" s="1774"/>
      <c r="B219" s="1777"/>
      <c r="C219" s="1819"/>
      <c r="D219" s="1819"/>
      <c r="E219" s="1819"/>
      <c r="F219" s="1819"/>
    </row>
    <row r="220" spans="1:6" ht="12" customHeight="1">
      <c r="A220" s="1774"/>
      <c r="B220" s="1777"/>
      <c r="C220" s="1819"/>
      <c r="D220" s="1819"/>
      <c r="E220" s="1819"/>
      <c r="F220" s="1819"/>
    </row>
    <row r="221" spans="1:6" ht="12" customHeight="1">
      <c r="A221" s="1774"/>
      <c r="B221" s="1777"/>
      <c r="C221" s="1819"/>
      <c r="D221" s="1819"/>
      <c r="E221" s="1819"/>
      <c r="F221" s="1819"/>
    </row>
    <row r="222" spans="1:6" ht="12" customHeight="1">
      <c r="A222" s="1774"/>
      <c r="B222" s="1777"/>
      <c r="C222" s="1819"/>
      <c r="D222" s="1819"/>
      <c r="E222" s="1819"/>
      <c r="F222" s="1819"/>
    </row>
    <row r="223" spans="1:6" ht="12" customHeight="1">
      <c r="A223" s="1774"/>
      <c r="B223" s="1777"/>
      <c r="C223" s="1819"/>
      <c r="D223" s="1819"/>
      <c r="E223" s="1819"/>
      <c r="F223" s="1819"/>
    </row>
    <row r="224" spans="1:6" ht="12" customHeight="1">
      <c r="A224" s="1774"/>
      <c r="B224" s="1777"/>
      <c r="C224" s="1819"/>
      <c r="D224" s="1819"/>
      <c r="E224" s="1819"/>
      <c r="F224" s="1819"/>
    </row>
    <row r="225" spans="1:6" ht="12" customHeight="1">
      <c r="A225" s="1774"/>
      <c r="B225" s="1777"/>
      <c r="C225" s="1819"/>
      <c r="D225" s="1819"/>
      <c r="E225" s="1819"/>
      <c r="F225" s="1819"/>
    </row>
    <row r="226" spans="1:6" ht="12" customHeight="1">
      <c r="A226" s="1774"/>
      <c r="B226" s="1777"/>
      <c r="C226" s="1819"/>
      <c r="D226" s="1819"/>
      <c r="E226" s="1819"/>
      <c r="F226" s="1819"/>
    </row>
    <row r="227" spans="1:6" ht="12" customHeight="1">
      <c r="A227" s="1774"/>
      <c r="B227" s="1777"/>
      <c r="C227" s="1819"/>
      <c r="D227" s="1819"/>
      <c r="E227" s="1819"/>
      <c r="F227" s="1819"/>
    </row>
    <row r="228" spans="1:6" ht="12" customHeight="1">
      <c r="A228" s="1774"/>
      <c r="B228" s="1777"/>
      <c r="C228" s="1819"/>
      <c r="D228" s="1819"/>
      <c r="E228" s="1819"/>
      <c r="F228" s="1819"/>
    </row>
    <row r="229" spans="1:6" ht="12" customHeight="1">
      <c r="A229" s="1774"/>
      <c r="B229" s="1777"/>
      <c r="C229" s="1819"/>
      <c r="D229" s="1819"/>
      <c r="E229" s="1819"/>
      <c r="F229" s="1819"/>
    </row>
    <row r="230" spans="1:6" ht="12" customHeight="1">
      <c r="A230" s="1774"/>
      <c r="B230" s="1777"/>
      <c r="C230" s="1819"/>
      <c r="D230" s="1819"/>
      <c r="E230" s="1819"/>
      <c r="F230" s="1819"/>
    </row>
    <row r="231" spans="1:6" ht="12" customHeight="1">
      <c r="A231" s="1774"/>
      <c r="B231" s="1777"/>
      <c r="C231" s="1819"/>
      <c r="D231" s="1819"/>
      <c r="E231" s="1819"/>
      <c r="F231" s="1819"/>
    </row>
    <row r="232" spans="1:6" ht="12" customHeight="1">
      <c r="A232" s="1774"/>
      <c r="B232" s="1777"/>
      <c r="C232" s="1819"/>
      <c r="D232" s="1819"/>
      <c r="E232" s="1819"/>
      <c r="F232" s="1819"/>
    </row>
    <row r="233" spans="1:6" ht="12" customHeight="1">
      <c r="A233" s="1774"/>
      <c r="B233" s="1777"/>
      <c r="C233" s="1819"/>
      <c r="D233" s="1819"/>
      <c r="E233" s="1819"/>
      <c r="F233" s="1819"/>
    </row>
    <row r="234" spans="1:6" ht="12" customHeight="1">
      <c r="A234" s="1774"/>
      <c r="B234" s="1777"/>
      <c r="C234" s="1819"/>
      <c r="D234" s="1819"/>
      <c r="E234" s="1819"/>
      <c r="F234" s="1819"/>
    </row>
    <row r="235" spans="1:6" ht="12" customHeight="1">
      <c r="A235" s="1774"/>
      <c r="B235" s="1777"/>
      <c r="C235" s="1819"/>
      <c r="D235" s="1819"/>
      <c r="E235" s="1819"/>
      <c r="F235" s="1819"/>
    </row>
    <row r="236" spans="1:6" ht="12" customHeight="1">
      <c r="A236" s="1774"/>
      <c r="B236" s="1777"/>
      <c r="C236" s="1819"/>
      <c r="D236" s="1819"/>
      <c r="E236" s="1819"/>
      <c r="F236" s="1819"/>
    </row>
    <row r="237" spans="1:6" ht="12" customHeight="1">
      <c r="A237" s="1774"/>
      <c r="B237" s="1777"/>
      <c r="C237" s="1819"/>
      <c r="D237" s="1819"/>
      <c r="E237" s="1819"/>
      <c r="F237" s="1819"/>
    </row>
    <row r="238" spans="1:6" ht="12" customHeight="1">
      <c r="A238" s="1774"/>
      <c r="B238" s="1777"/>
      <c r="C238" s="1819"/>
      <c r="D238" s="1819"/>
      <c r="E238" s="1819"/>
      <c r="F238" s="1819"/>
    </row>
    <row r="239" spans="1:6" ht="12" customHeight="1">
      <c r="A239" s="1774"/>
      <c r="B239" s="1777"/>
      <c r="C239" s="1819"/>
      <c r="D239" s="1819"/>
      <c r="E239" s="1819"/>
      <c r="F239" s="1819"/>
    </row>
    <row r="240" spans="1:6" ht="12" customHeight="1">
      <c r="A240" s="1774"/>
      <c r="B240" s="1777"/>
      <c r="C240" s="1819"/>
      <c r="D240" s="1819"/>
      <c r="E240" s="1819"/>
      <c r="F240" s="1819"/>
    </row>
    <row r="241" spans="1:6" ht="12" customHeight="1">
      <c r="A241" s="1774"/>
      <c r="B241" s="1777"/>
      <c r="C241" s="1819"/>
      <c r="D241" s="1819"/>
      <c r="E241" s="1819"/>
      <c r="F241" s="1819"/>
    </row>
    <row r="242" spans="1:6" ht="12" customHeight="1">
      <c r="A242" s="1774"/>
      <c r="B242" s="1777"/>
      <c r="C242" s="1819"/>
      <c r="D242" s="1819"/>
      <c r="E242" s="1819"/>
      <c r="F242" s="1819"/>
    </row>
    <row r="243" spans="1:6" ht="12" customHeight="1">
      <c r="A243" s="1774"/>
      <c r="B243" s="1777"/>
      <c r="C243" s="1819"/>
      <c r="D243" s="1819"/>
      <c r="E243" s="1819"/>
      <c r="F243" s="1819"/>
    </row>
    <row r="244" spans="1:6" ht="12" customHeight="1">
      <c r="A244" s="1774"/>
      <c r="B244" s="1777"/>
      <c r="C244" s="1819"/>
      <c r="D244" s="1819"/>
      <c r="E244" s="1819"/>
      <c r="F244" s="1819"/>
    </row>
    <row r="245" spans="1:6" ht="12" customHeight="1">
      <c r="A245" s="1774"/>
      <c r="B245" s="1777"/>
      <c r="C245" s="1819"/>
      <c r="D245" s="1819"/>
      <c r="E245" s="1819"/>
      <c r="F245" s="1819"/>
    </row>
    <row r="246" spans="1:6" ht="12" customHeight="1">
      <c r="A246" s="1774"/>
      <c r="B246" s="1777"/>
      <c r="C246" s="1819"/>
      <c r="D246" s="1819"/>
      <c r="E246" s="1819"/>
      <c r="F246" s="1819"/>
    </row>
    <row r="247" spans="1:6" ht="12" customHeight="1">
      <c r="A247" s="1774"/>
      <c r="B247" s="1777"/>
      <c r="C247" s="1819"/>
      <c r="D247" s="1819"/>
      <c r="E247" s="1819"/>
      <c r="F247" s="1819"/>
    </row>
    <row r="248" spans="1:6" ht="12" customHeight="1">
      <c r="A248" s="1774"/>
      <c r="B248" s="1777"/>
      <c r="C248" s="1819"/>
      <c r="D248" s="1819"/>
      <c r="E248" s="1819"/>
      <c r="F248" s="1819"/>
    </row>
    <row r="249" spans="1:6" ht="12" customHeight="1">
      <c r="A249" s="1774"/>
      <c r="B249" s="1777"/>
      <c r="C249" s="1819"/>
      <c r="D249" s="1819"/>
      <c r="E249" s="1819"/>
      <c r="F249" s="1819"/>
    </row>
    <row r="250" spans="1:6" ht="12" customHeight="1">
      <c r="A250" s="1774"/>
      <c r="B250" s="1777"/>
      <c r="C250" s="1819"/>
      <c r="D250" s="1819"/>
      <c r="E250" s="1819"/>
      <c r="F250" s="1819"/>
    </row>
    <row r="251" spans="1:6" ht="12" customHeight="1">
      <c r="A251" s="1774"/>
      <c r="B251" s="1777"/>
      <c r="C251" s="1819"/>
      <c r="D251" s="1819"/>
      <c r="E251" s="1819"/>
      <c r="F251" s="1819"/>
    </row>
    <row r="252" spans="1:6" ht="12" customHeight="1">
      <c r="A252" s="1774"/>
      <c r="B252" s="1777"/>
      <c r="C252" s="1819"/>
      <c r="D252" s="1819"/>
      <c r="E252" s="1819"/>
      <c r="F252" s="1819"/>
    </row>
    <row r="253" spans="1:6" ht="12" customHeight="1">
      <c r="A253" s="1774"/>
      <c r="B253" s="1777"/>
      <c r="C253" s="1819"/>
      <c r="D253" s="1819"/>
      <c r="E253" s="1819"/>
      <c r="F253" s="1819"/>
    </row>
    <row r="254" spans="1:6" ht="12" customHeight="1">
      <c r="A254" s="1774"/>
      <c r="B254" s="1777"/>
      <c r="C254" s="1819"/>
      <c r="D254" s="1819"/>
      <c r="E254" s="1819"/>
      <c r="F254" s="1819"/>
    </row>
    <row r="255" spans="1:6" ht="12" customHeight="1">
      <c r="A255" s="1774"/>
      <c r="B255" s="1777"/>
      <c r="C255" s="1819"/>
      <c r="D255" s="1819"/>
      <c r="E255" s="1819"/>
      <c r="F255" s="1819"/>
    </row>
    <row r="256" spans="1:6" ht="12" customHeight="1">
      <c r="A256" s="1774"/>
      <c r="B256" s="1777"/>
      <c r="C256" s="1819"/>
      <c r="D256" s="1819"/>
      <c r="E256" s="1819"/>
      <c r="F256" s="1819"/>
    </row>
    <row r="257" spans="1:6" ht="12" customHeight="1">
      <c r="A257" s="1774"/>
      <c r="B257" s="1777"/>
      <c r="C257" s="1819"/>
      <c r="D257" s="1819"/>
      <c r="E257" s="1819"/>
      <c r="F257" s="1819"/>
    </row>
    <row r="258" spans="1:6" ht="12" customHeight="1">
      <c r="A258" s="1774"/>
      <c r="B258" s="1777"/>
      <c r="C258" s="1819"/>
      <c r="D258" s="1819"/>
      <c r="E258" s="1819"/>
      <c r="F258" s="1819"/>
    </row>
    <row r="259" spans="1:6" ht="12" customHeight="1">
      <c r="A259" s="1774"/>
      <c r="B259" s="1777"/>
      <c r="C259" s="1819"/>
      <c r="D259" s="1819"/>
      <c r="E259" s="1819"/>
      <c r="F259" s="1819"/>
    </row>
    <row r="260" spans="1:6" ht="12" customHeight="1">
      <c r="A260" s="1774"/>
      <c r="B260" s="1777"/>
      <c r="C260" s="1819"/>
      <c r="D260" s="1819"/>
      <c r="E260" s="1819"/>
      <c r="F260" s="1819"/>
    </row>
    <row r="261" spans="1:6" ht="12" customHeight="1">
      <c r="A261" s="1774"/>
      <c r="B261" s="1777"/>
      <c r="C261" s="1819"/>
      <c r="D261" s="1819"/>
      <c r="E261" s="1819"/>
      <c r="F261" s="1819"/>
    </row>
    <row r="262" spans="1:6" ht="12" customHeight="1">
      <c r="A262" s="1774"/>
      <c r="B262" s="1777"/>
      <c r="C262" s="1819"/>
      <c r="D262" s="1819"/>
      <c r="E262" s="1819"/>
      <c r="F262" s="1819"/>
    </row>
    <row r="263" spans="1:6" ht="12" customHeight="1">
      <c r="A263" s="1774"/>
      <c r="B263" s="1777"/>
      <c r="C263" s="1819"/>
      <c r="D263" s="1819"/>
      <c r="E263" s="1819"/>
      <c r="F263" s="1819"/>
    </row>
    <row r="264" spans="1:6" ht="12" customHeight="1">
      <c r="A264" s="1774"/>
      <c r="B264" s="1777"/>
      <c r="C264" s="1819"/>
      <c r="D264" s="1819"/>
      <c r="E264" s="1819"/>
      <c r="F264" s="1819"/>
    </row>
    <row r="265" spans="1:6" ht="12" customHeight="1">
      <c r="A265" s="1774"/>
      <c r="B265" s="1777"/>
      <c r="C265" s="1819"/>
      <c r="D265" s="1819"/>
      <c r="E265" s="1819"/>
      <c r="F265" s="1819"/>
    </row>
    <row r="266" spans="1:6" ht="12" customHeight="1">
      <c r="A266" s="1774"/>
      <c r="B266" s="1777"/>
      <c r="C266" s="1819"/>
      <c r="D266" s="1819"/>
      <c r="E266" s="1819"/>
      <c r="F266" s="1819"/>
    </row>
    <row r="267" spans="1:6" ht="12" customHeight="1">
      <c r="A267" s="1774"/>
      <c r="B267" s="1777"/>
      <c r="C267" s="1819"/>
      <c r="D267" s="1819"/>
      <c r="E267" s="1819"/>
      <c r="F267" s="1819"/>
    </row>
    <row r="268" spans="1:6" ht="12" customHeight="1">
      <c r="A268" s="1774"/>
      <c r="B268" s="1777"/>
      <c r="C268" s="1819"/>
      <c r="D268" s="1819"/>
      <c r="E268" s="1819"/>
      <c r="F268" s="1819"/>
    </row>
    <row r="269" spans="1:6" ht="12" customHeight="1">
      <c r="A269" s="1774"/>
      <c r="B269" s="1777"/>
      <c r="C269" s="1819"/>
      <c r="D269" s="1819"/>
      <c r="E269" s="1819"/>
      <c r="F269" s="1819"/>
    </row>
    <row r="270" spans="1:6" ht="12" customHeight="1">
      <c r="A270" s="1774"/>
      <c r="B270" s="1777"/>
      <c r="C270" s="1819"/>
      <c r="D270" s="1819"/>
      <c r="E270" s="1819"/>
      <c r="F270" s="1819"/>
    </row>
    <row r="271" spans="1:6" ht="12" customHeight="1">
      <c r="A271" s="1774"/>
      <c r="B271" s="1777"/>
      <c r="C271" s="1819"/>
      <c r="D271" s="1819"/>
      <c r="E271" s="1819"/>
      <c r="F271" s="1819"/>
    </row>
    <row r="272" spans="1:6" ht="12" customHeight="1">
      <c r="A272" s="1774"/>
      <c r="B272" s="1777"/>
      <c r="C272" s="1819"/>
      <c r="D272" s="1819"/>
      <c r="E272" s="1819"/>
      <c r="F272" s="1819"/>
    </row>
    <row r="273" spans="1:6" ht="12" customHeight="1">
      <c r="A273" s="1774"/>
      <c r="B273" s="1777"/>
      <c r="C273" s="1819"/>
      <c r="D273" s="1819"/>
      <c r="E273" s="1819"/>
      <c r="F273" s="1819"/>
    </row>
    <row r="274" spans="1:6" ht="12" customHeight="1">
      <c r="A274" s="1774"/>
      <c r="B274" s="1777"/>
      <c r="C274" s="1819"/>
      <c r="D274" s="1819"/>
      <c r="E274" s="1819"/>
      <c r="F274" s="1819"/>
    </row>
    <row r="275" spans="1:6" ht="12" customHeight="1">
      <c r="A275" s="1774"/>
      <c r="B275" s="1777"/>
      <c r="C275" s="1819"/>
      <c r="D275" s="1819"/>
      <c r="E275" s="1819"/>
      <c r="F275" s="1819"/>
    </row>
    <row r="276" spans="1:6" ht="12" customHeight="1">
      <c r="A276" s="1774"/>
      <c r="B276" s="1777"/>
      <c r="C276" s="1819"/>
      <c r="D276" s="1819"/>
      <c r="E276" s="1819"/>
      <c r="F276" s="1819"/>
    </row>
    <row r="277" spans="1:6" ht="12" customHeight="1">
      <c r="A277" s="1774"/>
      <c r="B277" s="1777"/>
      <c r="C277" s="1819"/>
      <c r="D277" s="1819"/>
      <c r="E277" s="1819"/>
      <c r="F277" s="1819"/>
    </row>
    <row r="278" spans="1:6" ht="12" customHeight="1">
      <c r="A278" s="1774"/>
      <c r="B278" s="1777"/>
      <c r="C278" s="1819"/>
      <c r="D278" s="1819"/>
      <c r="E278" s="1819"/>
      <c r="F278" s="1819"/>
    </row>
    <row r="279" spans="1:6" ht="12" customHeight="1">
      <c r="A279" s="1774"/>
      <c r="B279" s="1777"/>
      <c r="C279" s="1819"/>
      <c r="D279" s="1819"/>
      <c r="E279" s="1819"/>
      <c r="F279" s="1819"/>
    </row>
    <row r="280" spans="1:6" ht="12" customHeight="1">
      <c r="A280" s="1774"/>
      <c r="B280" s="1777"/>
      <c r="C280" s="1819"/>
      <c r="D280" s="1819"/>
      <c r="E280" s="1819"/>
      <c r="F280" s="1819"/>
    </row>
    <row r="281" spans="1:6" ht="12" customHeight="1">
      <c r="A281" s="1774"/>
      <c r="B281" s="1777"/>
      <c r="C281" s="1819"/>
      <c r="D281" s="1819"/>
      <c r="E281" s="1819"/>
      <c r="F281" s="1819"/>
    </row>
    <row r="282" spans="1:6" ht="12" customHeight="1">
      <c r="A282" s="1774"/>
      <c r="B282" s="1777"/>
      <c r="C282" s="1819"/>
      <c r="D282" s="1819"/>
      <c r="E282" s="1819"/>
      <c r="F282" s="1819"/>
    </row>
    <row r="283" spans="1:6" ht="12" customHeight="1">
      <c r="A283" s="1774"/>
      <c r="B283" s="1777"/>
      <c r="C283" s="1819"/>
      <c r="D283" s="1819"/>
      <c r="E283" s="1819"/>
      <c r="F283" s="1819"/>
    </row>
    <row r="284" spans="1:6" ht="12" customHeight="1">
      <c r="A284" s="1774"/>
      <c r="B284" s="1777"/>
      <c r="C284" s="1819"/>
      <c r="D284" s="1819"/>
      <c r="E284" s="1819"/>
      <c r="F284" s="1819"/>
    </row>
    <row r="285" spans="1:6" ht="12" customHeight="1">
      <c r="A285" s="1774"/>
      <c r="B285" s="1777"/>
      <c r="C285" s="1819"/>
      <c r="D285" s="1819"/>
      <c r="E285" s="1819"/>
      <c r="F285" s="1819"/>
    </row>
    <row r="286" spans="1:6" ht="12" customHeight="1">
      <c r="A286" s="1774"/>
      <c r="B286" s="1777"/>
      <c r="C286" s="1819"/>
      <c r="D286" s="1819"/>
      <c r="E286" s="1819"/>
      <c r="F286" s="1819"/>
    </row>
    <row r="287" spans="1:6" ht="12" customHeight="1">
      <c r="A287" s="1774"/>
      <c r="B287" s="1777"/>
      <c r="C287" s="1819"/>
      <c r="D287" s="1819"/>
      <c r="E287" s="1819"/>
      <c r="F287" s="1819"/>
    </row>
    <row r="288" spans="1:6" ht="12" customHeight="1">
      <c r="A288" s="1774"/>
      <c r="B288" s="1777"/>
      <c r="C288" s="1819"/>
      <c r="D288" s="1819"/>
      <c r="E288" s="1819"/>
      <c r="F288" s="1819"/>
    </row>
    <row r="289" spans="1:6" ht="12" customHeight="1">
      <c r="A289" s="1774"/>
      <c r="B289" s="1777"/>
      <c r="C289" s="1819"/>
      <c r="D289" s="1819"/>
      <c r="E289" s="1819"/>
      <c r="F289" s="1819"/>
    </row>
    <row r="290" spans="1:6" ht="12" customHeight="1">
      <c r="A290" s="1774"/>
      <c r="B290" s="1777"/>
      <c r="C290" s="1819"/>
      <c r="D290" s="1819"/>
      <c r="E290" s="1819"/>
      <c r="F290" s="1819"/>
    </row>
    <row r="291" spans="1:6" ht="12" customHeight="1">
      <c r="A291" s="1774"/>
      <c r="B291" s="1777"/>
      <c r="C291" s="1819"/>
      <c r="D291" s="1819"/>
      <c r="E291" s="1819"/>
      <c r="F291" s="1819"/>
    </row>
    <row r="292" spans="1:6" ht="12" customHeight="1">
      <c r="A292" s="1774"/>
      <c r="B292" s="1777"/>
      <c r="C292" s="1819"/>
      <c r="D292" s="1819"/>
      <c r="E292" s="1819"/>
      <c r="F292" s="1819"/>
    </row>
    <row r="293" spans="1:6" ht="12" customHeight="1">
      <c r="A293" s="1774"/>
      <c r="B293" s="1777"/>
      <c r="C293" s="1819"/>
      <c r="D293" s="1819"/>
      <c r="E293" s="1819"/>
      <c r="F293" s="1819"/>
    </row>
    <row r="294" spans="1:6" ht="12" customHeight="1">
      <c r="A294" s="1774"/>
      <c r="B294" s="1777"/>
      <c r="C294" s="1819"/>
      <c r="D294" s="1819"/>
      <c r="E294" s="1819"/>
      <c r="F294" s="1819"/>
    </row>
    <row r="295" spans="1:6" ht="12" customHeight="1">
      <c r="A295" s="1774"/>
      <c r="B295" s="1777"/>
      <c r="C295" s="1819"/>
      <c r="D295" s="1819"/>
      <c r="E295" s="1819"/>
      <c r="F295" s="1819"/>
    </row>
    <row r="296" spans="1:6" ht="12" customHeight="1">
      <c r="A296" s="1774"/>
      <c r="B296" s="1777"/>
      <c r="C296" s="1819"/>
      <c r="D296" s="1819"/>
      <c r="E296" s="1819"/>
      <c r="F296" s="1819"/>
    </row>
    <row r="297" spans="1:6" ht="12" customHeight="1">
      <c r="A297" s="1774"/>
      <c r="B297" s="1777"/>
      <c r="C297" s="1819"/>
      <c r="D297" s="1819"/>
      <c r="E297" s="1819"/>
      <c r="F297" s="1819"/>
    </row>
    <row r="298" spans="1:6" ht="12" customHeight="1">
      <c r="A298" s="1774"/>
      <c r="B298" s="1777"/>
      <c r="C298" s="1819"/>
      <c r="D298" s="1819"/>
      <c r="E298" s="1819"/>
      <c r="F298" s="1819"/>
    </row>
    <row r="299" spans="1:6" ht="12" customHeight="1">
      <c r="A299" s="1774"/>
      <c r="B299" s="1777"/>
      <c r="C299" s="1819"/>
      <c r="D299" s="1819"/>
      <c r="E299" s="1819"/>
      <c r="F299" s="1819"/>
    </row>
    <row r="300" spans="1:6" ht="12" customHeight="1">
      <c r="A300" s="1774"/>
      <c r="B300" s="1777"/>
      <c r="C300" s="1819"/>
      <c r="D300" s="1819"/>
      <c r="E300" s="1819"/>
      <c r="F300" s="1819"/>
    </row>
    <row r="301" spans="1:6" ht="12" customHeight="1">
      <c r="A301" s="1774"/>
      <c r="B301" s="1777"/>
      <c r="C301" s="1819"/>
      <c r="D301" s="1819"/>
      <c r="E301" s="1819"/>
      <c r="F301" s="1819"/>
    </row>
    <row r="302" spans="1:6" ht="12" customHeight="1">
      <c r="A302" s="1774"/>
      <c r="B302" s="1777"/>
      <c r="C302" s="1819"/>
      <c r="D302" s="1819"/>
      <c r="E302" s="1819"/>
      <c r="F302" s="1819"/>
    </row>
    <row r="303" spans="1:6" ht="12" customHeight="1">
      <c r="A303" s="1774"/>
      <c r="B303" s="1777"/>
      <c r="C303" s="1819"/>
      <c r="D303" s="1819"/>
      <c r="E303" s="1819"/>
      <c r="F303" s="1819"/>
    </row>
    <row r="304" spans="1:6" ht="12" customHeight="1">
      <c r="A304" s="1774"/>
      <c r="B304" s="1777"/>
      <c r="C304" s="1819"/>
      <c r="D304" s="1819"/>
      <c r="E304" s="1819"/>
      <c r="F304" s="1819"/>
    </row>
    <row r="305" spans="1:6" ht="12" customHeight="1">
      <c r="A305" s="1774"/>
      <c r="B305" s="1777"/>
      <c r="C305" s="1819"/>
      <c r="D305" s="1819"/>
      <c r="E305" s="1819"/>
      <c r="F305" s="1819"/>
    </row>
    <row r="306" spans="1:6" ht="12" customHeight="1">
      <c r="A306" s="1774"/>
      <c r="B306" s="1777"/>
      <c r="C306" s="1819"/>
      <c r="D306" s="1819"/>
      <c r="E306" s="1819"/>
      <c r="F306" s="1819"/>
    </row>
    <row r="307" spans="1:6" ht="12" customHeight="1">
      <c r="A307" s="1774"/>
      <c r="B307" s="1777"/>
      <c r="C307" s="1819"/>
      <c r="D307" s="1819"/>
      <c r="E307" s="1819"/>
      <c r="F307" s="1819"/>
    </row>
    <row r="308" spans="1:6" ht="12" customHeight="1">
      <c r="A308" s="1774"/>
      <c r="B308" s="1777"/>
      <c r="C308" s="1819"/>
      <c r="D308" s="1819"/>
      <c r="E308" s="1819"/>
      <c r="F308" s="1819"/>
    </row>
    <row r="309" spans="1:6" ht="12" customHeight="1">
      <c r="A309" s="1774"/>
      <c r="B309" s="1777"/>
      <c r="C309" s="1819"/>
      <c r="D309" s="1819"/>
      <c r="E309" s="1819"/>
      <c r="F309" s="1819"/>
    </row>
    <row r="310" spans="1:6" ht="12" customHeight="1">
      <c r="A310" s="1774"/>
      <c r="B310" s="1777"/>
      <c r="C310" s="1819"/>
      <c r="D310" s="1819"/>
      <c r="E310" s="1819"/>
      <c r="F310" s="1819"/>
    </row>
    <row r="311" spans="1:6" ht="12" customHeight="1">
      <c r="A311" s="1774"/>
      <c r="B311" s="1777"/>
      <c r="C311" s="1819"/>
      <c r="D311" s="1819"/>
      <c r="E311" s="1819"/>
      <c r="F311" s="1819"/>
    </row>
    <row r="312" spans="1:6" ht="12" customHeight="1">
      <c r="A312" s="1774"/>
      <c r="B312" s="1777"/>
      <c r="C312" s="1819"/>
      <c r="D312" s="1819"/>
      <c r="E312" s="1819"/>
      <c r="F312" s="1819"/>
    </row>
  </sheetData>
  <sheetProtection algorithmName="SHA-512" hashValue="mhWBc0fmgoq9ySZoy2t6Yz1Q8xZPKU12aPx07TIWq5++WoOGrwdy8DLwXMqGUKzQuIBx4szdfHCgt1Gqm9BOag==" saltValue="dRqz+nJa8pLcQguiunLwmQ==" spinCount="100000" sheet="1" objects="1" scenarios="1"/>
  <phoneticPr fontId="10" type="noConversion"/>
  <dataValidations count="4">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zero." sqref="C13 C14:D14 C17:D17 C18:E18 F19 C20:E20 C23:D23 C25:D29 F31 F21 C44:E46 F48 F50:F51 C31:D32">
      <formula1>0</formula1>
    </dataValidation>
    <dataValidation type="whole" operator="greaterThanOrEqual" showInputMessage="1" showErrorMessage="1" errorTitle="Invalid Data Entry" error="Please enter a positive whole number or press the delete key or enter zero." sqref="D39">
      <formula1>0</formula1>
    </dataValidation>
    <dataValidation type="whole" operator="greaterThanOrEqual" allowBlank="1" showInputMessage="1" showErrorMessage="1" errorTitle="Invalid Data Entry" error="Please enter a positive number or press the delete key or enter zero." sqref="D34">
      <formula1>0</formula1>
    </dataValidation>
  </dataValidations>
  <hyperlinks>
    <hyperlink ref="H1" location="Contents!F1" display="Return to Contents page"/>
  </hyperlinks>
  <printOptions horizontalCentered="1"/>
  <pageMargins left="0.25" right="0.25" top="0.19" bottom="0.19" header="0.5" footer="0.5"/>
  <pageSetup orientation="portrait" blackAndWhite="1" r:id="rId1"/>
  <headerFooter alignWithMargins="0">
    <oddFooter>&amp;L&amp;D     &amp;T&amp;CCode No. 62</oddFooter>
  </headerFooter>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theme="4" tint="0.39997558519241921"/>
    <pageSetUpPr fitToPage="1"/>
  </sheetPr>
  <dimension ref="A1:M313"/>
  <sheetViews>
    <sheetView topLeftCell="A4" workbookViewId="0">
      <selection activeCell="C9" sqref="C9"/>
    </sheetView>
  </sheetViews>
  <sheetFormatPr defaultColWidth="10.7109375" defaultRowHeight="12" customHeight="1"/>
  <cols>
    <col min="1" max="1" width="40.42578125" style="1833" customWidth="1"/>
    <col min="2" max="2" width="5.7109375" style="1873" customWidth="1"/>
    <col min="3" max="3" width="15.42578125" style="1827" customWidth="1"/>
    <col min="4" max="4" width="14.5703125" style="1827" customWidth="1"/>
    <col min="5" max="5" width="15.140625" style="1827" customWidth="1"/>
    <col min="6" max="6" width="14.7109375" style="1827" customWidth="1"/>
    <col min="7" max="7" width="3.140625" style="1827" customWidth="1"/>
    <col min="8" max="8" width="21" style="1827" customWidth="1"/>
    <col min="9" max="16384" width="10.7109375" style="1827"/>
  </cols>
  <sheetData>
    <row r="1" spans="1:13" ht="12" customHeight="1">
      <c r="A1" s="1824" t="s">
        <v>1019</v>
      </c>
      <c r="B1" s="1825">
        <f>OPEN!$B$4</f>
        <v>270</v>
      </c>
      <c r="C1" s="1826"/>
      <c r="D1" s="1826"/>
      <c r="E1" s="1826"/>
      <c r="F1" s="1824" t="s">
        <v>1020</v>
      </c>
      <c r="H1" s="3013" t="s">
        <v>866</v>
      </c>
    </row>
    <row r="2" spans="1:13" ht="12" customHeight="1">
      <c r="A2" s="1826"/>
      <c r="B2" s="1828"/>
      <c r="C2" s="1826"/>
      <c r="D2" s="1826"/>
      <c r="E2" s="1826"/>
      <c r="F2" s="1824" t="s">
        <v>1212</v>
      </c>
    </row>
    <row r="3" spans="1:13" ht="12" customHeight="1">
      <c r="A3" s="1826"/>
      <c r="B3" s="1828"/>
      <c r="C3" s="1826"/>
      <c r="D3" s="1826"/>
      <c r="E3" s="1826"/>
      <c r="F3" s="1824" t="str">
        <f>OPEN!N2</f>
        <v>2016-2017</v>
      </c>
    </row>
    <row r="4" spans="1:13" ht="12" customHeight="1">
      <c r="A4" s="1826"/>
      <c r="B4" s="1828"/>
      <c r="C4" s="1826"/>
      <c r="D4" s="1826"/>
      <c r="E4" s="1826"/>
      <c r="F4" s="1826"/>
    </row>
    <row r="5" spans="1:13" ht="12" customHeight="1">
      <c r="A5" s="1826"/>
      <c r="B5" s="1828"/>
      <c r="C5" s="1829" t="s">
        <v>1213</v>
      </c>
      <c r="D5" s="1829" t="s">
        <v>1213</v>
      </c>
      <c r="E5" s="1829" t="s">
        <v>1213</v>
      </c>
      <c r="F5" s="1829" t="s">
        <v>10</v>
      </c>
    </row>
    <row r="6" spans="1:13" ht="12" customHeight="1">
      <c r="A6" s="1830"/>
      <c r="B6" s="1831" t="s">
        <v>1045</v>
      </c>
      <c r="C6" s="1832" t="str">
        <f>OPEN!N4</f>
        <v>2014-2015</v>
      </c>
      <c r="D6" s="1832" t="str">
        <f>OPEN!O4</f>
        <v>2015-2016</v>
      </c>
      <c r="E6" s="1832" t="str">
        <f>OPEN!P4</f>
        <v>2016-2017</v>
      </c>
      <c r="F6" s="1832" t="s">
        <v>758</v>
      </c>
      <c r="K6" s="1833"/>
      <c r="L6" s="1833"/>
      <c r="M6" s="1833"/>
    </row>
    <row r="7" spans="1:13" ht="12" customHeight="1">
      <c r="A7" s="1830" t="s">
        <v>882</v>
      </c>
      <c r="B7" s="1834">
        <v>63</v>
      </c>
      <c r="C7" s="1835" t="s">
        <v>1139</v>
      </c>
      <c r="D7" s="1835" t="s">
        <v>1139</v>
      </c>
      <c r="E7" s="1835" t="s">
        <v>1215</v>
      </c>
      <c r="F7" s="1835" t="s">
        <v>16</v>
      </c>
    </row>
    <row r="8" spans="1:13" ht="12" customHeight="1">
      <c r="A8" s="3348" t="str">
        <f>IF(B1=113,"(USD 488)"," ")</f>
        <v xml:space="preserve"> </v>
      </c>
      <c r="B8" s="1836" t="s">
        <v>1051</v>
      </c>
      <c r="C8" s="1837">
        <v>1</v>
      </c>
      <c r="D8" s="1837">
        <v>2</v>
      </c>
      <c r="E8" s="1837">
        <v>3</v>
      </c>
      <c r="F8" s="1837">
        <v>4</v>
      </c>
    </row>
    <row r="9" spans="1:13" ht="12" customHeight="1">
      <c r="A9" s="1838" t="s">
        <v>1402</v>
      </c>
      <c r="B9" s="1834">
        <v>1</v>
      </c>
      <c r="C9" s="1839"/>
      <c r="D9" s="1840">
        <f>C53</f>
        <v>0</v>
      </c>
      <c r="E9" s="1840">
        <f>D53</f>
        <v>0</v>
      </c>
      <c r="F9" s="1841">
        <f>E9</f>
        <v>0</v>
      </c>
    </row>
    <row r="10" spans="1:13" ht="12" customHeight="1">
      <c r="A10" s="1842" t="s">
        <v>19</v>
      </c>
      <c r="B10" s="1831"/>
      <c r="C10" s="1843"/>
      <c r="D10" s="1843"/>
      <c r="E10" s="1843"/>
      <c r="F10" s="1843"/>
    </row>
    <row r="11" spans="1:13" ht="12" customHeight="1">
      <c r="A11" s="1838" t="s">
        <v>20</v>
      </c>
      <c r="B11" s="1834"/>
      <c r="C11" s="1844"/>
      <c r="D11" s="1844"/>
      <c r="E11" s="1844"/>
      <c r="F11" s="1844"/>
    </row>
    <row r="12" spans="1:13" ht="12" customHeight="1">
      <c r="A12" s="1838" t="s">
        <v>21</v>
      </c>
      <c r="B12" s="1834"/>
      <c r="C12" s="1844"/>
      <c r="D12" s="1844"/>
      <c r="E12" s="1844"/>
      <c r="F12" s="1844"/>
    </row>
    <row r="13" spans="1:13" ht="12" customHeight="1">
      <c r="A13" s="1845" t="str">
        <f>OPEN!N8</f>
        <v xml:space="preserve">    2013  $</v>
      </c>
      <c r="B13" s="1836">
        <v>5</v>
      </c>
      <c r="C13" s="1846"/>
      <c r="D13" s="1844"/>
      <c r="E13" s="1844"/>
      <c r="F13" s="1844"/>
    </row>
    <row r="14" spans="1:13" ht="12" customHeight="1">
      <c r="A14" s="1847" t="str">
        <f>OPEN!N9</f>
        <v xml:space="preserve">    2014  $</v>
      </c>
      <c r="B14" s="1848">
        <v>10</v>
      </c>
      <c r="C14" s="1849"/>
      <c r="D14" s="1846"/>
      <c r="E14" s="1844"/>
      <c r="F14" s="1844"/>
    </row>
    <row r="15" spans="1:13" ht="12" customHeight="1">
      <c r="A15" s="1845" t="str">
        <f>OPEN!N10</f>
        <v xml:space="preserve">    2015  $</v>
      </c>
      <c r="B15" s="1836">
        <v>15</v>
      </c>
      <c r="C15" s="1843"/>
      <c r="D15" s="1841">
        <f>'C04'!E20</f>
        <v>0</v>
      </c>
      <c r="E15" s="1850">
        <f>'F110'!K81</f>
        <v>0</v>
      </c>
      <c r="F15" s="1850">
        <f>E15</f>
        <v>0</v>
      </c>
    </row>
    <row r="16" spans="1:13" ht="12" customHeight="1">
      <c r="A16" s="1847" t="str">
        <f>OPEN!N11</f>
        <v xml:space="preserve">    2016  $</v>
      </c>
      <c r="B16" s="1848">
        <v>20</v>
      </c>
      <c r="C16" s="1844"/>
      <c r="D16" s="1851"/>
      <c r="E16" s="1841">
        <f>'C04'!L20</f>
        <v>0</v>
      </c>
      <c r="F16" s="1843"/>
    </row>
    <row r="17" spans="1:9" ht="12" customHeight="1">
      <c r="A17" s="1847" t="s">
        <v>883</v>
      </c>
      <c r="B17" s="1848">
        <v>25</v>
      </c>
      <c r="C17" s="1846"/>
      <c r="D17" s="4122"/>
      <c r="E17" s="1850">
        <f>0.667*F17</f>
        <v>0</v>
      </c>
      <c r="F17" s="4123">
        <f>'F110'!K85</f>
        <v>0</v>
      </c>
      <c r="H17" s="4037"/>
    </row>
    <row r="18" spans="1:9" ht="12" customHeight="1">
      <c r="A18" s="1847" t="s">
        <v>884</v>
      </c>
      <c r="B18" s="1848">
        <v>30</v>
      </c>
      <c r="C18" s="1849"/>
      <c r="D18" s="1849"/>
      <c r="E18" s="1846"/>
      <c r="F18" s="1841">
        <f>E18</f>
        <v>0</v>
      </c>
    </row>
    <row r="19" spans="1:9" ht="12" customHeight="1">
      <c r="A19" s="1845" t="s">
        <v>30</v>
      </c>
      <c r="B19" s="1836">
        <v>35</v>
      </c>
      <c r="C19" s="1843"/>
      <c r="D19" s="1843"/>
      <c r="E19" s="1843"/>
      <c r="F19" s="1846"/>
    </row>
    <row r="20" spans="1:9" ht="12" customHeight="1">
      <c r="A20" s="1847" t="s">
        <v>25</v>
      </c>
      <c r="B20" s="1848">
        <v>40</v>
      </c>
      <c r="C20" s="1846"/>
      <c r="D20" s="1846"/>
      <c r="E20" s="1846"/>
      <c r="F20" s="1852">
        <f>E20</f>
        <v>0</v>
      </c>
    </row>
    <row r="21" spans="1:9" ht="12" customHeight="1">
      <c r="A21" s="1845" t="s">
        <v>30</v>
      </c>
      <c r="B21" s="1836">
        <v>45</v>
      </c>
      <c r="C21" s="1843"/>
      <c r="D21" s="1843"/>
      <c r="E21" s="1843"/>
      <c r="F21" s="1849"/>
    </row>
    <row r="22" spans="1:9" ht="12" customHeight="1">
      <c r="A22" s="1842" t="s">
        <v>28</v>
      </c>
      <c r="B22" s="1831"/>
      <c r="C22" s="1844"/>
      <c r="D22" s="1844"/>
      <c r="E22" s="1844"/>
      <c r="F22" s="1843"/>
    </row>
    <row r="23" spans="1:9" ht="12" customHeight="1">
      <c r="A23" s="1845" t="s">
        <v>285</v>
      </c>
      <c r="B23" s="1836">
        <v>55</v>
      </c>
      <c r="C23" s="1846"/>
      <c r="D23" s="1846"/>
      <c r="E23" s="1850">
        <f>IF(ISERROR('F194'!H81+'F194'!H23+'F194'!$P$81+'F194'!$P$23),0,('F194'!H81+'F194'!H23+'F194'!$P$81+'F194'!$P$23))</f>
        <v>0</v>
      </c>
      <c r="F23" s="1850">
        <f>E23</f>
        <v>0</v>
      </c>
    </row>
    <row r="24" spans="1:9" ht="12" customHeight="1">
      <c r="A24" s="1853" t="s">
        <v>30</v>
      </c>
      <c r="B24" s="1854">
        <v>60</v>
      </c>
      <c r="C24" s="1843"/>
      <c r="D24" s="1843"/>
      <c r="E24" s="1843"/>
      <c r="F24" s="1852">
        <f>F23*0.5</f>
        <v>0</v>
      </c>
    </row>
    <row r="25" spans="1:9" ht="12" customHeight="1">
      <c r="A25" s="1853" t="s">
        <v>31</v>
      </c>
      <c r="B25" s="1854">
        <v>65</v>
      </c>
      <c r="C25" s="1846"/>
      <c r="D25" s="1846"/>
      <c r="E25" s="1850">
        <f>IF(ISERROR('F194'!$L$81+'F194'!$L$23),0,('F194'!$L$81+'F194'!$L$23))</f>
        <v>0</v>
      </c>
      <c r="F25" s="1852">
        <f>E25</f>
        <v>0</v>
      </c>
    </row>
    <row r="26" spans="1:9" ht="12" customHeight="1">
      <c r="A26" s="1853" t="s">
        <v>32</v>
      </c>
      <c r="B26" s="1854">
        <v>66</v>
      </c>
      <c r="C26" s="1844"/>
      <c r="D26" s="1844"/>
      <c r="E26" s="1844"/>
      <c r="F26" s="1852">
        <f>F25*0.5</f>
        <v>0</v>
      </c>
    </row>
    <row r="27" spans="1:9" ht="12" customHeight="1">
      <c r="A27" s="5024" t="s">
        <v>1870</v>
      </c>
      <c r="B27" s="4268">
        <v>67</v>
      </c>
      <c r="C27" s="4238"/>
      <c r="D27" s="4238"/>
      <c r="E27" s="1850">
        <f>IF(ISERROR('F194'!R81+'F194'!R23),0,('F194'!R81+'F194'!R23))</f>
        <v>0</v>
      </c>
      <c r="F27" s="1852">
        <f>E27</f>
        <v>0</v>
      </c>
    </row>
    <row r="28" spans="1:9" ht="12" customHeight="1">
      <c r="A28" s="5024" t="s">
        <v>32</v>
      </c>
      <c r="B28" s="4268">
        <v>68</v>
      </c>
      <c r="C28" s="1844"/>
      <c r="D28" s="1844"/>
      <c r="E28" s="1844"/>
      <c r="F28" s="1852">
        <f>F27*0.5</f>
        <v>0</v>
      </c>
    </row>
    <row r="29" spans="1:9" ht="12" customHeight="1">
      <c r="A29" s="1853" t="s">
        <v>1938</v>
      </c>
      <c r="B29" s="1854">
        <v>70</v>
      </c>
      <c r="C29" s="1839"/>
      <c r="D29" s="1839"/>
      <c r="E29" s="1850">
        <f>IF(ISERROR('F194'!N81+'F194'!N23),0,('F194'!N81+'F194'!N23))</f>
        <v>0</v>
      </c>
      <c r="F29" s="1841">
        <f>E29</f>
        <v>0</v>
      </c>
    </row>
    <row r="30" spans="1:9" ht="12" customHeight="1">
      <c r="A30" s="1853" t="s">
        <v>30</v>
      </c>
      <c r="B30" s="3395">
        <v>72</v>
      </c>
      <c r="C30" s="1843"/>
      <c r="D30" s="3359"/>
      <c r="E30" s="3359"/>
      <c r="F30" s="1841">
        <f>F29*0.5</f>
        <v>0</v>
      </c>
    </row>
    <row r="31" spans="1:9" ht="12" customHeight="1">
      <c r="A31" s="1855" t="s">
        <v>33</v>
      </c>
      <c r="B31" s="3396"/>
      <c r="C31" s="1844"/>
      <c r="D31" s="3296"/>
      <c r="E31" s="3296"/>
      <c r="F31" s="1856"/>
    </row>
    <row r="32" spans="1:9" ht="12" customHeight="1">
      <c r="A32" s="1857" t="s">
        <v>1861</v>
      </c>
      <c r="B32" s="4267">
        <v>76</v>
      </c>
      <c r="C32" s="4067"/>
      <c r="D32" s="4067"/>
      <c r="E32" s="1850">
        <f>F242A!$I$23</f>
        <v>0</v>
      </c>
      <c r="F32" s="1850">
        <f>E32</f>
        <v>0</v>
      </c>
      <c r="H32" s="4037"/>
      <c r="I32" s="4037"/>
    </row>
    <row r="33" spans="1:9" ht="12" customHeight="1">
      <c r="A33" s="1853" t="s">
        <v>873</v>
      </c>
      <c r="B33" s="3395">
        <v>77</v>
      </c>
      <c r="C33" s="4076"/>
      <c r="D33" s="1843"/>
      <c r="E33" s="3296"/>
      <c r="F33" s="1849"/>
      <c r="I33" s="4037"/>
    </row>
    <row r="34" spans="1:9" ht="12" customHeight="1">
      <c r="A34" s="5025" t="s">
        <v>2497</v>
      </c>
      <c r="B34" s="4268">
        <v>78</v>
      </c>
      <c r="C34" s="4068"/>
      <c r="D34" s="4238"/>
      <c r="E34" s="4078">
        <f>F242A!$I$47</f>
        <v>0</v>
      </c>
      <c r="F34" s="1850">
        <f>E34</f>
        <v>0</v>
      </c>
      <c r="H34" s="4037"/>
    </row>
    <row r="35" spans="1:9" ht="12" customHeight="1">
      <c r="A35" s="5026" t="s">
        <v>873</v>
      </c>
      <c r="B35" s="4269">
        <v>79</v>
      </c>
      <c r="C35" s="4068"/>
      <c r="D35" s="1840"/>
      <c r="E35" s="4075"/>
      <c r="F35" s="4069"/>
      <c r="H35" s="4037"/>
      <c r="I35" s="4036"/>
    </row>
    <row r="36" spans="1:9" ht="12" customHeight="1">
      <c r="A36" s="4140" t="s">
        <v>2496</v>
      </c>
      <c r="B36" s="4115">
        <v>83</v>
      </c>
      <c r="C36" s="4068"/>
      <c r="D36" s="1840"/>
      <c r="E36" s="5063">
        <f>F242A!I71</f>
        <v>0</v>
      </c>
      <c r="F36" s="1850">
        <f>E36</f>
        <v>0</v>
      </c>
      <c r="H36" s="4037"/>
      <c r="I36" s="4036"/>
    </row>
    <row r="37" spans="1:9" ht="12" customHeight="1">
      <c r="A37" s="4141" t="s">
        <v>873</v>
      </c>
      <c r="B37" s="5064">
        <v>84</v>
      </c>
      <c r="C37" s="4068"/>
      <c r="D37" s="1840"/>
      <c r="E37" s="4075"/>
      <c r="F37" s="5236"/>
      <c r="H37" s="4037"/>
      <c r="I37" s="4036"/>
    </row>
    <row r="38" spans="1:9" ht="12" customHeight="1">
      <c r="A38" s="3294" t="s">
        <v>1451</v>
      </c>
      <c r="B38" s="4270"/>
      <c r="C38" s="3293"/>
      <c r="D38" s="1844"/>
      <c r="E38" s="4074"/>
      <c r="F38" s="1840"/>
    </row>
    <row r="39" spans="1:9" ht="12" customHeight="1">
      <c r="A39" s="3295" t="s">
        <v>1453</v>
      </c>
      <c r="B39" s="4073">
        <v>80</v>
      </c>
      <c r="C39" s="4077"/>
      <c r="D39" s="1846"/>
      <c r="E39" s="4078">
        <f>F242A!$I$15+F242A!$I$39</f>
        <v>0</v>
      </c>
      <c r="F39" s="1850">
        <f>E39</f>
        <v>0</v>
      </c>
    </row>
    <row r="40" spans="1:9" ht="12" customHeight="1">
      <c r="A40" s="1857" t="s">
        <v>873</v>
      </c>
      <c r="B40" s="3307">
        <v>81</v>
      </c>
      <c r="C40" s="1844"/>
      <c r="D40" s="1844"/>
      <c r="E40" s="1844"/>
      <c r="F40" s="1846"/>
    </row>
    <row r="41" spans="1:9" ht="12" customHeight="1">
      <c r="A41" s="1859" t="s">
        <v>52</v>
      </c>
      <c r="B41" s="1858">
        <v>82</v>
      </c>
      <c r="C41" s="1850">
        <f>SUM(C9:C40)</f>
        <v>0</v>
      </c>
      <c r="D41" s="1850">
        <f>SUM(D9:D40)</f>
        <v>0</v>
      </c>
      <c r="E41" s="1850">
        <f>SUM(E9:E40)</f>
        <v>0</v>
      </c>
      <c r="F41" s="1850">
        <f>SUM(F9:F40)</f>
        <v>0</v>
      </c>
    </row>
    <row r="42" spans="1:9" ht="12" customHeight="1">
      <c r="A42" s="1855" t="s">
        <v>111</v>
      </c>
      <c r="B42" s="1832"/>
      <c r="C42" s="1843"/>
      <c r="D42" s="1843"/>
      <c r="E42" s="1843"/>
      <c r="F42" s="1843"/>
    </row>
    <row r="43" spans="1:9" ht="12" customHeight="1">
      <c r="A43" s="1860" t="s">
        <v>885</v>
      </c>
      <c r="B43" s="1835"/>
      <c r="C43" s="1844"/>
      <c r="D43" s="1844"/>
      <c r="E43" s="1844"/>
      <c r="F43" s="1844"/>
    </row>
    <row r="44" spans="1:9" ht="12" customHeight="1">
      <c r="A44" s="1857" t="s">
        <v>38</v>
      </c>
      <c r="B44" s="1858">
        <v>85</v>
      </c>
      <c r="C44" s="1846"/>
      <c r="D44" s="1846"/>
      <c r="E44" s="1846"/>
      <c r="F44" s="1844"/>
    </row>
    <row r="45" spans="1:9" ht="12" customHeight="1">
      <c r="A45" s="1857" t="s">
        <v>1966</v>
      </c>
      <c r="B45" s="1858">
        <v>90</v>
      </c>
      <c r="C45" s="1849"/>
      <c r="D45" s="1849"/>
      <c r="E45" s="1849"/>
      <c r="F45" s="1844"/>
    </row>
    <row r="46" spans="1:9" ht="12" customHeight="1">
      <c r="A46" s="1853" t="s">
        <v>39</v>
      </c>
      <c r="B46" s="1854">
        <v>95</v>
      </c>
      <c r="C46" s="1849"/>
      <c r="D46" s="1849"/>
      <c r="E46" s="1849"/>
      <c r="F46" s="1844"/>
    </row>
    <row r="47" spans="1:9" ht="12" customHeight="1">
      <c r="A47" s="1861" t="s">
        <v>761</v>
      </c>
      <c r="B47" s="1854">
        <v>100</v>
      </c>
      <c r="C47" s="1841">
        <f>SUM(C42:C46)</f>
        <v>0</v>
      </c>
      <c r="D47" s="1841">
        <f>SUM(D42:D46)</f>
        <v>0</v>
      </c>
      <c r="E47" s="1841">
        <f>SUM(E42:E46)</f>
        <v>0</v>
      </c>
      <c r="F47" s="1850">
        <f>E47</f>
        <v>0</v>
      </c>
    </row>
    <row r="48" spans="1:9" ht="12" customHeight="1">
      <c r="A48" s="1853" t="s">
        <v>1968</v>
      </c>
      <c r="B48" s="1854">
        <v>105</v>
      </c>
      <c r="C48" s="1843"/>
      <c r="D48" s="1843"/>
      <c r="E48" s="1843"/>
      <c r="F48" s="1849"/>
    </row>
    <row r="49" spans="1:9" ht="12" customHeight="1">
      <c r="A49" s="1853" t="s">
        <v>1967</v>
      </c>
      <c r="B49" s="1854">
        <v>110</v>
      </c>
      <c r="C49" s="1844"/>
      <c r="D49" s="1844"/>
      <c r="E49" s="1844"/>
      <c r="F49" s="1849"/>
    </row>
    <row r="50" spans="1:9" ht="12" customHeight="1">
      <c r="A50" s="1853" t="s">
        <v>1969</v>
      </c>
      <c r="B50" s="1854">
        <v>115</v>
      </c>
      <c r="C50" s="1844"/>
      <c r="D50" s="1844"/>
      <c r="E50" s="1844"/>
      <c r="F50" s="1849"/>
    </row>
    <row r="51" spans="1:9" ht="12" customHeight="1">
      <c r="A51" s="1853" t="s">
        <v>886</v>
      </c>
      <c r="B51" s="1854">
        <v>120</v>
      </c>
      <c r="C51" s="1844"/>
      <c r="D51" s="1844"/>
      <c r="E51" s="1844"/>
      <c r="F51" s="1849"/>
    </row>
    <row r="52" spans="1:9" ht="12" customHeight="1">
      <c r="A52" s="1853" t="s">
        <v>762</v>
      </c>
      <c r="B52" s="1854">
        <v>185</v>
      </c>
      <c r="C52" s="1862" t="s">
        <v>51</v>
      </c>
      <c r="D52" s="1862" t="s">
        <v>51</v>
      </c>
      <c r="E52" s="1862" t="s">
        <v>51</v>
      </c>
      <c r="F52" s="1841">
        <f>SUM(F47:F51)</f>
        <v>0</v>
      </c>
    </row>
    <row r="53" spans="1:9" ht="12" customHeight="1">
      <c r="A53" s="1853" t="s">
        <v>290</v>
      </c>
      <c r="B53" s="1854">
        <v>190</v>
      </c>
      <c r="C53" s="1863">
        <f>SUM(C41-C47)</f>
        <v>0</v>
      </c>
      <c r="D53" s="1863">
        <f>SUM(D41-D47)</f>
        <v>0</v>
      </c>
      <c r="E53" s="1864">
        <f>SUM(E41-E47)</f>
        <v>0</v>
      </c>
      <c r="F53" s="1865" t="s">
        <v>1189</v>
      </c>
    </row>
    <row r="54" spans="1:9" ht="12" customHeight="1">
      <c r="A54" s="1826"/>
      <c r="B54" s="1854">
        <v>195</v>
      </c>
      <c r="C54" s="1866" t="s">
        <v>1456</v>
      </c>
      <c r="D54" s="1867"/>
      <c r="E54" s="1868"/>
      <c r="F54" s="1841">
        <f>SUM(F52-F41)</f>
        <v>0</v>
      </c>
    </row>
    <row r="55" spans="1:9" ht="12" customHeight="1">
      <c r="A55" s="1826"/>
      <c r="B55" s="1854">
        <v>200</v>
      </c>
      <c r="C55" s="1866" t="s">
        <v>763</v>
      </c>
      <c r="D55" s="1867"/>
      <c r="E55" s="1868"/>
      <c r="F55" s="1841">
        <f>F54*'C01'!$F$119/100</f>
        <v>0</v>
      </c>
    </row>
    <row r="56" spans="1:9" ht="12" customHeight="1">
      <c r="A56" s="1826"/>
      <c r="B56" s="1854">
        <v>205</v>
      </c>
      <c r="C56" s="1866" t="str">
        <f>OPEN!N6</f>
        <v>Amount of 2016 Tax to be Levied</v>
      </c>
      <c r="D56" s="1867"/>
      <c r="E56" s="1869"/>
      <c r="F56" s="1841">
        <f>SUM(F54:F55)</f>
        <v>0</v>
      </c>
      <c r="H56" s="3172" t="s">
        <v>390</v>
      </c>
      <c r="I56" s="3173" t="str">
        <f>IF(ISERROR(F56/OPEN!N45*1000),"Check errors below",F56/OPEN!N45*1000)</f>
        <v>Check errors below</v>
      </c>
    </row>
    <row r="57" spans="1:9" ht="12" customHeight="1">
      <c r="A57" s="1826"/>
      <c r="B57" s="2798"/>
      <c r="C57" s="1826"/>
      <c r="D57" s="1826"/>
      <c r="E57" s="1826"/>
      <c r="F57" s="1826"/>
      <c r="H57" s="3174" t="str">
        <f>IF(B1=113,OPEN!R41,OPEN!R40)</f>
        <v>Fill in Assessed Valuation  for Bond &amp; Interest #2 on the Open - cell A16</v>
      </c>
      <c r="I57" s="1826"/>
    </row>
    <row r="58" spans="1:9" ht="12" customHeight="1">
      <c r="A58" s="1826" t="s">
        <v>1894</v>
      </c>
      <c r="B58" s="1829"/>
      <c r="C58" s="1826"/>
      <c r="D58" s="1826"/>
      <c r="E58" s="1826"/>
      <c r="F58" s="1826"/>
    </row>
    <row r="59" spans="1:9" ht="12" customHeight="1">
      <c r="A59" s="1870" t="s">
        <v>887</v>
      </c>
      <c r="B59" s="1829"/>
      <c r="C59" s="1826"/>
      <c r="D59" s="1826"/>
      <c r="E59" s="1826"/>
      <c r="F59" s="1826"/>
    </row>
    <row r="60" spans="1:9" ht="12" customHeight="1">
      <c r="A60" s="1870"/>
      <c r="B60" s="1829"/>
      <c r="C60" s="1826"/>
      <c r="D60" s="1826"/>
      <c r="E60" s="1826"/>
      <c r="F60" s="1826"/>
    </row>
    <row r="61" spans="1:9" ht="12" customHeight="1">
      <c r="A61" s="1870" t="s">
        <v>888</v>
      </c>
      <c r="B61" s="1829"/>
      <c r="C61" s="1826"/>
      <c r="D61" s="1826"/>
      <c r="E61" s="1826"/>
      <c r="F61" s="1826"/>
    </row>
    <row r="62" spans="1:9" ht="12" customHeight="1">
      <c r="A62" s="1826"/>
      <c r="B62" s="2785" t="s">
        <v>1364</v>
      </c>
      <c r="C62" s="1826"/>
      <c r="D62" s="1826"/>
      <c r="E62" s="1826"/>
      <c r="F62" s="1826"/>
    </row>
    <row r="63" spans="1:9" ht="12" customHeight="1">
      <c r="A63" s="1826"/>
      <c r="B63" s="1829"/>
      <c r="C63" s="1826"/>
      <c r="D63" s="1826"/>
      <c r="E63" s="1826"/>
      <c r="F63" s="1826"/>
    </row>
    <row r="64" spans="1:9" ht="12" customHeight="1">
      <c r="A64" s="1826"/>
      <c r="B64" s="1829"/>
      <c r="C64" s="1826"/>
      <c r="D64" s="1826"/>
      <c r="E64" s="1826"/>
      <c r="F64" s="1826"/>
    </row>
    <row r="65" spans="1:6" ht="12" customHeight="1">
      <c r="A65" s="1871"/>
      <c r="B65" s="1871"/>
      <c r="C65" s="1871"/>
      <c r="D65" s="1871"/>
      <c r="E65" s="1871"/>
      <c r="F65" s="1871"/>
    </row>
    <row r="66" spans="1:6" ht="12" customHeight="1">
      <c r="A66" s="1826"/>
      <c r="B66" s="1829"/>
      <c r="C66" s="1872"/>
      <c r="D66" s="1872"/>
      <c r="E66" s="1872"/>
      <c r="F66" s="1872"/>
    </row>
    <row r="67" spans="1:6" ht="12" customHeight="1">
      <c r="A67" s="1826"/>
      <c r="B67" s="1829"/>
      <c r="C67" s="1872"/>
      <c r="D67" s="1872"/>
      <c r="E67" s="1872"/>
      <c r="F67" s="1872"/>
    </row>
    <row r="68" spans="1:6" ht="12" customHeight="1">
      <c r="A68" s="1826"/>
      <c r="B68" s="1829"/>
      <c r="C68" s="1872"/>
      <c r="D68" s="1872"/>
      <c r="E68" s="1872"/>
      <c r="F68" s="1872"/>
    </row>
    <row r="69" spans="1:6" ht="12" customHeight="1">
      <c r="A69" s="1826"/>
      <c r="B69" s="1829"/>
      <c r="C69" s="1872"/>
      <c r="D69" s="1872"/>
      <c r="E69" s="1872"/>
      <c r="F69" s="1872"/>
    </row>
    <row r="70" spans="1:6" ht="12" customHeight="1">
      <c r="A70" s="1826"/>
      <c r="B70" s="1829"/>
      <c r="C70" s="1872"/>
      <c r="D70" s="1872"/>
      <c r="E70" s="1872"/>
      <c r="F70" s="1872"/>
    </row>
    <row r="71" spans="1:6" ht="12" customHeight="1">
      <c r="A71" s="1826"/>
      <c r="B71" s="1829"/>
      <c r="C71" s="1872"/>
      <c r="D71" s="1872"/>
      <c r="E71" s="1872"/>
      <c r="F71" s="1872"/>
    </row>
    <row r="72" spans="1:6" ht="12" customHeight="1">
      <c r="A72" s="1826"/>
      <c r="B72" s="1829"/>
      <c r="C72" s="1872"/>
      <c r="D72" s="1872"/>
      <c r="E72" s="1872"/>
      <c r="F72" s="1872"/>
    </row>
    <row r="73" spans="1:6" ht="12" customHeight="1">
      <c r="A73" s="1826"/>
      <c r="B73" s="1829"/>
      <c r="C73" s="1872"/>
      <c r="D73" s="1872"/>
      <c r="E73" s="1872"/>
      <c r="F73" s="1872"/>
    </row>
    <row r="74" spans="1:6" ht="12" customHeight="1">
      <c r="A74" s="1826"/>
      <c r="B74" s="1829"/>
      <c r="C74" s="1872"/>
      <c r="D74" s="1872"/>
      <c r="E74" s="1872"/>
      <c r="F74" s="1872"/>
    </row>
    <row r="75" spans="1:6" ht="12" customHeight="1">
      <c r="A75" s="1826"/>
      <c r="B75" s="1829"/>
      <c r="C75" s="1872"/>
      <c r="D75" s="1872"/>
      <c r="E75" s="1872"/>
      <c r="F75" s="1872"/>
    </row>
    <row r="76" spans="1:6" ht="12" customHeight="1">
      <c r="A76" s="1826"/>
      <c r="B76" s="1829"/>
      <c r="C76" s="1872"/>
      <c r="D76" s="1872"/>
      <c r="E76" s="1872"/>
      <c r="F76" s="1872"/>
    </row>
    <row r="77" spans="1:6" ht="12" customHeight="1">
      <c r="A77" s="1826"/>
      <c r="B77" s="1829"/>
      <c r="C77" s="1872"/>
      <c r="D77" s="1872"/>
      <c r="E77" s="1872"/>
      <c r="F77" s="1872"/>
    </row>
    <row r="78" spans="1:6" ht="12" customHeight="1">
      <c r="A78" s="1826"/>
      <c r="B78" s="1829"/>
      <c r="C78" s="1872"/>
      <c r="D78" s="1872"/>
      <c r="E78" s="1872"/>
      <c r="F78" s="1872"/>
    </row>
    <row r="79" spans="1:6" ht="12" customHeight="1">
      <c r="A79" s="1826"/>
      <c r="B79" s="1829"/>
      <c r="C79" s="1872"/>
      <c r="D79" s="1872"/>
      <c r="E79" s="1872"/>
      <c r="F79" s="1872"/>
    </row>
    <row r="80" spans="1:6" ht="12" customHeight="1">
      <c r="A80" s="1826"/>
      <c r="B80" s="1829"/>
      <c r="C80" s="1872"/>
      <c r="D80" s="1872"/>
      <c r="E80" s="1872"/>
      <c r="F80" s="1872"/>
    </row>
    <row r="81" spans="1:6" ht="12" customHeight="1">
      <c r="A81" s="1826"/>
      <c r="B81" s="1829"/>
      <c r="C81" s="1872"/>
      <c r="D81" s="1872"/>
      <c r="E81" s="1872"/>
      <c r="F81" s="1872"/>
    </row>
    <row r="82" spans="1:6" ht="12" customHeight="1">
      <c r="A82" s="1826"/>
      <c r="B82" s="1829"/>
      <c r="C82" s="1872"/>
      <c r="D82" s="1872"/>
      <c r="E82" s="1872"/>
      <c r="F82" s="1872"/>
    </row>
    <row r="83" spans="1:6" ht="12" customHeight="1">
      <c r="A83" s="1826"/>
      <c r="B83" s="1829"/>
      <c r="C83" s="1872"/>
      <c r="D83" s="1872"/>
      <c r="E83" s="1872"/>
      <c r="F83" s="1872"/>
    </row>
    <row r="84" spans="1:6" ht="12" customHeight="1">
      <c r="A84" s="1826"/>
      <c r="B84" s="1829"/>
      <c r="C84" s="1872"/>
      <c r="D84" s="1872"/>
      <c r="E84" s="1872"/>
      <c r="F84" s="1872"/>
    </row>
    <row r="85" spans="1:6" ht="12" customHeight="1">
      <c r="A85" s="1826"/>
      <c r="B85" s="1829"/>
      <c r="C85" s="1872"/>
      <c r="D85" s="1872"/>
      <c r="E85" s="1872"/>
      <c r="F85" s="1872"/>
    </row>
    <row r="86" spans="1:6" ht="12" customHeight="1">
      <c r="A86" s="1826"/>
      <c r="B86" s="1829"/>
      <c r="C86" s="1872"/>
      <c r="D86" s="1872"/>
      <c r="E86" s="1872"/>
      <c r="F86" s="1872"/>
    </row>
    <row r="87" spans="1:6" ht="12" customHeight="1">
      <c r="A87" s="1826"/>
      <c r="B87" s="1829"/>
      <c r="C87" s="1872"/>
      <c r="D87" s="1872"/>
      <c r="E87" s="1872"/>
      <c r="F87" s="1872"/>
    </row>
    <row r="88" spans="1:6" ht="12" customHeight="1">
      <c r="A88" s="1826"/>
      <c r="B88" s="1829"/>
      <c r="C88" s="1872"/>
      <c r="D88" s="1872"/>
      <c r="E88" s="1872"/>
      <c r="F88" s="1872"/>
    </row>
    <row r="89" spans="1:6" ht="12" customHeight="1">
      <c r="A89" s="1826"/>
      <c r="B89" s="1829"/>
      <c r="C89" s="1872"/>
      <c r="D89" s="1872"/>
      <c r="E89" s="1872"/>
      <c r="F89" s="1872"/>
    </row>
    <row r="90" spans="1:6" ht="12" customHeight="1">
      <c r="A90" s="1826"/>
      <c r="B90" s="1829"/>
      <c r="C90" s="1872"/>
      <c r="D90" s="1872"/>
      <c r="E90" s="1872"/>
      <c r="F90" s="1872"/>
    </row>
    <row r="91" spans="1:6" ht="12" customHeight="1">
      <c r="A91" s="1826"/>
      <c r="B91" s="1829"/>
      <c r="C91" s="1872"/>
      <c r="D91" s="1872"/>
      <c r="E91" s="1872"/>
      <c r="F91" s="1872"/>
    </row>
    <row r="92" spans="1:6" ht="12" customHeight="1">
      <c r="A92" s="1826"/>
      <c r="B92" s="1829"/>
      <c r="C92" s="1872"/>
      <c r="D92" s="1872"/>
      <c r="E92" s="1872"/>
      <c r="F92" s="1872"/>
    </row>
    <row r="93" spans="1:6" ht="12" customHeight="1">
      <c r="A93" s="1826"/>
      <c r="B93" s="1829"/>
      <c r="C93" s="1872"/>
      <c r="D93" s="1872"/>
      <c r="E93" s="1872"/>
      <c r="F93" s="1872"/>
    </row>
    <row r="94" spans="1:6" ht="12" customHeight="1">
      <c r="A94" s="1826"/>
      <c r="B94" s="1829"/>
      <c r="C94" s="1872"/>
      <c r="D94" s="1872"/>
      <c r="E94" s="1872"/>
      <c r="F94" s="1872"/>
    </row>
    <row r="95" spans="1:6" ht="12" customHeight="1">
      <c r="A95" s="1826"/>
      <c r="B95" s="1829"/>
      <c r="C95" s="1872"/>
      <c r="D95" s="1872"/>
      <c r="E95" s="1872"/>
      <c r="F95" s="1872"/>
    </row>
    <row r="96" spans="1:6" ht="12" customHeight="1">
      <c r="A96" s="1826"/>
      <c r="B96" s="1829"/>
      <c r="C96" s="1872"/>
      <c r="D96" s="1872"/>
      <c r="E96" s="1872"/>
      <c r="F96" s="1872"/>
    </row>
    <row r="97" spans="1:6" ht="12" customHeight="1">
      <c r="A97" s="1826"/>
      <c r="B97" s="1829"/>
      <c r="C97" s="1872"/>
      <c r="D97" s="1872"/>
      <c r="E97" s="1872"/>
      <c r="F97" s="1872"/>
    </row>
    <row r="98" spans="1:6" ht="12" customHeight="1">
      <c r="A98" s="1826"/>
      <c r="B98" s="1829"/>
      <c r="C98" s="1872"/>
      <c r="D98" s="1872"/>
      <c r="E98" s="1872"/>
      <c r="F98" s="1872"/>
    </row>
    <row r="99" spans="1:6" ht="12" customHeight="1">
      <c r="A99" s="1826"/>
      <c r="B99" s="1829"/>
      <c r="C99" s="1872"/>
      <c r="D99" s="1872"/>
      <c r="E99" s="1872"/>
      <c r="F99" s="1872"/>
    </row>
    <row r="100" spans="1:6" ht="12" customHeight="1">
      <c r="A100" s="1826"/>
      <c r="B100" s="1829"/>
      <c r="C100" s="1872"/>
      <c r="D100" s="1872"/>
      <c r="E100" s="1872"/>
      <c r="F100" s="1872"/>
    </row>
    <row r="101" spans="1:6" ht="12" customHeight="1">
      <c r="A101" s="1826"/>
      <c r="B101" s="1829"/>
      <c r="C101" s="1872"/>
      <c r="D101" s="1872"/>
      <c r="E101" s="1872"/>
      <c r="F101" s="1872"/>
    </row>
    <row r="102" spans="1:6" ht="12" customHeight="1">
      <c r="A102" s="1826"/>
      <c r="B102" s="1829"/>
      <c r="C102" s="1872"/>
      <c r="D102" s="1872"/>
      <c r="E102" s="1872"/>
      <c r="F102" s="1872"/>
    </row>
    <row r="103" spans="1:6" ht="12" customHeight="1">
      <c r="A103" s="1826"/>
      <c r="B103" s="1829"/>
      <c r="C103" s="1872"/>
      <c r="D103" s="1872"/>
      <c r="E103" s="1872"/>
      <c r="F103" s="1872"/>
    </row>
    <row r="104" spans="1:6" ht="12" customHeight="1">
      <c r="A104" s="1826"/>
      <c r="B104" s="1829"/>
      <c r="C104" s="1872"/>
      <c r="D104" s="1872"/>
      <c r="E104" s="1872"/>
      <c r="F104" s="1872"/>
    </row>
    <row r="105" spans="1:6" ht="12" customHeight="1">
      <c r="A105" s="1826"/>
      <c r="B105" s="1829"/>
      <c r="C105" s="1872"/>
      <c r="D105" s="1872"/>
      <c r="E105" s="1872"/>
      <c r="F105" s="1872"/>
    </row>
    <row r="106" spans="1:6" ht="12" customHeight="1">
      <c r="A106" s="1826"/>
      <c r="B106" s="1829"/>
      <c r="C106" s="1872"/>
      <c r="D106" s="1872"/>
      <c r="E106" s="1872"/>
      <c r="F106" s="1872"/>
    </row>
    <row r="107" spans="1:6" ht="12" customHeight="1">
      <c r="A107" s="1826"/>
      <c r="B107" s="1829"/>
      <c r="C107" s="1872"/>
      <c r="D107" s="1872"/>
      <c r="E107" s="1872"/>
      <c r="F107" s="1872"/>
    </row>
    <row r="108" spans="1:6" ht="12" customHeight="1">
      <c r="A108" s="1826"/>
      <c r="B108" s="1829"/>
      <c r="C108" s="1872"/>
      <c r="D108" s="1872"/>
      <c r="E108" s="1872"/>
      <c r="F108" s="1872"/>
    </row>
    <row r="109" spans="1:6" ht="12" customHeight="1">
      <c r="A109" s="1826"/>
      <c r="B109" s="1829"/>
      <c r="C109" s="1872"/>
      <c r="D109" s="1872"/>
      <c r="E109" s="1872"/>
      <c r="F109" s="1872"/>
    </row>
    <row r="110" spans="1:6" ht="12" customHeight="1">
      <c r="A110" s="1826"/>
      <c r="B110" s="1829"/>
      <c r="C110" s="1872"/>
      <c r="D110" s="1872"/>
      <c r="E110" s="1872"/>
      <c r="F110" s="1872"/>
    </row>
    <row r="111" spans="1:6" ht="12" customHeight="1">
      <c r="A111" s="1826"/>
      <c r="B111" s="1829"/>
      <c r="C111" s="1872"/>
      <c r="D111" s="1872"/>
      <c r="E111" s="1872"/>
      <c r="F111" s="1872"/>
    </row>
    <row r="112" spans="1:6" ht="12" customHeight="1">
      <c r="A112" s="1826"/>
      <c r="B112" s="1829"/>
      <c r="C112" s="1872"/>
      <c r="D112" s="1872"/>
      <c r="E112" s="1872"/>
      <c r="F112" s="1872"/>
    </row>
    <row r="113" spans="1:6" ht="12" customHeight="1">
      <c r="A113" s="1826"/>
      <c r="B113" s="1829"/>
      <c r="C113" s="1872"/>
      <c r="D113" s="1872"/>
      <c r="E113" s="1872"/>
      <c r="F113" s="1872"/>
    </row>
    <row r="114" spans="1:6" ht="12" customHeight="1">
      <c r="A114" s="1826"/>
      <c r="B114" s="1829"/>
      <c r="C114" s="1872"/>
      <c r="D114" s="1872"/>
      <c r="E114" s="1872"/>
      <c r="F114" s="1872"/>
    </row>
    <row r="115" spans="1:6" ht="12" customHeight="1">
      <c r="A115" s="1826"/>
      <c r="B115" s="1829"/>
      <c r="C115" s="1872"/>
      <c r="D115" s="1872"/>
      <c r="E115" s="1872"/>
      <c r="F115" s="1872"/>
    </row>
    <row r="116" spans="1:6" ht="12" customHeight="1">
      <c r="A116" s="1826"/>
      <c r="B116" s="1829"/>
      <c r="C116" s="1872"/>
      <c r="D116" s="1872"/>
      <c r="E116" s="1872"/>
      <c r="F116" s="1872"/>
    </row>
    <row r="117" spans="1:6" ht="12" customHeight="1">
      <c r="A117" s="1826"/>
      <c r="B117" s="1829"/>
      <c r="C117" s="1872"/>
      <c r="D117" s="1872"/>
      <c r="E117" s="1872"/>
      <c r="F117" s="1872"/>
    </row>
    <row r="118" spans="1:6" ht="12" customHeight="1">
      <c r="A118" s="1826"/>
      <c r="B118" s="1829"/>
      <c r="C118" s="1872"/>
      <c r="D118" s="1872"/>
      <c r="E118" s="1872"/>
      <c r="F118" s="1872"/>
    </row>
    <row r="119" spans="1:6" ht="12" customHeight="1">
      <c r="A119" s="1826"/>
      <c r="B119" s="1829"/>
      <c r="C119" s="1872"/>
      <c r="D119" s="1872"/>
      <c r="E119" s="1872"/>
      <c r="F119" s="1872"/>
    </row>
    <row r="120" spans="1:6" ht="12" customHeight="1">
      <c r="A120" s="1826"/>
      <c r="B120" s="1829"/>
      <c r="C120" s="1872"/>
      <c r="D120" s="1872"/>
      <c r="E120" s="1872"/>
      <c r="F120" s="1872"/>
    </row>
    <row r="121" spans="1:6" ht="12" customHeight="1">
      <c r="A121" s="1826"/>
      <c r="B121" s="1829"/>
      <c r="C121" s="1872"/>
      <c r="D121" s="1872"/>
      <c r="E121" s="1872"/>
      <c r="F121" s="1872"/>
    </row>
    <row r="122" spans="1:6" ht="12" customHeight="1">
      <c r="A122" s="1826"/>
      <c r="B122" s="1829"/>
      <c r="C122" s="1872"/>
      <c r="D122" s="1872"/>
      <c r="E122" s="1872"/>
      <c r="F122" s="1872"/>
    </row>
    <row r="123" spans="1:6" ht="12" customHeight="1">
      <c r="A123" s="1826"/>
      <c r="B123" s="1829"/>
      <c r="C123" s="1872"/>
      <c r="D123" s="1872"/>
      <c r="E123" s="1872"/>
      <c r="F123" s="1872"/>
    </row>
    <row r="124" spans="1:6" ht="12" customHeight="1">
      <c r="A124" s="1826"/>
      <c r="B124" s="1829"/>
      <c r="C124" s="1872"/>
      <c r="D124" s="1872"/>
      <c r="E124" s="1872"/>
      <c r="F124" s="1872"/>
    </row>
    <row r="125" spans="1:6" ht="12" customHeight="1">
      <c r="A125" s="1826"/>
      <c r="B125" s="1829"/>
      <c r="C125" s="1872"/>
      <c r="D125" s="1872"/>
      <c r="E125" s="1872"/>
      <c r="F125" s="1872"/>
    </row>
    <row r="126" spans="1:6" ht="5.0999999999999996" customHeight="1">
      <c r="A126" s="1826"/>
      <c r="B126" s="1829"/>
      <c r="C126" s="1872"/>
      <c r="D126" s="1872"/>
      <c r="E126" s="1872"/>
      <c r="F126" s="1872"/>
    </row>
    <row r="127" spans="1:6" ht="12" customHeight="1">
      <c r="A127" s="1826"/>
      <c r="B127" s="1829"/>
      <c r="C127" s="1872"/>
      <c r="D127" s="1872"/>
      <c r="E127" s="1872"/>
      <c r="F127" s="1872"/>
    </row>
    <row r="128" spans="1:6" ht="12" customHeight="1">
      <c r="A128" s="1826"/>
      <c r="B128" s="1829"/>
      <c r="C128" s="1872"/>
      <c r="D128" s="1872"/>
      <c r="E128" s="1872"/>
      <c r="F128" s="1872"/>
    </row>
    <row r="129" spans="1:6" ht="12" customHeight="1">
      <c r="A129" s="1826"/>
      <c r="B129" s="1829"/>
      <c r="C129" s="1872"/>
      <c r="D129" s="1872"/>
      <c r="E129" s="1872"/>
      <c r="F129" s="1872"/>
    </row>
    <row r="130" spans="1:6" ht="12" customHeight="1">
      <c r="A130" s="1826"/>
      <c r="B130" s="1829"/>
      <c r="C130" s="1872"/>
      <c r="D130" s="1872"/>
      <c r="E130" s="1872"/>
      <c r="F130" s="1872"/>
    </row>
    <row r="131" spans="1:6" ht="12" customHeight="1">
      <c r="A131" s="1826"/>
      <c r="B131" s="1829"/>
      <c r="C131" s="1872"/>
      <c r="D131" s="1872"/>
      <c r="E131" s="1872"/>
      <c r="F131" s="1872"/>
    </row>
    <row r="132" spans="1:6" ht="12" customHeight="1">
      <c r="A132" s="1826"/>
      <c r="B132" s="1829"/>
      <c r="C132" s="1872"/>
      <c r="D132" s="1872"/>
      <c r="E132" s="1872"/>
      <c r="F132" s="1872"/>
    </row>
    <row r="133" spans="1:6" ht="12" customHeight="1">
      <c r="A133" s="1826"/>
      <c r="B133" s="1829"/>
      <c r="C133" s="1872"/>
      <c r="D133" s="1872"/>
      <c r="E133" s="1872"/>
      <c r="F133" s="1872"/>
    </row>
    <row r="134" spans="1:6" ht="12" customHeight="1">
      <c r="A134" s="1826"/>
      <c r="B134" s="1829"/>
      <c r="C134" s="1872"/>
      <c r="D134" s="1872"/>
      <c r="E134" s="1872"/>
      <c r="F134" s="1872"/>
    </row>
    <row r="135" spans="1:6" ht="12" customHeight="1">
      <c r="A135" s="1826"/>
      <c r="B135" s="1829"/>
      <c r="C135" s="1872"/>
      <c r="D135" s="1872"/>
      <c r="E135" s="1872"/>
      <c r="F135" s="1872"/>
    </row>
    <row r="136" spans="1:6" ht="12" customHeight="1">
      <c r="A136" s="1826"/>
      <c r="B136" s="1829"/>
      <c r="C136" s="1872"/>
      <c r="D136" s="1872"/>
      <c r="E136" s="1872"/>
      <c r="F136" s="1872"/>
    </row>
    <row r="137" spans="1:6" ht="12" customHeight="1">
      <c r="A137" s="1826"/>
      <c r="B137" s="1829"/>
      <c r="C137" s="1872"/>
      <c r="D137" s="1872"/>
      <c r="E137" s="1872"/>
      <c r="F137" s="1872"/>
    </row>
    <row r="138" spans="1:6" ht="12" customHeight="1">
      <c r="A138" s="1826"/>
      <c r="B138" s="1829"/>
      <c r="C138" s="1872"/>
      <c r="D138" s="1872"/>
      <c r="E138" s="1872"/>
      <c r="F138" s="1872"/>
    </row>
    <row r="139" spans="1:6" ht="12" customHeight="1">
      <c r="A139" s="1826"/>
      <c r="B139" s="1829"/>
      <c r="C139" s="1872"/>
      <c r="D139" s="1872"/>
      <c r="E139" s="1872"/>
      <c r="F139" s="1872"/>
    </row>
    <row r="140" spans="1:6" ht="12" customHeight="1">
      <c r="A140" s="1826"/>
      <c r="B140" s="1829"/>
      <c r="C140" s="1872"/>
      <c r="D140" s="1872"/>
      <c r="E140" s="1872"/>
      <c r="F140" s="1872"/>
    </row>
    <row r="141" spans="1:6" ht="12" customHeight="1">
      <c r="A141" s="1826"/>
      <c r="B141" s="1829"/>
      <c r="C141" s="1872"/>
      <c r="D141" s="1872"/>
      <c r="E141" s="1872"/>
      <c r="F141" s="1872"/>
    </row>
    <row r="142" spans="1:6" ht="12" customHeight="1">
      <c r="A142" s="1826"/>
      <c r="B142" s="1829"/>
      <c r="C142" s="1872"/>
      <c r="D142" s="1872"/>
      <c r="E142" s="1872"/>
      <c r="F142" s="1872"/>
    </row>
    <row r="143" spans="1:6" ht="12" customHeight="1">
      <c r="A143" s="1826"/>
      <c r="B143" s="1829"/>
      <c r="C143" s="1872"/>
      <c r="D143" s="1872"/>
      <c r="E143" s="1872"/>
      <c r="F143" s="1872"/>
    </row>
    <row r="144" spans="1:6" ht="12" customHeight="1">
      <c r="A144" s="1826"/>
      <c r="B144" s="1829"/>
      <c r="C144" s="1872"/>
      <c r="D144" s="1872"/>
      <c r="E144" s="1872"/>
      <c r="F144" s="1872"/>
    </row>
    <row r="145" spans="1:6" ht="12" customHeight="1">
      <c r="A145" s="1826"/>
      <c r="B145" s="1829"/>
      <c r="C145" s="1872"/>
      <c r="D145" s="1872"/>
      <c r="E145" s="1872"/>
      <c r="F145" s="1872"/>
    </row>
    <row r="146" spans="1:6" ht="12" customHeight="1">
      <c r="A146" s="1826"/>
      <c r="B146" s="1829"/>
      <c r="C146" s="1872"/>
      <c r="D146" s="1872"/>
      <c r="E146" s="1872"/>
      <c r="F146" s="1872"/>
    </row>
    <row r="147" spans="1:6" ht="12" customHeight="1">
      <c r="A147" s="1826"/>
      <c r="B147" s="1829"/>
      <c r="C147" s="1872"/>
      <c r="D147" s="1872"/>
      <c r="E147" s="1872"/>
      <c r="F147" s="1872"/>
    </row>
    <row r="148" spans="1:6" ht="12" customHeight="1">
      <c r="A148" s="1826"/>
      <c r="B148" s="1829"/>
      <c r="C148" s="1872"/>
      <c r="D148" s="1872"/>
      <c r="E148" s="1872"/>
      <c r="F148" s="1872"/>
    </row>
    <row r="149" spans="1:6" ht="12" customHeight="1">
      <c r="A149" s="1826"/>
      <c r="B149" s="1829"/>
      <c r="C149" s="1872"/>
      <c r="D149" s="1872"/>
      <c r="E149" s="1872"/>
      <c r="F149" s="1872"/>
    </row>
    <row r="150" spans="1:6" ht="12" customHeight="1">
      <c r="A150" s="1826"/>
      <c r="B150" s="1829"/>
      <c r="C150" s="1872"/>
      <c r="D150" s="1872"/>
      <c r="E150" s="1872"/>
      <c r="F150" s="1872"/>
    </row>
    <row r="151" spans="1:6" ht="12" customHeight="1">
      <c r="A151" s="1826"/>
      <c r="B151" s="1829"/>
      <c r="C151" s="1872"/>
      <c r="D151" s="1872"/>
      <c r="E151" s="1872"/>
      <c r="F151" s="1872"/>
    </row>
    <row r="152" spans="1:6" ht="12" customHeight="1">
      <c r="A152" s="1826"/>
      <c r="B152" s="1829"/>
      <c r="C152" s="1872"/>
      <c r="D152" s="1872"/>
      <c r="E152" s="1872"/>
      <c r="F152" s="1872"/>
    </row>
    <row r="153" spans="1:6" ht="12" customHeight="1">
      <c r="A153" s="1826"/>
      <c r="B153" s="1829"/>
      <c r="C153" s="1872"/>
      <c r="D153" s="1872"/>
      <c r="E153" s="1872"/>
      <c r="F153" s="1872"/>
    </row>
    <row r="154" spans="1:6" ht="12" customHeight="1">
      <c r="A154" s="1826"/>
      <c r="B154" s="1829"/>
      <c r="C154" s="1872"/>
      <c r="D154" s="1872"/>
      <c r="E154" s="1872"/>
      <c r="F154" s="1872"/>
    </row>
    <row r="155" spans="1:6" ht="12" customHeight="1">
      <c r="A155" s="1826"/>
      <c r="B155" s="1829"/>
      <c r="C155" s="1872"/>
      <c r="D155" s="1872"/>
      <c r="E155" s="1872"/>
      <c r="F155" s="1872"/>
    </row>
    <row r="156" spans="1:6" ht="12" customHeight="1">
      <c r="A156" s="1826"/>
      <c r="B156" s="1829"/>
      <c r="C156" s="1872"/>
      <c r="D156" s="1872"/>
      <c r="E156" s="1872"/>
      <c r="F156" s="1872"/>
    </row>
    <row r="157" spans="1:6" ht="12" customHeight="1">
      <c r="A157" s="1826"/>
      <c r="B157" s="1829"/>
      <c r="C157" s="1872"/>
      <c r="D157" s="1872"/>
      <c r="E157" s="1872"/>
      <c r="F157" s="1872"/>
    </row>
    <row r="158" spans="1:6" ht="12" customHeight="1">
      <c r="A158" s="1826"/>
      <c r="B158" s="1829"/>
      <c r="C158" s="1872"/>
      <c r="D158" s="1872"/>
      <c r="E158" s="1872"/>
      <c r="F158" s="1872"/>
    </row>
    <row r="159" spans="1:6" ht="12" customHeight="1">
      <c r="A159" s="1826"/>
      <c r="B159" s="1829"/>
      <c r="C159" s="1872"/>
      <c r="D159" s="1872"/>
      <c r="E159" s="1872"/>
      <c r="F159" s="1872"/>
    </row>
    <row r="160" spans="1:6" ht="12" customHeight="1">
      <c r="A160" s="1826"/>
      <c r="B160" s="1829"/>
      <c r="C160" s="1872"/>
      <c r="D160" s="1872"/>
      <c r="E160" s="1872"/>
      <c r="F160" s="1872"/>
    </row>
    <row r="161" spans="1:6" ht="12" customHeight="1">
      <c r="A161" s="1826"/>
      <c r="B161" s="1829"/>
      <c r="C161" s="1872"/>
      <c r="D161" s="1872"/>
      <c r="E161" s="1872"/>
      <c r="F161" s="1872"/>
    </row>
    <row r="162" spans="1:6" ht="12" customHeight="1">
      <c r="A162" s="1826"/>
      <c r="B162" s="1829"/>
      <c r="C162" s="1872"/>
      <c r="D162" s="1872"/>
      <c r="E162" s="1872"/>
      <c r="F162" s="1872"/>
    </row>
    <row r="163" spans="1:6" ht="12" customHeight="1">
      <c r="A163" s="1826"/>
      <c r="B163" s="1829"/>
      <c r="C163" s="1872"/>
      <c r="D163" s="1872"/>
      <c r="E163" s="1872"/>
      <c r="F163" s="1872"/>
    </row>
    <row r="164" spans="1:6" ht="12" customHeight="1">
      <c r="A164" s="1826"/>
      <c r="B164" s="1829"/>
      <c r="C164" s="1872"/>
      <c r="D164" s="1872"/>
      <c r="E164" s="1872"/>
      <c r="F164" s="1872"/>
    </row>
    <row r="165" spans="1:6" ht="12" customHeight="1">
      <c r="A165" s="1826"/>
      <c r="B165" s="1829"/>
      <c r="C165" s="1872"/>
      <c r="D165" s="1872"/>
      <c r="E165" s="1872"/>
      <c r="F165" s="1872"/>
    </row>
    <row r="166" spans="1:6" ht="12" customHeight="1">
      <c r="A166" s="1826"/>
      <c r="B166" s="1829"/>
      <c r="C166" s="1872"/>
      <c r="D166" s="1872"/>
      <c r="E166" s="1872"/>
      <c r="F166" s="1872"/>
    </row>
    <row r="167" spans="1:6" ht="12" customHeight="1">
      <c r="A167" s="1826"/>
      <c r="B167" s="1829"/>
      <c r="C167" s="1872"/>
      <c r="D167" s="1872"/>
      <c r="E167" s="1872"/>
      <c r="F167" s="1872"/>
    </row>
    <row r="168" spans="1:6" ht="12" customHeight="1">
      <c r="A168" s="1826"/>
      <c r="B168" s="1829"/>
      <c r="C168" s="1872"/>
      <c r="D168" s="1872"/>
      <c r="E168" s="1872"/>
      <c r="F168" s="1872"/>
    </row>
    <row r="169" spans="1:6" ht="12" customHeight="1">
      <c r="A169" s="1826"/>
      <c r="B169" s="1829"/>
      <c r="C169" s="1872"/>
      <c r="D169" s="1872"/>
      <c r="E169" s="1872"/>
      <c r="F169" s="1872"/>
    </row>
    <row r="170" spans="1:6" ht="12" customHeight="1">
      <c r="A170" s="1826"/>
      <c r="B170" s="1829"/>
      <c r="C170" s="1872"/>
      <c r="D170" s="1872"/>
      <c r="E170" s="1872"/>
      <c r="F170" s="1872"/>
    </row>
    <row r="171" spans="1:6" ht="12" customHeight="1">
      <c r="A171" s="1826"/>
      <c r="B171" s="1829"/>
      <c r="C171" s="1872"/>
      <c r="D171" s="1872"/>
      <c r="E171" s="1872"/>
      <c r="F171" s="1872"/>
    </row>
    <row r="172" spans="1:6" ht="12" customHeight="1">
      <c r="A172" s="1826"/>
      <c r="B172" s="1829"/>
      <c r="C172" s="1872"/>
      <c r="D172" s="1872"/>
      <c r="E172" s="1872"/>
      <c r="F172" s="1872"/>
    </row>
    <row r="173" spans="1:6" ht="12" customHeight="1">
      <c r="A173" s="1826"/>
      <c r="B173" s="1829"/>
      <c r="C173" s="1872"/>
      <c r="D173" s="1872"/>
      <c r="E173" s="1872"/>
      <c r="F173" s="1872"/>
    </row>
    <row r="174" spans="1:6" ht="12" customHeight="1">
      <c r="A174" s="1826"/>
      <c r="B174" s="1829"/>
      <c r="C174" s="1872"/>
      <c r="D174" s="1872"/>
      <c r="E174" s="1872"/>
      <c r="F174" s="1872"/>
    </row>
    <row r="175" spans="1:6" ht="12" customHeight="1">
      <c r="A175" s="1826"/>
      <c r="B175" s="1829"/>
      <c r="C175" s="1872"/>
      <c r="D175" s="1872"/>
      <c r="E175" s="1872"/>
      <c r="F175" s="1872"/>
    </row>
    <row r="176" spans="1:6" ht="12" customHeight="1">
      <c r="A176" s="1826"/>
      <c r="B176" s="1829"/>
      <c r="C176" s="1872"/>
      <c r="D176" s="1872"/>
      <c r="E176" s="1872"/>
      <c r="F176" s="1872"/>
    </row>
    <row r="177" spans="1:6" ht="12" customHeight="1">
      <c r="A177" s="1826"/>
      <c r="B177" s="1829"/>
      <c r="C177" s="1872"/>
      <c r="D177" s="1872"/>
      <c r="E177" s="1872"/>
      <c r="F177" s="1872"/>
    </row>
    <row r="178" spans="1:6" ht="12" customHeight="1">
      <c r="A178" s="1826"/>
      <c r="B178" s="1829"/>
      <c r="C178" s="1872"/>
      <c r="D178" s="1872"/>
      <c r="E178" s="1872"/>
      <c r="F178" s="1872"/>
    </row>
    <row r="179" spans="1:6" ht="12" customHeight="1">
      <c r="A179" s="1826"/>
      <c r="B179" s="1829"/>
      <c r="C179" s="1872"/>
      <c r="D179" s="1872"/>
      <c r="E179" s="1872"/>
      <c r="F179" s="1872"/>
    </row>
    <row r="180" spans="1:6" ht="12" customHeight="1">
      <c r="A180" s="1826"/>
      <c r="B180" s="1829"/>
      <c r="C180" s="1872"/>
      <c r="D180" s="1872"/>
      <c r="E180" s="1872"/>
      <c r="F180" s="1872"/>
    </row>
    <row r="181" spans="1:6" ht="12" customHeight="1">
      <c r="A181" s="1826"/>
      <c r="B181" s="1829"/>
      <c r="C181" s="1872"/>
      <c r="D181" s="1872"/>
      <c r="E181" s="1872"/>
      <c r="F181" s="1872"/>
    </row>
    <row r="182" spans="1:6" ht="12" customHeight="1">
      <c r="A182" s="1826"/>
      <c r="B182" s="1829"/>
      <c r="C182" s="1872"/>
      <c r="D182" s="1872"/>
      <c r="E182" s="1872"/>
      <c r="F182" s="1872"/>
    </row>
    <row r="183" spans="1:6" ht="12" customHeight="1">
      <c r="A183" s="1826"/>
      <c r="B183" s="1829"/>
      <c r="C183" s="1872"/>
      <c r="D183" s="1872"/>
      <c r="E183" s="1872"/>
      <c r="F183" s="1872"/>
    </row>
    <row r="184" spans="1:6" ht="12" customHeight="1">
      <c r="A184" s="1826"/>
      <c r="B184" s="1829"/>
      <c r="C184" s="1872"/>
      <c r="D184" s="1872"/>
      <c r="E184" s="1872"/>
      <c r="F184" s="1872"/>
    </row>
    <row r="185" spans="1:6" ht="12" customHeight="1">
      <c r="A185" s="1826"/>
      <c r="B185" s="1829"/>
      <c r="C185" s="1872"/>
      <c r="D185" s="1872"/>
      <c r="E185" s="1872"/>
      <c r="F185" s="1872"/>
    </row>
    <row r="186" spans="1:6" ht="12" customHeight="1">
      <c r="A186" s="1826"/>
      <c r="B186" s="1829"/>
      <c r="C186" s="1872"/>
      <c r="D186" s="1872"/>
      <c r="E186" s="1872"/>
      <c r="F186" s="1872"/>
    </row>
    <row r="187" spans="1:6" ht="12" customHeight="1">
      <c r="A187" s="1826"/>
      <c r="B187" s="1829"/>
      <c r="C187" s="1872"/>
      <c r="D187" s="1872"/>
      <c r="E187" s="1872"/>
      <c r="F187" s="1872"/>
    </row>
    <row r="188" spans="1:6" ht="12" customHeight="1">
      <c r="A188" s="1826"/>
      <c r="B188" s="1829"/>
      <c r="C188" s="1872"/>
      <c r="D188" s="1872"/>
      <c r="E188" s="1872"/>
      <c r="F188" s="1872"/>
    </row>
    <row r="189" spans="1:6" ht="12" customHeight="1">
      <c r="A189" s="1826"/>
      <c r="B189" s="1829"/>
      <c r="C189" s="1872"/>
      <c r="D189" s="1872"/>
      <c r="E189" s="1872"/>
      <c r="F189" s="1872"/>
    </row>
    <row r="190" spans="1:6" ht="12" customHeight="1">
      <c r="A190" s="1826"/>
      <c r="B190" s="1829"/>
      <c r="C190" s="1872"/>
      <c r="D190" s="1872"/>
      <c r="E190" s="1872"/>
      <c r="F190" s="1872"/>
    </row>
    <row r="191" spans="1:6" ht="12" customHeight="1">
      <c r="A191" s="1826"/>
      <c r="B191" s="1829"/>
      <c r="C191" s="1872"/>
      <c r="D191" s="1872"/>
      <c r="E191" s="1872"/>
      <c r="F191" s="1872"/>
    </row>
    <row r="192" spans="1:6" ht="12" customHeight="1">
      <c r="A192" s="1826"/>
      <c r="B192" s="1829"/>
      <c r="C192" s="1872"/>
      <c r="D192" s="1872"/>
      <c r="E192" s="1872"/>
      <c r="F192" s="1872"/>
    </row>
    <row r="193" spans="1:6" ht="12" customHeight="1">
      <c r="A193" s="1826"/>
      <c r="B193" s="1829"/>
      <c r="C193" s="1872"/>
      <c r="D193" s="1872"/>
      <c r="E193" s="1872"/>
      <c r="F193" s="1872"/>
    </row>
    <row r="194" spans="1:6" ht="12" customHeight="1">
      <c r="A194" s="1826"/>
      <c r="B194" s="1829"/>
      <c r="C194" s="1872"/>
      <c r="D194" s="1872"/>
      <c r="E194" s="1872"/>
      <c r="F194" s="1872"/>
    </row>
    <row r="195" spans="1:6" ht="12" customHeight="1">
      <c r="A195" s="1826"/>
      <c r="B195" s="1829"/>
      <c r="C195" s="1872"/>
      <c r="D195" s="1872"/>
      <c r="E195" s="1872"/>
      <c r="F195" s="1872"/>
    </row>
    <row r="196" spans="1:6" ht="12" customHeight="1">
      <c r="A196" s="1826"/>
      <c r="B196" s="1829"/>
      <c r="C196" s="1872"/>
      <c r="D196" s="1872"/>
      <c r="E196" s="1872"/>
      <c r="F196" s="1872"/>
    </row>
    <row r="197" spans="1:6" ht="12" customHeight="1">
      <c r="A197" s="1826"/>
      <c r="B197" s="1829"/>
      <c r="C197" s="1872"/>
      <c r="D197" s="1872"/>
      <c r="E197" s="1872"/>
      <c r="F197" s="1872"/>
    </row>
    <row r="198" spans="1:6" ht="12" customHeight="1">
      <c r="A198" s="1826"/>
      <c r="B198" s="1829"/>
      <c r="C198" s="1872"/>
      <c r="D198" s="1872"/>
      <c r="E198" s="1872"/>
      <c r="F198" s="1872"/>
    </row>
    <row r="199" spans="1:6" ht="12" customHeight="1">
      <c r="A199" s="1826"/>
      <c r="B199" s="1829"/>
      <c r="C199" s="1872"/>
      <c r="D199" s="1872"/>
      <c r="E199" s="1872"/>
      <c r="F199" s="1872"/>
    </row>
    <row r="200" spans="1:6" ht="12" customHeight="1">
      <c r="A200" s="1826"/>
      <c r="B200" s="1829"/>
      <c r="C200" s="1872"/>
      <c r="D200" s="1872"/>
      <c r="E200" s="1872"/>
      <c r="F200" s="1872"/>
    </row>
    <row r="201" spans="1:6" ht="12" customHeight="1">
      <c r="A201" s="1826"/>
      <c r="B201" s="1829"/>
      <c r="C201" s="1872"/>
      <c r="D201" s="1872"/>
      <c r="E201" s="1872"/>
      <c r="F201" s="1872"/>
    </row>
    <row r="202" spans="1:6" ht="12" customHeight="1">
      <c r="A202" s="1826"/>
      <c r="B202" s="1829"/>
      <c r="C202" s="1872"/>
      <c r="D202" s="1872"/>
      <c r="E202" s="1872"/>
      <c r="F202" s="1872"/>
    </row>
    <row r="203" spans="1:6" ht="12" customHeight="1">
      <c r="A203" s="1826"/>
      <c r="B203" s="1829"/>
      <c r="C203" s="1872"/>
      <c r="D203" s="1872"/>
      <c r="E203" s="1872"/>
      <c r="F203" s="1872"/>
    </row>
    <row r="204" spans="1:6" ht="12" customHeight="1">
      <c r="A204" s="1826"/>
      <c r="B204" s="1829"/>
      <c r="C204" s="1872"/>
      <c r="D204" s="1872"/>
      <c r="E204" s="1872"/>
      <c r="F204" s="1872"/>
    </row>
    <row r="205" spans="1:6" ht="12" customHeight="1">
      <c r="A205" s="1826"/>
      <c r="B205" s="1829"/>
      <c r="C205" s="1872"/>
      <c r="D205" s="1872"/>
      <c r="E205" s="1872"/>
      <c r="F205" s="1872"/>
    </row>
    <row r="206" spans="1:6" ht="12" customHeight="1">
      <c r="A206" s="1826"/>
      <c r="B206" s="1829"/>
      <c r="C206" s="1872"/>
      <c r="D206" s="1872"/>
      <c r="E206" s="1872"/>
      <c r="F206" s="1872"/>
    </row>
    <row r="207" spans="1:6" ht="12" customHeight="1">
      <c r="A207" s="1826"/>
      <c r="B207" s="1829"/>
      <c r="C207" s="1872"/>
      <c r="D207" s="1872"/>
      <c r="E207" s="1872"/>
      <c r="F207" s="1872"/>
    </row>
    <row r="208" spans="1:6" ht="12" customHeight="1">
      <c r="A208" s="1826"/>
      <c r="B208" s="1829"/>
      <c r="C208" s="1872"/>
      <c r="D208" s="1872"/>
      <c r="E208" s="1872"/>
      <c r="F208" s="1872"/>
    </row>
    <row r="209" spans="1:6" ht="12" customHeight="1">
      <c r="A209" s="1826"/>
      <c r="B209" s="1829"/>
      <c r="C209" s="1872"/>
      <c r="D209" s="1872"/>
      <c r="E209" s="1872"/>
      <c r="F209" s="1872"/>
    </row>
    <row r="210" spans="1:6" ht="12" customHeight="1">
      <c r="A210" s="1826"/>
      <c r="B210" s="1829"/>
      <c r="C210" s="1872"/>
      <c r="D210" s="1872"/>
      <c r="E210" s="1872"/>
      <c r="F210" s="1872"/>
    </row>
    <row r="211" spans="1:6" ht="12" customHeight="1">
      <c r="A211" s="1826"/>
      <c r="B211" s="1829"/>
      <c r="C211" s="1872"/>
      <c r="D211" s="1872"/>
      <c r="E211" s="1872"/>
      <c r="F211" s="1872"/>
    </row>
    <row r="212" spans="1:6" ht="12" customHeight="1">
      <c r="A212" s="1826"/>
      <c r="B212" s="1829"/>
      <c r="C212" s="1872"/>
      <c r="D212" s="1872"/>
      <c r="E212" s="1872"/>
      <c r="F212" s="1872"/>
    </row>
    <row r="213" spans="1:6" ht="12" customHeight="1">
      <c r="A213" s="1826"/>
      <c r="B213" s="1829"/>
      <c r="C213" s="1872"/>
      <c r="D213" s="1872"/>
      <c r="E213" s="1872"/>
      <c r="F213" s="1872"/>
    </row>
    <row r="214" spans="1:6" ht="12" customHeight="1">
      <c r="A214" s="1826"/>
      <c r="B214" s="1829"/>
      <c r="C214" s="1872"/>
      <c r="D214" s="1872"/>
      <c r="E214" s="1872"/>
      <c r="F214" s="1872"/>
    </row>
    <row r="215" spans="1:6" ht="12" customHeight="1">
      <c r="A215" s="1826"/>
      <c r="B215" s="1829"/>
      <c r="C215" s="1872"/>
      <c r="D215" s="1872"/>
      <c r="E215" s="1872"/>
      <c r="F215" s="1872"/>
    </row>
    <row r="216" spans="1:6" ht="12" customHeight="1">
      <c r="A216" s="1826"/>
      <c r="B216" s="1829"/>
      <c r="C216" s="1872"/>
      <c r="D216" s="1872"/>
      <c r="E216" s="1872"/>
      <c r="F216" s="1872"/>
    </row>
    <row r="217" spans="1:6" ht="12" customHeight="1">
      <c r="A217" s="1826"/>
      <c r="B217" s="1829"/>
      <c r="C217" s="1872"/>
      <c r="D217" s="1872"/>
      <c r="E217" s="1872"/>
      <c r="F217" s="1872"/>
    </row>
    <row r="218" spans="1:6" ht="12" customHeight="1">
      <c r="A218" s="1826"/>
      <c r="B218" s="1829"/>
      <c r="C218" s="1872"/>
      <c r="D218" s="1872"/>
      <c r="E218" s="1872"/>
      <c r="F218" s="1872"/>
    </row>
    <row r="219" spans="1:6" ht="12" customHeight="1">
      <c r="A219" s="1826"/>
      <c r="B219" s="1829"/>
      <c r="C219" s="1872"/>
      <c r="D219" s="1872"/>
      <c r="E219" s="1872"/>
      <c r="F219" s="1872"/>
    </row>
    <row r="220" spans="1:6" ht="12" customHeight="1">
      <c r="A220" s="1826"/>
      <c r="B220" s="1829"/>
      <c r="C220" s="1872"/>
      <c r="D220" s="1872"/>
      <c r="E220" s="1872"/>
      <c r="F220" s="1872"/>
    </row>
    <row r="221" spans="1:6" ht="12" customHeight="1">
      <c r="A221" s="1826"/>
      <c r="B221" s="1829"/>
      <c r="C221" s="1872"/>
      <c r="D221" s="1872"/>
      <c r="E221" s="1872"/>
      <c r="F221" s="1872"/>
    </row>
    <row r="222" spans="1:6" ht="12" customHeight="1">
      <c r="A222" s="1826"/>
      <c r="B222" s="1829"/>
      <c r="C222" s="1872"/>
      <c r="D222" s="1872"/>
      <c r="E222" s="1872"/>
      <c r="F222" s="1872"/>
    </row>
    <row r="223" spans="1:6" ht="12" customHeight="1">
      <c r="A223" s="1826"/>
      <c r="B223" s="1829"/>
      <c r="C223" s="1872"/>
      <c r="D223" s="1872"/>
      <c r="E223" s="1872"/>
      <c r="F223" s="1872"/>
    </row>
    <row r="224" spans="1:6" ht="12" customHeight="1">
      <c r="A224" s="1826"/>
      <c r="B224" s="1829"/>
      <c r="C224" s="1872"/>
      <c r="D224" s="1872"/>
      <c r="E224" s="1872"/>
      <c r="F224" s="1872"/>
    </row>
    <row r="225" spans="1:6" ht="12" customHeight="1">
      <c r="A225" s="1826"/>
      <c r="B225" s="1829"/>
      <c r="C225" s="1872"/>
      <c r="D225" s="1872"/>
      <c r="E225" s="1872"/>
      <c r="F225" s="1872"/>
    </row>
    <row r="226" spans="1:6" ht="12" customHeight="1">
      <c r="A226" s="1826"/>
      <c r="B226" s="1829"/>
      <c r="C226" s="1872"/>
      <c r="D226" s="1872"/>
      <c r="E226" s="1872"/>
      <c r="F226" s="1872"/>
    </row>
    <row r="227" spans="1:6" ht="12" customHeight="1">
      <c r="A227" s="1826"/>
      <c r="B227" s="1829"/>
      <c r="C227" s="1872"/>
      <c r="D227" s="1872"/>
      <c r="E227" s="1872"/>
      <c r="F227" s="1872"/>
    </row>
    <row r="228" spans="1:6" ht="12" customHeight="1">
      <c r="A228" s="1826"/>
      <c r="B228" s="1829"/>
      <c r="C228" s="1872"/>
      <c r="D228" s="1872"/>
      <c r="E228" s="1872"/>
      <c r="F228" s="1872"/>
    </row>
    <row r="229" spans="1:6" ht="12" customHeight="1">
      <c r="A229" s="1826"/>
      <c r="B229" s="1829"/>
      <c r="C229" s="1872"/>
      <c r="D229" s="1872"/>
      <c r="E229" s="1872"/>
      <c r="F229" s="1872"/>
    </row>
    <row r="230" spans="1:6" ht="12" customHeight="1">
      <c r="A230" s="1826"/>
      <c r="B230" s="1829"/>
      <c r="C230" s="1872"/>
      <c r="D230" s="1872"/>
      <c r="E230" s="1872"/>
      <c r="F230" s="1872"/>
    </row>
    <row r="231" spans="1:6" ht="12" customHeight="1">
      <c r="A231" s="1826"/>
      <c r="B231" s="1829"/>
      <c r="C231" s="1872"/>
      <c r="D231" s="1872"/>
      <c r="E231" s="1872"/>
      <c r="F231" s="1872"/>
    </row>
    <row r="232" spans="1:6" ht="12" customHeight="1">
      <c r="A232" s="1826"/>
      <c r="B232" s="1829"/>
      <c r="C232" s="1872"/>
      <c r="D232" s="1872"/>
      <c r="E232" s="1872"/>
      <c r="F232" s="1872"/>
    </row>
    <row r="233" spans="1:6" ht="12" customHeight="1">
      <c r="A233" s="1826"/>
      <c r="B233" s="1829"/>
      <c r="C233" s="1872"/>
      <c r="D233" s="1872"/>
      <c r="E233" s="1872"/>
      <c r="F233" s="1872"/>
    </row>
    <row r="234" spans="1:6" ht="12" customHeight="1">
      <c r="A234" s="1826"/>
      <c r="B234" s="1829"/>
      <c r="C234" s="1872"/>
      <c r="D234" s="1872"/>
      <c r="E234" s="1872"/>
      <c r="F234" s="1872"/>
    </row>
    <row r="235" spans="1:6" ht="12" customHeight="1">
      <c r="A235" s="1826"/>
      <c r="B235" s="1829"/>
      <c r="C235" s="1872"/>
      <c r="D235" s="1872"/>
      <c r="E235" s="1872"/>
      <c r="F235" s="1872"/>
    </row>
    <row r="236" spans="1:6" ht="12" customHeight="1">
      <c r="A236" s="1826"/>
      <c r="B236" s="1829"/>
      <c r="C236" s="1872"/>
      <c r="D236" s="1872"/>
      <c r="E236" s="1872"/>
      <c r="F236" s="1872"/>
    </row>
    <row r="237" spans="1:6" ht="12" customHeight="1">
      <c r="A237" s="1826"/>
      <c r="B237" s="1829"/>
      <c r="C237" s="1872"/>
      <c r="D237" s="1872"/>
      <c r="E237" s="1872"/>
      <c r="F237" s="1872"/>
    </row>
    <row r="238" spans="1:6" ht="12" customHeight="1">
      <c r="A238" s="1826"/>
      <c r="B238" s="1829"/>
      <c r="C238" s="1872"/>
      <c r="D238" s="1872"/>
      <c r="E238" s="1872"/>
      <c r="F238" s="1872"/>
    </row>
    <row r="239" spans="1:6" ht="12" customHeight="1">
      <c r="A239" s="1826"/>
      <c r="B239" s="1829"/>
      <c r="C239" s="1872"/>
      <c r="D239" s="1872"/>
      <c r="E239" s="1872"/>
      <c r="F239" s="1872"/>
    </row>
    <row r="240" spans="1:6" ht="12" customHeight="1">
      <c r="A240" s="1826"/>
      <c r="B240" s="1829"/>
      <c r="C240" s="1872"/>
      <c r="D240" s="1872"/>
      <c r="E240" s="1872"/>
      <c r="F240" s="1872"/>
    </row>
    <row r="241" spans="1:6" ht="12" customHeight="1">
      <c r="A241" s="1826"/>
      <c r="B241" s="1829"/>
      <c r="C241" s="1872"/>
      <c r="D241" s="1872"/>
      <c r="E241" s="1872"/>
      <c r="F241" s="1872"/>
    </row>
    <row r="242" spans="1:6" ht="12" customHeight="1">
      <c r="A242" s="1826"/>
      <c r="B242" s="1829"/>
      <c r="C242" s="1872"/>
      <c r="D242" s="1872"/>
      <c r="E242" s="1872"/>
      <c r="F242" s="1872"/>
    </row>
    <row r="243" spans="1:6" ht="12" customHeight="1">
      <c r="A243" s="1826"/>
      <c r="B243" s="1829"/>
      <c r="C243" s="1872"/>
      <c r="D243" s="1872"/>
      <c r="E243" s="1872"/>
      <c r="F243" s="1872"/>
    </row>
    <row r="244" spans="1:6" ht="12" customHeight="1">
      <c r="A244" s="1826"/>
      <c r="B244" s="1829"/>
      <c r="C244" s="1872"/>
      <c r="D244" s="1872"/>
      <c r="E244" s="1872"/>
      <c r="F244" s="1872"/>
    </row>
    <row r="245" spans="1:6" ht="12" customHeight="1">
      <c r="A245" s="1826"/>
      <c r="B245" s="1829"/>
      <c r="C245" s="1872"/>
      <c r="D245" s="1872"/>
      <c r="E245" s="1872"/>
      <c r="F245" s="1872"/>
    </row>
    <row r="246" spans="1:6" ht="12" customHeight="1">
      <c r="A246" s="1826"/>
      <c r="B246" s="1829"/>
      <c r="C246" s="1872"/>
      <c r="D246" s="1872"/>
      <c r="E246" s="1872"/>
      <c r="F246" s="1872"/>
    </row>
    <row r="247" spans="1:6" ht="12" customHeight="1">
      <c r="A247" s="1826"/>
      <c r="B247" s="1829"/>
      <c r="C247" s="1872"/>
      <c r="D247" s="1872"/>
      <c r="E247" s="1872"/>
      <c r="F247" s="1872"/>
    </row>
    <row r="248" spans="1:6" ht="12" customHeight="1">
      <c r="A248" s="1826"/>
      <c r="B248" s="1829"/>
      <c r="C248" s="1872"/>
      <c r="D248" s="1872"/>
      <c r="E248" s="1872"/>
      <c r="F248" s="1872"/>
    </row>
    <row r="249" spans="1:6" ht="12" customHeight="1">
      <c r="A249" s="1826"/>
      <c r="B249" s="1829"/>
      <c r="C249" s="1872"/>
      <c r="D249" s="1872"/>
      <c r="E249" s="1872"/>
      <c r="F249" s="1872"/>
    </row>
    <row r="250" spans="1:6" ht="12" customHeight="1">
      <c r="A250" s="1826"/>
      <c r="B250" s="1829"/>
      <c r="C250" s="1872"/>
      <c r="D250" s="1872"/>
      <c r="E250" s="1872"/>
      <c r="F250" s="1872"/>
    </row>
    <row r="251" spans="1:6" ht="12" customHeight="1">
      <c r="A251" s="1826"/>
      <c r="B251" s="1829"/>
      <c r="C251" s="1872"/>
      <c r="D251" s="1872"/>
      <c r="E251" s="1872"/>
      <c r="F251" s="1872"/>
    </row>
    <row r="252" spans="1:6" ht="12" customHeight="1">
      <c r="A252" s="1826"/>
      <c r="B252" s="1829"/>
      <c r="C252" s="1872"/>
      <c r="D252" s="1872"/>
      <c r="E252" s="1872"/>
      <c r="F252" s="1872"/>
    </row>
    <row r="253" spans="1:6" ht="12" customHeight="1">
      <c r="A253" s="1826"/>
      <c r="B253" s="1829"/>
      <c r="C253" s="1872"/>
      <c r="D253" s="1872"/>
      <c r="E253" s="1872"/>
      <c r="F253" s="1872"/>
    </row>
    <row r="254" spans="1:6" ht="12" customHeight="1">
      <c r="A254" s="1826"/>
      <c r="B254" s="1829"/>
      <c r="C254" s="1872"/>
      <c r="D254" s="1872"/>
      <c r="E254" s="1872"/>
      <c r="F254" s="1872"/>
    </row>
    <row r="255" spans="1:6" ht="12" customHeight="1">
      <c r="A255" s="1826"/>
      <c r="B255" s="1829"/>
      <c r="C255" s="1872"/>
      <c r="D255" s="1872"/>
      <c r="E255" s="1872"/>
      <c r="F255" s="1872"/>
    </row>
    <row r="256" spans="1:6" ht="12" customHeight="1">
      <c r="A256" s="1826"/>
      <c r="B256" s="1829"/>
      <c r="C256" s="1872"/>
      <c r="D256" s="1872"/>
      <c r="E256" s="1872"/>
      <c r="F256" s="1872"/>
    </row>
    <row r="257" spans="1:6" ht="12" customHeight="1">
      <c r="A257" s="1826"/>
      <c r="B257" s="1829"/>
      <c r="C257" s="1872"/>
      <c r="D257" s="1872"/>
      <c r="E257" s="1872"/>
      <c r="F257" s="1872"/>
    </row>
    <row r="258" spans="1:6" ht="12" customHeight="1">
      <c r="A258" s="1826"/>
      <c r="B258" s="1829"/>
      <c r="C258" s="1872"/>
      <c r="D258" s="1872"/>
      <c r="E258" s="1872"/>
      <c r="F258" s="1872"/>
    </row>
    <row r="259" spans="1:6" ht="12" customHeight="1">
      <c r="A259" s="1826"/>
      <c r="B259" s="1829"/>
      <c r="C259" s="1872"/>
      <c r="D259" s="1872"/>
      <c r="E259" s="1872"/>
      <c r="F259" s="1872"/>
    </row>
    <row r="260" spans="1:6" ht="12" customHeight="1">
      <c r="A260" s="1826"/>
      <c r="B260" s="1829"/>
      <c r="C260" s="1872"/>
      <c r="D260" s="1872"/>
      <c r="E260" s="1872"/>
      <c r="F260" s="1872"/>
    </row>
    <row r="261" spans="1:6" ht="12" customHeight="1">
      <c r="A261" s="1826"/>
      <c r="B261" s="1829"/>
      <c r="C261" s="1872"/>
      <c r="D261" s="1872"/>
      <c r="E261" s="1872"/>
      <c r="F261" s="1872"/>
    </row>
    <row r="262" spans="1:6" ht="12" customHeight="1">
      <c r="A262" s="1826"/>
      <c r="B262" s="1829"/>
      <c r="C262" s="1872"/>
      <c r="D262" s="1872"/>
      <c r="E262" s="1872"/>
      <c r="F262" s="1872"/>
    </row>
    <row r="263" spans="1:6" ht="12" customHeight="1">
      <c r="A263" s="1826"/>
      <c r="B263" s="1829"/>
      <c r="C263" s="1872"/>
      <c r="D263" s="1872"/>
      <c r="E263" s="1872"/>
      <c r="F263" s="1872"/>
    </row>
    <row r="264" spans="1:6" ht="12" customHeight="1">
      <c r="A264" s="1826"/>
      <c r="B264" s="1829"/>
      <c r="C264" s="1872"/>
      <c r="D264" s="1872"/>
      <c r="E264" s="1872"/>
      <c r="F264" s="1872"/>
    </row>
    <row r="265" spans="1:6" ht="12" customHeight="1">
      <c r="A265" s="1826"/>
      <c r="B265" s="1829"/>
      <c r="C265" s="1872"/>
      <c r="D265" s="1872"/>
      <c r="E265" s="1872"/>
      <c r="F265" s="1872"/>
    </row>
    <row r="266" spans="1:6" ht="12" customHeight="1">
      <c r="A266" s="1826"/>
      <c r="B266" s="1829"/>
      <c r="C266" s="1872"/>
      <c r="D266" s="1872"/>
      <c r="E266" s="1872"/>
      <c r="F266" s="1872"/>
    </row>
    <row r="267" spans="1:6" ht="12" customHeight="1">
      <c r="A267" s="1826"/>
      <c r="B267" s="1829"/>
      <c r="C267" s="1872"/>
      <c r="D267" s="1872"/>
      <c r="E267" s="1872"/>
      <c r="F267" s="1872"/>
    </row>
    <row r="268" spans="1:6" ht="12" customHeight="1">
      <c r="A268" s="1826"/>
      <c r="B268" s="1829"/>
      <c r="C268" s="1872"/>
      <c r="D268" s="1872"/>
      <c r="E268" s="1872"/>
      <c r="F268" s="1872"/>
    </row>
    <row r="269" spans="1:6" ht="12" customHeight="1">
      <c r="A269" s="1826"/>
      <c r="B269" s="1829"/>
      <c r="C269" s="1872"/>
      <c r="D269" s="1872"/>
      <c r="E269" s="1872"/>
      <c r="F269" s="1872"/>
    </row>
    <row r="270" spans="1:6" ht="12" customHeight="1">
      <c r="A270" s="1826"/>
      <c r="B270" s="1829"/>
      <c r="C270" s="1872"/>
      <c r="D270" s="1872"/>
      <c r="E270" s="1872"/>
      <c r="F270" s="1872"/>
    </row>
    <row r="271" spans="1:6" ht="12" customHeight="1">
      <c r="A271" s="1826"/>
      <c r="B271" s="1829"/>
      <c r="C271" s="1872"/>
      <c r="D271" s="1872"/>
      <c r="E271" s="1872"/>
      <c r="F271" s="1872"/>
    </row>
    <row r="272" spans="1:6" ht="12" customHeight="1">
      <c r="A272" s="1826"/>
      <c r="B272" s="1829"/>
      <c r="C272" s="1872"/>
      <c r="D272" s="1872"/>
      <c r="E272" s="1872"/>
      <c r="F272" s="1872"/>
    </row>
    <row r="273" spans="1:6" ht="12" customHeight="1">
      <c r="A273" s="1826"/>
      <c r="B273" s="1829"/>
      <c r="C273" s="1872"/>
      <c r="D273" s="1872"/>
      <c r="E273" s="1872"/>
      <c r="F273" s="1872"/>
    </row>
    <row r="274" spans="1:6" ht="12" customHeight="1">
      <c r="A274" s="1826"/>
      <c r="B274" s="1829"/>
      <c r="C274" s="1872"/>
      <c r="D274" s="1872"/>
      <c r="E274" s="1872"/>
      <c r="F274" s="1872"/>
    </row>
    <row r="275" spans="1:6" ht="12" customHeight="1">
      <c r="A275" s="1826"/>
      <c r="B275" s="1829"/>
      <c r="C275" s="1872"/>
      <c r="D275" s="1872"/>
      <c r="E275" s="1872"/>
      <c r="F275" s="1872"/>
    </row>
    <row r="276" spans="1:6" ht="12" customHeight="1">
      <c r="A276" s="1826"/>
      <c r="B276" s="1829"/>
      <c r="C276" s="1872"/>
      <c r="D276" s="1872"/>
      <c r="E276" s="1872"/>
      <c r="F276" s="1872"/>
    </row>
    <row r="277" spans="1:6" ht="12" customHeight="1">
      <c r="A277" s="1826"/>
      <c r="B277" s="1829"/>
      <c r="C277" s="1872"/>
      <c r="D277" s="1872"/>
      <c r="E277" s="1872"/>
      <c r="F277" s="1872"/>
    </row>
    <row r="278" spans="1:6" ht="12" customHeight="1">
      <c r="A278" s="1826"/>
      <c r="B278" s="1829"/>
      <c r="C278" s="1872"/>
      <c r="D278" s="1872"/>
      <c r="E278" s="1872"/>
      <c r="F278" s="1872"/>
    </row>
    <row r="279" spans="1:6" ht="12" customHeight="1">
      <c r="A279" s="1826"/>
      <c r="B279" s="1829"/>
      <c r="C279" s="1872"/>
      <c r="D279" s="1872"/>
      <c r="E279" s="1872"/>
      <c r="F279" s="1872"/>
    </row>
    <row r="280" spans="1:6" ht="12" customHeight="1">
      <c r="A280" s="1826"/>
      <c r="B280" s="1829"/>
      <c r="C280" s="1872"/>
      <c r="D280" s="1872"/>
      <c r="E280" s="1872"/>
      <c r="F280" s="1872"/>
    </row>
    <row r="281" spans="1:6" ht="12" customHeight="1">
      <c r="A281" s="1826"/>
      <c r="B281" s="1829"/>
      <c r="C281" s="1872"/>
      <c r="D281" s="1872"/>
      <c r="E281" s="1872"/>
      <c r="F281" s="1872"/>
    </row>
    <row r="282" spans="1:6" ht="12" customHeight="1">
      <c r="A282" s="1826"/>
      <c r="B282" s="1829"/>
      <c r="C282" s="1872"/>
      <c r="D282" s="1872"/>
      <c r="E282" s="1872"/>
      <c r="F282" s="1872"/>
    </row>
    <row r="283" spans="1:6" ht="12" customHeight="1">
      <c r="A283" s="1826"/>
      <c r="B283" s="1829"/>
      <c r="C283" s="1872"/>
      <c r="D283" s="1872"/>
      <c r="E283" s="1872"/>
      <c r="F283" s="1872"/>
    </row>
    <row r="284" spans="1:6" ht="12" customHeight="1">
      <c r="A284" s="1826"/>
      <c r="B284" s="1829"/>
      <c r="C284" s="1872"/>
      <c r="D284" s="1872"/>
      <c r="E284" s="1872"/>
      <c r="F284" s="1872"/>
    </row>
    <row r="285" spans="1:6" ht="12" customHeight="1">
      <c r="A285" s="1826"/>
      <c r="B285" s="1829"/>
      <c r="C285" s="1872"/>
      <c r="D285" s="1872"/>
      <c r="E285" s="1872"/>
      <c r="F285" s="1872"/>
    </row>
    <row r="286" spans="1:6" ht="12" customHeight="1">
      <c r="A286" s="1826"/>
      <c r="B286" s="1829"/>
      <c r="C286" s="1872"/>
      <c r="D286" s="1872"/>
      <c r="E286" s="1872"/>
      <c r="F286" s="1872"/>
    </row>
    <row r="287" spans="1:6" ht="12" customHeight="1">
      <c r="A287" s="1826"/>
      <c r="B287" s="1829"/>
      <c r="C287" s="1872"/>
      <c r="D287" s="1872"/>
      <c r="E287" s="1872"/>
      <c r="F287" s="1872"/>
    </row>
    <row r="288" spans="1:6" ht="12" customHeight="1">
      <c r="A288" s="1826"/>
      <c r="B288" s="1829"/>
      <c r="C288" s="1872"/>
      <c r="D288" s="1872"/>
      <c r="E288" s="1872"/>
      <c r="F288" s="1872"/>
    </row>
    <row r="289" spans="1:6" ht="12" customHeight="1">
      <c r="A289" s="1826"/>
      <c r="B289" s="1829"/>
      <c r="C289" s="1872"/>
      <c r="D289" s="1872"/>
      <c r="E289" s="1872"/>
      <c r="F289" s="1872"/>
    </row>
    <row r="290" spans="1:6" ht="12" customHeight="1">
      <c r="A290" s="1826"/>
      <c r="B290" s="1829"/>
      <c r="C290" s="1872"/>
      <c r="D290" s="1872"/>
      <c r="E290" s="1872"/>
      <c r="F290" s="1872"/>
    </row>
    <row r="291" spans="1:6" ht="12" customHeight="1">
      <c r="A291" s="1826"/>
      <c r="B291" s="1829"/>
      <c r="C291" s="1872"/>
      <c r="D291" s="1872"/>
      <c r="E291" s="1872"/>
      <c r="F291" s="1872"/>
    </row>
    <row r="292" spans="1:6" ht="12" customHeight="1">
      <c r="A292" s="1826"/>
      <c r="B292" s="1829"/>
      <c r="C292" s="1872"/>
      <c r="D292" s="1872"/>
      <c r="E292" s="1872"/>
      <c r="F292" s="1872"/>
    </row>
    <row r="293" spans="1:6" ht="12" customHeight="1">
      <c r="A293" s="1826"/>
      <c r="B293" s="1829"/>
      <c r="C293" s="1872"/>
      <c r="D293" s="1872"/>
      <c r="E293" s="1872"/>
      <c r="F293" s="1872"/>
    </row>
    <row r="294" spans="1:6" ht="12" customHeight="1">
      <c r="A294" s="1826"/>
      <c r="B294" s="1829"/>
      <c r="C294" s="1872"/>
      <c r="D294" s="1872"/>
      <c r="E294" s="1872"/>
      <c r="F294" s="1872"/>
    </row>
    <row r="295" spans="1:6" ht="12" customHeight="1">
      <c r="A295" s="1826"/>
      <c r="B295" s="1829"/>
      <c r="C295" s="1872"/>
      <c r="D295" s="1872"/>
      <c r="E295" s="1872"/>
      <c r="F295" s="1872"/>
    </row>
    <row r="296" spans="1:6" ht="12" customHeight="1">
      <c r="A296" s="1826"/>
      <c r="B296" s="1829"/>
      <c r="C296" s="1872"/>
      <c r="D296" s="1872"/>
      <c r="E296" s="1872"/>
      <c r="F296" s="1872"/>
    </row>
    <row r="297" spans="1:6" ht="12" customHeight="1">
      <c r="A297" s="1826"/>
      <c r="B297" s="1829"/>
      <c r="C297" s="1872"/>
      <c r="D297" s="1872"/>
      <c r="E297" s="1872"/>
      <c r="F297" s="1872"/>
    </row>
    <row r="298" spans="1:6" ht="12" customHeight="1">
      <c r="A298" s="1826"/>
      <c r="B298" s="1829"/>
      <c r="C298" s="1872"/>
      <c r="D298" s="1872"/>
      <c r="E298" s="1872"/>
      <c r="F298" s="1872"/>
    </row>
    <row r="299" spans="1:6" ht="12" customHeight="1">
      <c r="A299" s="1826"/>
      <c r="B299" s="1829"/>
      <c r="C299" s="1872"/>
      <c r="D299" s="1872"/>
      <c r="E299" s="1872"/>
      <c r="F299" s="1872"/>
    </row>
    <row r="300" spans="1:6" ht="12" customHeight="1">
      <c r="A300" s="1826"/>
      <c r="B300" s="1829"/>
      <c r="C300" s="1872"/>
      <c r="D300" s="1872"/>
      <c r="E300" s="1872"/>
      <c r="F300" s="1872"/>
    </row>
    <row r="301" spans="1:6" ht="12" customHeight="1">
      <c r="A301" s="1826"/>
      <c r="B301" s="1829"/>
      <c r="C301" s="1872"/>
      <c r="D301" s="1872"/>
      <c r="E301" s="1872"/>
      <c r="F301" s="1872"/>
    </row>
    <row r="302" spans="1:6" ht="12" customHeight="1">
      <c r="A302" s="1826"/>
      <c r="B302" s="1829"/>
      <c r="C302" s="1872"/>
      <c r="D302" s="1872"/>
      <c r="E302" s="1872"/>
      <c r="F302" s="1872"/>
    </row>
    <row r="303" spans="1:6" ht="12" customHeight="1">
      <c r="A303" s="1826"/>
      <c r="B303" s="1829"/>
      <c r="C303" s="1872"/>
      <c r="D303" s="1872"/>
      <c r="E303" s="1872"/>
      <c r="F303" s="1872"/>
    </row>
    <row r="304" spans="1:6" ht="12" customHeight="1">
      <c r="A304" s="1826"/>
      <c r="B304" s="1829"/>
      <c r="C304" s="1872"/>
      <c r="D304" s="1872"/>
      <c r="E304" s="1872"/>
      <c r="F304" s="1872"/>
    </row>
    <row r="305" spans="1:6" ht="12" customHeight="1">
      <c r="A305" s="1826"/>
      <c r="B305" s="1829"/>
      <c r="C305" s="1872"/>
      <c r="D305" s="1872"/>
      <c r="E305" s="1872"/>
      <c r="F305" s="1872"/>
    </row>
    <row r="306" spans="1:6" ht="12" customHeight="1">
      <c r="A306" s="1826"/>
      <c r="B306" s="1829"/>
      <c r="C306" s="1872"/>
      <c r="D306" s="1872"/>
      <c r="E306" s="1872"/>
      <c r="F306" s="1872"/>
    </row>
    <row r="307" spans="1:6" ht="12" customHeight="1">
      <c r="A307" s="1826"/>
      <c r="B307" s="1829"/>
      <c r="C307" s="1872"/>
      <c r="D307" s="1872"/>
      <c r="E307" s="1872"/>
      <c r="F307" s="1872"/>
    </row>
    <row r="308" spans="1:6" ht="12" customHeight="1">
      <c r="A308" s="1826"/>
      <c r="B308" s="1829"/>
      <c r="C308" s="1872"/>
      <c r="D308" s="1872"/>
      <c r="E308" s="1872"/>
      <c r="F308" s="1872"/>
    </row>
    <row r="309" spans="1:6" ht="12" customHeight="1">
      <c r="A309" s="1826"/>
      <c r="B309" s="1829"/>
      <c r="C309" s="1872"/>
      <c r="D309" s="1872"/>
      <c r="E309" s="1872"/>
      <c r="F309" s="1872"/>
    </row>
    <row r="310" spans="1:6" ht="12" customHeight="1">
      <c r="A310" s="1826"/>
      <c r="B310" s="1829"/>
      <c r="C310" s="1872"/>
      <c r="D310" s="1872"/>
      <c r="E310" s="1872"/>
      <c r="F310" s="1872"/>
    </row>
    <row r="311" spans="1:6" ht="12" customHeight="1">
      <c r="A311" s="1826"/>
      <c r="B311" s="1829"/>
      <c r="C311" s="1872"/>
      <c r="D311" s="1872"/>
      <c r="E311" s="1872"/>
      <c r="F311" s="1872"/>
    </row>
    <row r="312" spans="1:6" ht="12" customHeight="1">
      <c r="A312" s="1826"/>
      <c r="B312" s="1829"/>
      <c r="C312" s="1872"/>
      <c r="D312" s="1872"/>
      <c r="E312" s="1872"/>
      <c r="F312" s="1872"/>
    </row>
    <row r="313" spans="1:6" ht="12" customHeight="1">
      <c r="A313" s="1826"/>
      <c r="B313" s="1829"/>
      <c r="C313" s="1872"/>
      <c r="D313" s="1872"/>
      <c r="E313" s="1872"/>
      <c r="F313" s="1872"/>
    </row>
  </sheetData>
  <sheetProtection algorithmName="SHA-512" hashValue="gQY62JRk+gy8q7VeiW4nlS+cikPTo9HtGhHPEsklERqhh4F6+1Py++Aid90LrKeain3tzeNMaBj4jNj0D3feOQ==" saltValue="1WBBGfQTDO9kIf68zIAmLQ==" spinCount="100000" sheet="1" objects="1" scenarios="1"/>
  <phoneticPr fontId="10" type="noConversion"/>
  <dataValidations count="4">
    <dataValidation type="whole" operator="greaterThanOrEqual" allowBlank="1"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zero." sqref="C13 C14:D14 C17:D17 C18:E18 F19 F21 C20:E20 C23:D25 C29:D29 F48:F51 C32:D32 C44:E46 F33 F38:F40">
      <formula1>0</formula1>
    </dataValidation>
    <dataValidation type="whole" operator="greaterThanOrEqual" showInputMessage="1" showErrorMessage="1" errorTitle="Invalid Data Entry" error="Please enter a positive whole number or press the delete key or enter zero." sqref="D39">
      <formula1>0</formula1>
    </dataValidation>
    <dataValidation type="whole" operator="greaterThanOrEqual" allowBlank="1" showInputMessage="1" showErrorMessage="1" errorTitle="Invalid Data Entry" error="Please enter a positive number or press the delete key or enter zero." sqref="C27 D34">
      <formula1>0</formula1>
    </dataValidation>
  </dataValidations>
  <hyperlinks>
    <hyperlink ref="H1" location="Contents!F1" display="Return to Contents page"/>
  </hyperlinks>
  <printOptions horizontalCentered="1"/>
  <pageMargins left="0.25" right="0.25" top="0.19" bottom="0.19" header="0.5" footer="0.5"/>
  <pageSetup scale="98" orientation="portrait" blackAndWhite="1" r:id="rId1"/>
  <headerFooter alignWithMargins="0">
    <oddFooter>&amp;L&amp;D     &amp;T &amp;CCode No. 63</oddFooter>
  </headerFooter>
  <drawing r:id="rId2"/>
  <legacy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4" tint="0.39997558519241921"/>
    <pageSetUpPr fitToPage="1"/>
  </sheetPr>
  <dimension ref="A1:M308"/>
  <sheetViews>
    <sheetView workbookViewId="0">
      <selection activeCell="C9" sqref="C9"/>
    </sheetView>
  </sheetViews>
  <sheetFormatPr defaultColWidth="10.7109375" defaultRowHeight="12" customHeight="1"/>
  <cols>
    <col min="1" max="1" width="40.28515625" style="1883" customWidth="1"/>
    <col min="2" max="2" width="5.7109375" style="1923" customWidth="1"/>
    <col min="3" max="4" width="14.7109375" style="1878" customWidth="1"/>
    <col min="5" max="5" width="14.85546875" style="1878" customWidth="1"/>
    <col min="6" max="6" width="14.28515625" style="1878" customWidth="1"/>
    <col min="7" max="7" width="2.42578125" style="1878" customWidth="1"/>
    <col min="8" max="8" width="21" style="1878" customWidth="1"/>
    <col min="9" max="16384" width="10.7109375" style="1878"/>
  </cols>
  <sheetData>
    <row r="1" spans="1:13" ht="12" customHeight="1">
      <c r="A1" s="1874"/>
      <c r="B1" s="1875" t="s">
        <v>1019</v>
      </c>
      <c r="C1" s="1876">
        <f>OPEN!$B$4</f>
        <v>270</v>
      </c>
      <c r="D1" s="1874"/>
      <c r="E1" s="1874"/>
      <c r="F1" s="1877" t="s">
        <v>1020</v>
      </c>
      <c r="H1" s="3013" t="s">
        <v>866</v>
      </c>
    </row>
    <row r="2" spans="1:13" ht="12" customHeight="1">
      <c r="A2" s="1874"/>
      <c r="B2" s="1875"/>
      <c r="C2" s="1874"/>
      <c r="D2" s="1874"/>
      <c r="E2" s="1874"/>
      <c r="F2" s="1877" t="s">
        <v>1212</v>
      </c>
    </row>
    <row r="3" spans="1:13" ht="12" customHeight="1">
      <c r="A3" s="1874"/>
      <c r="B3" s="1875"/>
      <c r="C3" s="1874"/>
      <c r="D3" s="1874"/>
      <c r="E3" s="1874"/>
      <c r="F3" s="1877" t="str">
        <f>OPEN!N2</f>
        <v>2016-2017</v>
      </c>
    </row>
    <row r="4" spans="1:13" ht="12" customHeight="1">
      <c r="A4" s="1874"/>
      <c r="B4" s="1875"/>
      <c r="C4" s="1874"/>
      <c r="D4" s="1874"/>
      <c r="E4" s="1874"/>
      <c r="F4" s="1874"/>
    </row>
    <row r="5" spans="1:13" ht="12" customHeight="1">
      <c r="A5" s="1874"/>
      <c r="B5" s="1875"/>
      <c r="C5" s="1879" t="s">
        <v>1213</v>
      </c>
      <c r="D5" s="1879" t="s">
        <v>1213</v>
      </c>
      <c r="E5" s="1879" t="s">
        <v>1213</v>
      </c>
      <c r="F5" s="1879" t="s">
        <v>10</v>
      </c>
    </row>
    <row r="6" spans="1:13" ht="12" customHeight="1">
      <c r="A6" s="1880"/>
      <c r="B6" s="1881" t="s">
        <v>1045</v>
      </c>
      <c r="C6" s="1882" t="str">
        <f>OPEN!N4</f>
        <v>2014-2015</v>
      </c>
      <c r="D6" s="1882" t="str">
        <f>OPEN!O4</f>
        <v>2015-2016</v>
      </c>
      <c r="E6" s="1882" t="str">
        <f>OPEN!P4</f>
        <v>2016-2017</v>
      </c>
      <c r="F6" s="1882" t="s">
        <v>758</v>
      </c>
      <c r="K6" s="1883"/>
      <c r="L6" s="1883"/>
      <c r="M6" s="1883"/>
    </row>
    <row r="7" spans="1:13" ht="12" customHeight="1">
      <c r="A7" s="1880" t="s">
        <v>889</v>
      </c>
      <c r="B7" s="1884">
        <v>66</v>
      </c>
      <c r="C7" s="1885" t="s">
        <v>1139</v>
      </c>
      <c r="D7" s="1885" t="s">
        <v>1139</v>
      </c>
      <c r="E7" s="1885" t="s">
        <v>1215</v>
      </c>
      <c r="F7" s="1885" t="s">
        <v>16</v>
      </c>
    </row>
    <row r="8" spans="1:13" ht="12" customHeight="1">
      <c r="A8" s="1886"/>
      <c r="B8" s="1887" t="s">
        <v>1051</v>
      </c>
      <c r="C8" s="1888">
        <v>1</v>
      </c>
      <c r="D8" s="1888">
        <v>2</v>
      </c>
      <c r="E8" s="1888">
        <v>3</v>
      </c>
      <c r="F8" s="1888">
        <v>4</v>
      </c>
    </row>
    <row r="9" spans="1:13" ht="12" customHeight="1">
      <c r="A9" s="1889" t="s">
        <v>1402</v>
      </c>
      <c r="B9" s="1884">
        <v>1</v>
      </c>
      <c r="C9" s="1890"/>
      <c r="D9" s="1891">
        <f>C38</f>
        <v>0</v>
      </c>
      <c r="E9" s="1891">
        <f>D38</f>
        <v>0</v>
      </c>
      <c r="F9" s="1892">
        <f>E9</f>
        <v>0</v>
      </c>
    </row>
    <row r="10" spans="1:13" ht="12" customHeight="1">
      <c r="A10" s="1893" t="s">
        <v>19</v>
      </c>
      <c r="B10" s="1881"/>
      <c r="C10" s="1894"/>
      <c r="D10" s="1894"/>
      <c r="E10" s="1894"/>
      <c r="F10" s="1895"/>
    </row>
    <row r="11" spans="1:13" ht="12" customHeight="1">
      <c r="A11" s="1889" t="s">
        <v>20</v>
      </c>
      <c r="B11" s="1884"/>
      <c r="C11" s="1895"/>
      <c r="D11" s="1895"/>
      <c r="E11" s="1895"/>
      <c r="F11" s="1895"/>
    </row>
    <row r="12" spans="1:13" ht="12" customHeight="1">
      <c r="A12" s="1889" t="s">
        <v>21</v>
      </c>
      <c r="B12" s="1884"/>
      <c r="C12" s="1895"/>
      <c r="D12" s="1895"/>
      <c r="E12" s="1895"/>
      <c r="F12" s="1895"/>
    </row>
    <row r="13" spans="1:13" ht="12" customHeight="1">
      <c r="A13" s="1896" t="str">
        <f>OPEN!N8</f>
        <v xml:space="preserve">    2013  $</v>
      </c>
      <c r="B13" s="1887">
        <v>5</v>
      </c>
      <c r="C13" s="1897"/>
      <c r="D13" s="1895"/>
      <c r="E13" s="1895"/>
      <c r="F13" s="1895"/>
    </row>
    <row r="14" spans="1:13" ht="12" customHeight="1">
      <c r="A14" s="1898" t="str">
        <f>OPEN!N9</f>
        <v xml:space="preserve">    2014  $</v>
      </c>
      <c r="B14" s="1899">
        <v>10</v>
      </c>
      <c r="C14" s="1900"/>
      <c r="D14" s="1897"/>
      <c r="E14" s="1895"/>
      <c r="F14" s="1895"/>
    </row>
    <row r="15" spans="1:13" ht="12" customHeight="1">
      <c r="A15" s="1896" t="str">
        <f>OPEN!N10</f>
        <v xml:space="preserve">    2015  $</v>
      </c>
      <c r="B15" s="1887">
        <v>15</v>
      </c>
      <c r="C15" s="1894"/>
      <c r="D15" s="1901">
        <f>'C04'!E22</f>
        <v>0</v>
      </c>
      <c r="E15" s="1901">
        <f>'F110'!E130</f>
        <v>0</v>
      </c>
      <c r="F15" s="1901">
        <f>E15</f>
        <v>0</v>
      </c>
    </row>
    <row r="16" spans="1:13" ht="12" customHeight="1">
      <c r="A16" s="1898" t="str">
        <f>OPEN!N11</f>
        <v xml:space="preserve">    2016  $</v>
      </c>
      <c r="B16" s="1899">
        <v>20</v>
      </c>
      <c r="C16" s="1895"/>
      <c r="D16" s="1894"/>
      <c r="E16" s="1892">
        <f>'C04'!L22</f>
        <v>0</v>
      </c>
      <c r="F16" s="1902"/>
    </row>
    <row r="17" spans="1:6" ht="12" customHeight="1">
      <c r="A17" s="1898" t="s">
        <v>883</v>
      </c>
      <c r="B17" s="1899">
        <v>25</v>
      </c>
      <c r="C17" s="1897"/>
      <c r="D17" s="4124"/>
      <c r="E17" s="1901">
        <f>0.667*F17</f>
        <v>0</v>
      </c>
      <c r="F17" s="3361">
        <f>'F110'!E134</f>
        <v>0</v>
      </c>
    </row>
    <row r="18" spans="1:6" ht="12" customHeight="1">
      <c r="A18" s="1898" t="s">
        <v>25</v>
      </c>
      <c r="B18" s="1899">
        <v>30</v>
      </c>
      <c r="C18" s="1900"/>
      <c r="D18" s="1900"/>
      <c r="E18" s="1897"/>
      <c r="F18" s="1892">
        <f>E18</f>
        <v>0</v>
      </c>
    </row>
    <row r="19" spans="1:6" ht="12" customHeight="1">
      <c r="A19" s="1896" t="s">
        <v>30</v>
      </c>
      <c r="B19" s="1887">
        <v>35</v>
      </c>
      <c r="C19" s="1894"/>
      <c r="D19" s="1894"/>
      <c r="E19" s="1894"/>
      <c r="F19" s="1897"/>
    </row>
    <row r="20" spans="1:6" ht="12" customHeight="1">
      <c r="A20" s="1893" t="s">
        <v>28</v>
      </c>
      <c r="B20" s="1881"/>
      <c r="C20" s="1895"/>
      <c r="D20" s="1895"/>
      <c r="E20" s="1895"/>
      <c r="F20" s="1894"/>
    </row>
    <row r="21" spans="1:6" ht="12" customHeight="1">
      <c r="A21" s="1896" t="s">
        <v>285</v>
      </c>
      <c r="B21" s="1887">
        <v>45</v>
      </c>
      <c r="C21" s="1897"/>
      <c r="D21" s="1897"/>
      <c r="E21" s="1901">
        <f>IF(ISERROR('F194'!H85+'F194'!H27+'F194'!$P$85+'F194'!$P$27),0,('F194'!H85+'F194'!H27+'F194'!$P$85+'F194'!$P$27))</f>
        <v>0</v>
      </c>
      <c r="F21" s="1901">
        <f>E21</f>
        <v>0</v>
      </c>
    </row>
    <row r="22" spans="1:6" ht="12" customHeight="1">
      <c r="A22" s="1898" t="s">
        <v>30</v>
      </c>
      <c r="B22" s="1899">
        <v>50</v>
      </c>
      <c r="C22" s="1894"/>
      <c r="D22" s="1894"/>
      <c r="E22" s="1894"/>
      <c r="F22" s="1892">
        <f>F21*0.5</f>
        <v>0</v>
      </c>
    </row>
    <row r="23" spans="1:6" ht="12" customHeight="1">
      <c r="A23" s="1896" t="s">
        <v>31</v>
      </c>
      <c r="B23" s="1887">
        <v>55</v>
      </c>
      <c r="C23" s="1897"/>
      <c r="D23" s="1897"/>
      <c r="E23" s="1901">
        <f>IF(ISERROR('F194'!$L$85+'F194'!$L$27),0,('F194'!$L$85+'F194'!$L$27))</f>
        <v>0</v>
      </c>
      <c r="F23" s="1892">
        <f>E23</f>
        <v>0</v>
      </c>
    </row>
    <row r="24" spans="1:6" ht="12" customHeight="1">
      <c r="A24" s="1896" t="s">
        <v>32</v>
      </c>
      <c r="B24" s="1887">
        <v>56</v>
      </c>
      <c r="C24" s="1891"/>
      <c r="D24" s="1895"/>
      <c r="E24" s="1895"/>
      <c r="F24" s="1892">
        <f>F23*0.5</f>
        <v>0</v>
      </c>
    </row>
    <row r="25" spans="1:6" ht="12" customHeight="1">
      <c r="A25" s="5135" t="s">
        <v>1870</v>
      </c>
      <c r="B25" s="5136">
        <v>57</v>
      </c>
      <c r="C25" s="4239"/>
      <c r="D25" s="4239"/>
      <c r="E25" s="1901">
        <f>IF(ISERROR('F194'!R85+'F194'!R27),0,('F194'!R85+'F194'!R27))</f>
        <v>0</v>
      </c>
      <c r="F25" s="1892">
        <f>E25</f>
        <v>0</v>
      </c>
    </row>
    <row r="26" spans="1:6" ht="12" customHeight="1">
      <c r="A26" s="5135" t="s">
        <v>32</v>
      </c>
      <c r="B26" s="5136">
        <v>58</v>
      </c>
      <c r="C26" s="1891"/>
      <c r="D26" s="1895"/>
      <c r="E26" s="1891"/>
      <c r="F26" s="1892">
        <f>F25*0.5</f>
        <v>0</v>
      </c>
    </row>
    <row r="27" spans="1:6" ht="12" customHeight="1">
      <c r="A27" s="1896" t="s">
        <v>1938</v>
      </c>
      <c r="B27" s="1887">
        <v>60</v>
      </c>
      <c r="C27" s="1890"/>
      <c r="D27" s="1890"/>
      <c r="E27" s="1901">
        <f>IF(ISERROR('F194'!N85+'F194'!N27),0,('F194'!N85+'F194'!N27))</f>
        <v>0</v>
      </c>
      <c r="F27" s="1892">
        <f>E27</f>
        <v>0</v>
      </c>
    </row>
    <row r="28" spans="1:6" ht="12" customHeight="1">
      <c r="A28" s="1903" t="s">
        <v>30</v>
      </c>
      <c r="B28" s="1904">
        <v>65</v>
      </c>
      <c r="C28" s="1905"/>
      <c r="D28" s="3360"/>
      <c r="E28" s="3360"/>
      <c r="F28" s="1892">
        <f>F27*0.5</f>
        <v>0</v>
      </c>
    </row>
    <row r="29" spans="1:6" ht="12" customHeight="1">
      <c r="A29" s="3116" t="s">
        <v>52</v>
      </c>
      <c r="B29" s="3397">
        <v>70</v>
      </c>
      <c r="C29" s="1901">
        <f>SUM(C9:C28)</f>
        <v>0</v>
      </c>
      <c r="D29" s="3361">
        <f>SUM(D9:D28)</f>
        <v>0</v>
      </c>
      <c r="E29" s="3361">
        <f>SUM(E9:E28)</f>
        <v>0</v>
      </c>
      <c r="F29" s="1901">
        <f>SUM(F9:F28)</f>
        <v>0</v>
      </c>
    </row>
    <row r="30" spans="1:6" ht="12" customHeight="1">
      <c r="A30" s="1907" t="s">
        <v>111</v>
      </c>
      <c r="B30" s="1882"/>
      <c r="C30" s="1895"/>
      <c r="D30" s="1895"/>
      <c r="E30" s="1894"/>
      <c r="F30" s="1894"/>
    </row>
    <row r="31" spans="1:6" ht="12" customHeight="1">
      <c r="A31" s="1908" t="s">
        <v>885</v>
      </c>
      <c r="B31" s="1885"/>
      <c r="C31" s="1895"/>
      <c r="D31" s="1895"/>
      <c r="E31" s="1895"/>
      <c r="F31" s="1895"/>
    </row>
    <row r="32" spans="1:6" ht="12" customHeight="1">
      <c r="A32" s="1909" t="s">
        <v>38</v>
      </c>
      <c r="B32" s="1910">
        <v>75</v>
      </c>
      <c r="C32" s="1890"/>
      <c r="D32" s="1890"/>
      <c r="E32" s="1890"/>
      <c r="F32" s="1895"/>
    </row>
    <row r="33" spans="1:9" ht="12" customHeight="1">
      <c r="A33" s="1909" t="s">
        <v>39</v>
      </c>
      <c r="B33" s="1910">
        <v>80</v>
      </c>
      <c r="C33" s="1900"/>
      <c r="D33" s="1900"/>
      <c r="E33" s="1900"/>
      <c r="F33" s="1895"/>
    </row>
    <row r="34" spans="1:9" ht="12" customHeight="1">
      <c r="A34" s="1911" t="s">
        <v>761</v>
      </c>
      <c r="B34" s="1906">
        <v>85</v>
      </c>
      <c r="C34" s="1892">
        <f>SUM(C30:C33)</f>
        <v>0</v>
      </c>
      <c r="D34" s="1892">
        <f>SUM(D30:D33)</f>
        <v>0</v>
      </c>
      <c r="E34" s="1892">
        <f>SUM(E30:E33)</f>
        <v>0</v>
      </c>
      <c r="F34" s="1901">
        <f>E34</f>
        <v>0</v>
      </c>
    </row>
    <row r="35" spans="1:9" ht="12" customHeight="1">
      <c r="A35" s="1909" t="s">
        <v>40</v>
      </c>
      <c r="B35" s="1910">
        <v>90</v>
      </c>
      <c r="C35" s="1894"/>
      <c r="D35" s="1894"/>
      <c r="E35" s="1894"/>
      <c r="F35" s="1900"/>
    </row>
    <row r="36" spans="1:9" ht="12" customHeight="1">
      <c r="A36" s="1903" t="s">
        <v>41</v>
      </c>
      <c r="B36" s="1904">
        <v>95</v>
      </c>
      <c r="C36" s="1895"/>
      <c r="D36" s="1895"/>
      <c r="E36" s="1895"/>
      <c r="F36" s="1900"/>
    </row>
    <row r="37" spans="1:9" ht="12" customHeight="1">
      <c r="A37" s="1909" t="s">
        <v>762</v>
      </c>
      <c r="B37" s="1912">
        <v>185</v>
      </c>
      <c r="C37" s="1913" t="s">
        <v>51</v>
      </c>
      <c r="D37" s="1913" t="s">
        <v>51</v>
      </c>
      <c r="E37" s="1913" t="s">
        <v>51</v>
      </c>
      <c r="F37" s="1892">
        <f>SUM(F34:F36)</f>
        <v>0</v>
      </c>
    </row>
    <row r="38" spans="1:9" ht="12" customHeight="1">
      <c r="A38" s="1903" t="s">
        <v>290</v>
      </c>
      <c r="B38" s="1904">
        <v>190</v>
      </c>
      <c r="C38" s="1901">
        <f>SUM(C29-C34)</f>
        <v>0</v>
      </c>
      <c r="D38" s="1901">
        <f>SUM(D29-D34)</f>
        <v>0</v>
      </c>
      <c r="E38" s="1901">
        <f>SUM(E29-E34)</f>
        <v>0</v>
      </c>
      <c r="F38" s="1913" t="s">
        <v>1189</v>
      </c>
    </row>
    <row r="39" spans="1:9" ht="12" customHeight="1">
      <c r="A39" s="1914"/>
      <c r="B39" s="1906">
        <v>195</v>
      </c>
      <c r="C39" s="1915" t="s">
        <v>768</v>
      </c>
      <c r="D39" s="1916"/>
      <c r="E39" s="1917"/>
      <c r="F39" s="1892">
        <f>SUM(F37-F29)</f>
        <v>0</v>
      </c>
    </row>
    <row r="40" spans="1:9" ht="12" customHeight="1">
      <c r="A40" s="1918"/>
      <c r="B40" s="1904">
        <v>200</v>
      </c>
      <c r="C40" s="1915" t="s">
        <v>763</v>
      </c>
      <c r="D40" s="1916"/>
      <c r="E40" s="1917"/>
      <c r="F40" s="1892">
        <f>F39*'C01'!$F$119/100</f>
        <v>0</v>
      </c>
    </row>
    <row r="41" spans="1:9" ht="12" customHeight="1">
      <c r="A41" s="1918"/>
      <c r="B41" s="1904">
        <v>205</v>
      </c>
      <c r="C41" s="1915" t="str">
        <f>OPEN!N6</f>
        <v>Amount of 2016 Tax to be Levied</v>
      </c>
      <c r="D41" s="1916"/>
      <c r="E41" s="1917"/>
      <c r="F41" s="1892">
        <f>SUM(F39+F40)</f>
        <v>0</v>
      </c>
      <c r="H41" s="3175" t="s">
        <v>391</v>
      </c>
      <c r="I41" s="3180">
        <f>IF(ISERROR(F41/OPEN!A14*1000),"Check errors below",F41/OPEN!A14*1000)</f>
        <v>0</v>
      </c>
    </row>
    <row r="42" spans="1:9" ht="12" customHeight="1">
      <c r="A42" s="1918"/>
      <c r="B42" s="2786" t="s">
        <v>1364</v>
      </c>
      <c r="C42" s="1920"/>
      <c r="D42" s="1920"/>
      <c r="E42" s="1920"/>
      <c r="F42" s="1920"/>
      <c r="H42" s="3176" t="str">
        <f>OPEN!N40</f>
        <v/>
      </c>
      <c r="I42" s="1874"/>
    </row>
    <row r="43" spans="1:9" ht="12" customHeight="1">
      <c r="A43" s="1918"/>
      <c r="B43" s="1919"/>
      <c r="C43" s="1920"/>
      <c r="D43" s="1920"/>
      <c r="E43" s="1920"/>
      <c r="F43" s="1920"/>
    </row>
    <row r="44" spans="1:9" ht="12" customHeight="1">
      <c r="A44" s="1874"/>
      <c r="B44" s="1879"/>
      <c r="C44" s="1920"/>
      <c r="D44" s="1920"/>
      <c r="E44" s="1920"/>
      <c r="F44" s="1920"/>
    </row>
    <row r="45" spans="1:9" ht="12" customHeight="1">
      <c r="A45" s="1874"/>
      <c r="B45" s="1879"/>
      <c r="C45" s="1920"/>
      <c r="D45" s="1920"/>
      <c r="E45" s="1920"/>
      <c r="F45" s="1920"/>
    </row>
    <row r="46" spans="1:9" ht="12" customHeight="1">
      <c r="A46" s="1874"/>
      <c r="B46" s="1879"/>
      <c r="C46" s="1920"/>
      <c r="D46" s="1920"/>
      <c r="E46" s="1920"/>
      <c r="F46" s="1920"/>
    </row>
    <row r="47" spans="1:9" ht="12" customHeight="1">
      <c r="A47" s="1874"/>
      <c r="B47" s="1879"/>
      <c r="C47" s="1920"/>
      <c r="D47" s="1920"/>
      <c r="E47" s="1920"/>
      <c r="F47" s="1920"/>
    </row>
    <row r="48" spans="1:9" ht="12" customHeight="1">
      <c r="A48" s="1874"/>
      <c r="B48" s="1879"/>
      <c r="C48" s="1920"/>
      <c r="D48" s="1920"/>
      <c r="E48" s="1920"/>
      <c r="F48" s="1920"/>
    </row>
    <row r="49" spans="1:6" ht="12" customHeight="1">
      <c r="A49" s="1874"/>
      <c r="B49" s="1879"/>
      <c r="C49" s="1920"/>
      <c r="D49" s="1920"/>
      <c r="E49" s="1920"/>
      <c r="F49" s="1920"/>
    </row>
    <row r="50" spans="1:6" ht="12" customHeight="1">
      <c r="A50" s="1874"/>
      <c r="B50" s="1879"/>
      <c r="C50" s="1920"/>
      <c r="D50" s="1920"/>
      <c r="E50" s="1920"/>
      <c r="F50" s="1920"/>
    </row>
    <row r="51" spans="1:6" ht="12" customHeight="1">
      <c r="A51" s="1874"/>
      <c r="B51" s="1879"/>
      <c r="C51" s="1920"/>
      <c r="D51" s="1920"/>
      <c r="E51" s="1920"/>
      <c r="F51" s="1920"/>
    </row>
    <row r="52" spans="1:6" ht="12" customHeight="1">
      <c r="A52" s="1874"/>
      <c r="B52" s="1879"/>
      <c r="C52" s="1920"/>
      <c r="D52" s="1920"/>
      <c r="E52" s="1920"/>
      <c r="F52" s="1920"/>
    </row>
    <row r="53" spans="1:6" ht="12" customHeight="1">
      <c r="A53" s="1874"/>
      <c r="B53" s="1879"/>
      <c r="C53" s="1920"/>
      <c r="D53" s="1920"/>
      <c r="E53" s="1920"/>
      <c r="F53" s="1920"/>
    </row>
    <row r="54" spans="1:6" ht="12" customHeight="1">
      <c r="A54" s="1874"/>
      <c r="B54" s="1879"/>
      <c r="C54" s="1920"/>
      <c r="D54" s="1920"/>
      <c r="E54" s="1920"/>
      <c r="F54" s="1920"/>
    </row>
    <row r="55" spans="1:6" ht="12" customHeight="1">
      <c r="A55" s="1874"/>
      <c r="B55" s="1879"/>
      <c r="C55" s="1920"/>
      <c r="D55" s="1920"/>
      <c r="E55" s="1920"/>
      <c r="F55" s="1920"/>
    </row>
    <row r="56" spans="1:6" ht="12" customHeight="1">
      <c r="A56" s="1874"/>
      <c r="B56" s="1879"/>
      <c r="C56" s="1920"/>
      <c r="D56" s="1920"/>
      <c r="E56" s="1920"/>
      <c r="F56" s="1920"/>
    </row>
    <row r="57" spans="1:6" ht="12" customHeight="1">
      <c r="A57" s="1874"/>
      <c r="B57" s="1879"/>
      <c r="C57" s="1920"/>
      <c r="D57" s="1920"/>
      <c r="E57" s="1920"/>
      <c r="F57" s="1920"/>
    </row>
    <row r="58" spans="1:6" ht="12" customHeight="1">
      <c r="A58" s="1874"/>
      <c r="B58" s="1879"/>
      <c r="C58" s="1920"/>
      <c r="D58" s="1920"/>
      <c r="E58" s="1920"/>
      <c r="F58" s="1920"/>
    </row>
    <row r="59" spans="1:6" ht="3" customHeight="1">
      <c r="A59" s="1874"/>
      <c r="B59" s="1879"/>
      <c r="C59" s="1920"/>
      <c r="D59" s="1920"/>
      <c r="E59" s="1920"/>
      <c r="F59" s="1920"/>
    </row>
    <row r="60" spans="1:6" ht="12" customHeight="1">
      <c r="A60" s="1874"/>
      <c r="B60" s="1879"/>
      <c r="C60" s="1920"/>
      <c r="D60" s="1920"/>
      <c r="E60" s="1920"/>
      <c r="F60" s="1920"/>
    </row>
    <row r="61" spans="1:6" ht="12" customHeight="1">
      <c r="A61" s="1921"/>
      <c r="B61" s="1921"/>
      <c r="C61" s="1922"/>
      <c r="D61" s="1922"/>
      <c r="E61" s="1922"/>
      <c r="F61" s="1922"/>
    </row>
    <row r="62" spans="1:6" ht="12" customHeight="1">
      <c r="A62" s="1874"/>
      <c r="B62" s="1879"/>
      <c r="C62" s="1920"/>
      <c r="D62" s="1920"/>
      <c r="E62" s="1920"/>
      <c r="F62" s="1920"/>
    </row>
    <row r="63" spans="1:6" ht="12" customHeight="1">
      <c r="A63" s="1874"/>
      <c r="B63" s="1879"/>
      <c r="C63" s="1920"/>
      <c r="D63" s="1920"/>
      <c r="E63" s="1920"/>
      <c r="F63" s="1920"/>
    </row>
    <row r="64" spans="1:6" ht="12" customHeight="1">
      <c r="A64" s="1874"/>
      <c r="B64" s="1879"/>
      <c r="C64" s="1920"/>
      <c r="D64" s="1920"/>
      <c r="E64" s="1920"/>
      <c r="F64" s="1920"/>
    </row>
    <row r="65" spans="1:6" ht="12" customHeight="1">
      <c r="A65" s="1874"/>
      <c r="B65" s="1879"/>
      <c r="C65" s="1920"/>
      <c r="D65" s="1920"/>
      <c r="E65" s="1920"/>
      <c r="F65" s="1920"/>
    </row>
    <row r="66" spans="1:6" ht="12" customHeight="1">
      <c r="A66" s="1874"/>
      <c r="B66" s="1879"/>
      <c r="C66" s="1920"/>
      <c r="D66" s="1920"/>
      <c r="E66" s="1920"/>
      <c r="F66" s="1920"/>
    </row>
    <row r="67" spans="1:6" ht="12" customHeight="1">
      <c r="A67" s="1874"/>
      <c r="B67" s="1879"/>
      <c r="C67" s="1920"/>
      <c r="D67" s="1920"/>
      <c r="E67" s="1920"/>
      <c r="F67" s="1920"/>
    </row>
    <row r="68" spans="1:6" ht="12" customHeight="1">
      <c r="A68" s="1874"/>
      <c r="B68" s="1879"/>
      <c r="C68" s="1920"/>
      <c r="D68" s="1920"/>
      <c r="E68" s="1920"/>
      <c r="F68" s="1920"/>
    </row>
    <row r="69" spans="1:6" ht="12" customHeight="1">
      <c r="A69" s="1874"/>
      <c r="B69" s="1879"/>
      <c r="C69" s="1920"/>
      <c r="D69" s="1920"/>
      <c r="E69" s="1920"/>
      <c r="F69" s="1920"/>
    </row>
    <row r="70" spans="1:6" ht="12" customHeight="1">
      <c r="A70" s="1874"/>
      <c r="B70" s="1879"/>
      <c r="C70" s="1920"/>
      <c r="D70" s="1920"/>
      <c r="E70" s="1920"/>
      <c r="F70" s="1920"/>
    </row>
    <row r="71" spans="1:6" ht="12" customHeight="1">
      <c r="A71" s="1874"/>
      <c r="B71" s="1879"/>
      <c r="C71" s="1920"/>
      <c r="D71" s="1920"/>
      <c r="E71" s="1920"/>
      <c r="F71" s="1920"/>
    </row>
    <row r="72" spans="1:6" ht="12" customHeight="1">
      <c r="A72" s="1874"/>
      <c r="B72" s="1879"/>
      <c r="C72" s="1920"/>
      <c r="D72" s="1920"/>
      <c r="E72" s="1920"/>
      <c r="F72" s="1920"/>
    </row>
    <row r="73" spans="1:6" ht="12" customHeight="1">
      <c r="A73" s="1874"/>
      <c r="B73" s="1879"/>
      <c r="C73" s="1920"/>
      <c r="D73" s="1920"/>
      <c r="E73" s="1920"/>
      <c r="F73" s="1920"/>
    </row>
    <row r="74" spans="1:6" ht="12" customHeight="1">
      <c r="A74" s="1874"/>
      <c r="B74" s="1879"/>
      <c r="C74" s="1920"/>
      <c r="D74" s="1920"/>
      <c r="E74" s="1920"/>
      <c r="F74" s="1920"/>
    </row>
    <row r="75" spans="1:6" ht="12" customHeight="1">
      <c r="A75" s="1874"/>
      <c r="B75" s="1879"/>
      <c r="C75" s="1920"/>
      <c r="D75" s="1920"/>
      <c r="E75" s="1920"/>
      <c r="F75" s="1920"/>
    </row>
    <row r="76" spans="1:6" ht="12" customHeight="1">
      <c r="A76" s="1874"/>
      <c r="B76" s="1879"/>
      <c r="C76" s="1920"/>
      <c r="D76" s="1920"/>
      <c r="E76" s="1920"/>
      <c r="F76" s="1920"/>
    </row>
    <row r="77" spans="1:6" ht="12" customHeight="1">
      <c r="A77" s="1874"/>
      <c r="B77" s="1879"/>
      <c r="C77" s="1920"/>
      <c r="D77" s="1920"/>
      <c r="E77" s="1920"/>
      <c r="F77" s="1920"/>
    </row>
    <row r="78" spans="1:6" ht="12" customHeight="1">
      <c r="A78" s="1874"/>
      <c r="B78" s="1879"/>
      <c r="C78" s="1920"/>
      <c r="D78" s="1920"/>
      <c r="E78" s="1920"/>
      <c r="F78" s="1920"/>
    </row>
    <row r="79" spans="1:6" ht="12" customHeight="1">
      <c r="A79" s="1874"/>
      <c r="B79" s="1879"/>
      <c r="C79" s="1920"/>
      <c r="D79" s="1920"/>
      <c r="E79" s="1920"/>
      <c r="F79" s="1920"/>
    </row>
    <row r="80" spans="1:6" ht="12" customHeight="1">
      <c r="A80" s="1874"/>
      <c r="B80" s="1879"/>
      <c r="C80" s="1920"/>
      <c r="D80" s="1920"/>
      <c r="E80" s="1920"/>
      <c r="F80" s="1920"/>
    </row>
    <row r="81" spans="1:6" ht="12" customHeight="1">
      <c r="A81" s="1874"/>
      <c r="B81" s="1879"/>
      <c r="C81" s="1920"/>
      <c r="D81" s="1920"/>
      <c r="E81" s="1920"/>
      <c r="F81" s="1920"/>
    </row>
    <row r="82" spans="1:6" ht="12" customHeight="1">
      <c r="A82" s="1874"/>
      <c r="B82" s="1879"/>
      <c r="C82" s="1920"/>
      <c r="D82" s="1920"/>
      <c r="E82" s="1920"/>
      <c r="F82" s="1920"/>
    </row>
    <row r="83" spans="1:6" ht="12" customHeight="1">
      <c r="A83" s="1874"/>
      <c r="B83" s="1879"/>
      <c r="C83" s="1920"/>
      <c r="D83" s="1920"/>
      <c r="E83" s="1920"/>
      <c r="F83" s="1920"/>
    </row>
    <row r="84" spans="1:6" ht="12" customHeight="1">
      <c r="A84" s="1874"/>
      <c r="B84" s="1879"/>
      <c r="C84" s="1920"/>
      <c r="D84" s="1920"/>
      <c r="E84" s="1920"/>
      <c r="F84" s="1920"/>
    </row>
    <row r="85" spans="1:6" ht="12" customHeight="1">
      <c r="A85" s="1874"/>
      <c r="B85" s="1879"/>
      <c r="C85" s="1920"/>
      <c r="D85" s="1920"/>
      <c r="E85" s="1920"/>
      <c r="F85" s="1920"/>
    </row>
    <row r="86" spans="1:6" ht="12" customHeight="1">
      <c r="A86" s="1874"/>
      <c r="B86" s="1879"/>
      <c r="C86" s="1920"/>
      <c r="D86" s="1920"/>
      <c r="E86" s="1920"/>
      <c r="F86" s="1920"/>
    </row>
    <row r="87" spans="1:6" ht="12" customHeight="1">
      <c r="A87" s="1874"/>
      <c r="B87" s="1879"/>
      <c r="C87" s="1920"/>
      <c r="D87" s="1920"/>
      <c r="E87" s="1920"/>
      <c r="F87" s="1920"/>
    </row>
    <row r="88" spans="1:6" ht="12" customHeight="1">
      <c r="A88" s="1874"/>
      <c r="B88" s="1879"/>
      <c r="C88" s="1920"/>
      <c r="D88" s="1920"/>
      <c r="E88" s="1920"/>
      <c r="F88" s="1920"/>
    </row>
    <row r="89" spans="1:6" ht="12" customHeight="1">
      <c r="A89" s="1874"/>
      <c r="B89" s="1879"/>
      <c r="C89" s="1920"/>
      <c r="D89" s="1920"/>
      <c r="E89" s="1920"/>
      <c r="F89" s="1920"/>
    </row>
    <row r="90" spans="1:6" ht="12" customHeight="1">
      <c r="A90" s="1874"/>
      <c r="B90" s="1879"/>
      <c r="C90" s="1920"/>
      <c r="D90" s="1920"/>
      <c r="E90" s="1920"/>
      <c r="F90" s="1920"/>
    </row>
    <row r="91" spans="1:6" ht="12" customHeight="1">
      <c r="A91" s="1874"/>
      <c r="B91" s="1879"/>
      <c r="C91" s="1920"/>
      <c r="D91" s="1920"/>
      <c r="E91" s="1920"/>
      <c r="F91" s="1920"/>
    </row>
    <row r="92" spans="1:6" ht="12" customHeight="1">
      <c r="A92" s="1874"/>
      <c r="B92" s="1879"/>
      <c r="C92" s="1920"/>
      <c r="D92" s="1920"/>
      <c r="E92" s="1920"/>
      <c r="F92" s="1920"/>
    </row>
    <row r="93" spans="1:6" ht="12" customHeight="1">
      <c r="A93" s="1874"/>
      <c r="B93" s="1879"/>
      <c r="C93" s="1920"/>
      <c r="D93" s="1920"/>
      <c r="E93" s="1920"/>
      <c r="F93" s="1920"/>
    </row>
    <row r="94" spans="1:6" ht="12" customHeight="1">
      <c r="A94" s="1874"/>
      <c r="B94" s="1879"/>
      <c r="C94" s="1920"/>
      <c r="D94" s="1920"/>
      <c r="E94" s="1920"/>
      <c r="F94" s="1920"/>
    </row>
    <row r="95" spans="1:6" ht="12" customHeight="1">
      <c r="A95" s="1874"/>
      <c r="B95" s="1879"/>
      <c r="C95" s="1920"/>
      <c r="D95" s="1920"/>
      <c r="E95" s="1920"/>
      <c r="F95" s="1920"/>
    </row>
    <row r="96" spans="1:6" ht="12" customHeight="1">
      <c r="A96" s="1874"/>
      <c r="B96" s="1879"/>
      <c r="C96" s="1920"/>
      <c r="D96" s="1920"/>
      <c r="E96" s="1920"/>
      <c r="F96" s="1920"/>
    </row>
    <row r="97" spans="1:6" ht="12" customHeight="1">
      <c r="A97" s="1874"/>
      <c r="B97" s="1879"/>
      <c r="C97" s="1920"/>
      <c r="D97" s="1920"/>
      <c r="E97" s="1920"/>
      <c r="F97" s="1920"/>
    </row>
    <row r="98" spans="1:6" ht="12" customHeight="1">
      <c r="A98" s="1874"/>
      <c r="B98" s="1879"/>
      <c r="C98" s="1920"/>
      <c r="D98" s="1920"/>
      <c r="E98" s="1920"/>
      <c r="F98" s="1920"/>
    </row>
    <row r="99" spans="1:6" ht="12" customHeight="1">
      <c r="A99" s="1874"/>
      <c r="B99" s="1879"/>
      <c r="C99" s="1920"/>
      <c r="D99" s="1920"/>
      <c r="E99" s="1920"/>
      <c r="F99" s="1920"/>
    </row>
    <row r="100" spans="1:6" ht="12" customHeight="1">
      <c r="A100" s="1874"/>
      <c r="B100" s="1879"/>
      <c r="C100" s="1920"/>
      <c r="D100" s="1920"/>
      <c r="E100" s="1920"/>
      <c r="F100" s="1920"/>
    </row>
    <row r="101" spans="1:6" ht="12" customHeight="1">
      <c r="A101" s="1874"/>
      <c r="B101" s="1879"/>
      <c r="C101" s="1920"/>
      <c r="D101" s="1920"/>
      <c r="E101" s="1920"/>
      <c r="F101" s="1920"/>
    </row>
    <row r="102" spans="1:6" ht="12" customHeight="1">
      <c r="A102" s="1874"/>
      <c r="B102" s="1879"/>
      <c r="C102" s="1920"/>
      <c r="D102" s="1920"/>
      <c r="E102" s="1920"/>
      <c r="F102" s="1920"/>
    </row>
    <row r="103" spans="1:6" ht="12" customHeight="1">
      <c r="A103" s="1874"/>
      <c r="B103" s="1879"/>
      <c r="C103" s="1920"/>
      <c r="D103" s="1920"/>
      <c r="E103" s="1920"/>
      <c r="F103" s="1920"/>
    </row>
    <row r="104" spans="1:6" ht="12" customHeight="1">
      <c r="A104" s="1874"/>
      <c r="B104" s="1879"/>
      <c r="C104" s="1920"/>
      <c r="D104" s="1920"/>
      <c r="E104" s="1920"/>
      <c r="F104" s="1920"/>
    </row>
    <row r="105" spans="1:6" ht="12" customHeight="1">
      <c r="A105" s="1874"/>
      <c r="B105" s="1879"/>
      <c r="C105" s="1920"/>
      <c r="D105" s="1920"/>
      <c r="E105" s="1920"/>
      <c r="F105" s="1920"/>
    </row>
    <row r="106" spans="1:6" ht="12" customHeight="1">
      <c r="A106" s="1874"/>
      <c r="B106" s="1879"/>
      <c r="C106" s="1920"/>
      <c r="D106" s="1920"/>
      <c r="E106" s="1920"/>
      <c r="F106" s="1920"/>
    </row>
    <row r="107" spans="1:6" ht="12" customHeight="1">
      <c r="A107" s="1874"/>
      <c r="B107" s="1879"/>
      <c r="C107" s="1920"/>
      <c r="D107" s="1920"/>
      <c r="E107" s="1920"/>
      <c r="F107" s="1920"/>
    </row>
    <row r="108" spans="1:6" ht="12" customHeight="1">
      <c r="A108" s="1874"/>
      <c r="B108" s="1879"/>
      <c r="C108" s="1920"/>
      <c r="D108" s="1920"/>
      <c r="E108" s="1920"/>
      <c r="F108" s="1920"/>
    </row>
    <row r="109" spans="1:6" ht="12" customHeight="1">
      <c r="A109" s="1874"/>
      <c r="B109" s="1879"/>
      <c r="C109" s="1920"/>
      <c r="D109" s="1920"/>
      <c r="E109" s="1920"/>
      <c r="F109" s="1920"/>
    </row>
    <row r="110" spans="1:6" ht="12" customHeight="1">
      <c r="A110" s="1874"/>
      <c r="B110" s="1879"/>
      <c r="C110" s="1920"/>
      <c r="D110" s="1920"/>
      <c r="E110" s="1920"/>
      <c r="F110" s="1920"/>
    </row>
    <row r="111" spans="1:6" ht="12" customHeight="1">
      <c r="A111" s="1874"/>
      <c r="B111" s="1879"/>
      <c r="C111" s="1920"/>
      <c r="D111" s="1920"/>
      <c r="E111" s="1920"/>
      <c r="F111" s="1920"/>
    </row>
    <row r="112" spans="1:6" ht="12" customHeight="1">
      <c r="A112" s="1874"/>
      <c r="B112" s="1879"/>
      <c r="C112" s="1920"/>
      <c r="D112" s="1920"/>
      <c r="E112" s="1920"/>
      <c r="F112" s="1920"/>
    </row>
    <row r="113" spans="1:6" ht="12" customHeight="1">
      <c r="A113" s="1874"/>
      <c r="B113" s="1879"/>
      <c r="C113" s="1920"/>
      <c r="D113" s="1920"/>
      <c r="E113" s="1920"/>
      <c r="F113" s="1920"/>
    </row>
    <row r="114" spans="1:6" ht="12" customHeight="1">
      <c r="A114" s="1874"/>
      <c r="B114" s="1879"/>
      <c r="C114" s="1920"/>
      <c r="D114" s="1920"/>
      <c r="E114" s="1920"/>
      <c r="F114" s="1920"/>
    </row>
    <row r="115" spans="1:6" ht="12" customHeight="1">
      <c r="A115" s="1874"/>
      <c r="B115" s="1879"/>
      <c r="C115" s="1920"/>
      <c r="D115" s="1920"/>
      <c r="E115" s="1920"/>
      <c r="F115" s="1920"/>
    </row>
    <row r="116" spans="1:6" ht="12" customHeight="1">
      <c r="A116" s="1874"/>
      <c r="B116" s="1879"/>
      <c r="C116" s="1920"/>
      <c r="D116" s="1920"/>
      <c r="E116" s="1920"/>
      <c r="F116" s="1920"/>
    </row>
    <row r="117" spans="1:6" ht="12" customHeight="1">
      <c r="A117" s="1874"/>
      <c r="B117" s="1879"/>
      <c r="C117" s="1920"/>
      <c r="D117" s="1920"/>
      <c r="E117" s="1920"/>
      <c r="F117" s="1920"/>
    </row>
    <row r="118" spans="1:6" ht="12" customHeight="1">
      <c r="A118" s="1874"/>
      <c r="B118" s="1879"/>
      <c r="C118" s="1920"/>
      <c r="D118" s="1920"/>
      <c r="E118" s="1920"/>
      <c r="F118" s="1920"/>
    </row>
    <row r="119" spans="1:6" ht="12" customHeight="1">
      <c r="A119" s="1874"/>
      <c r="B119" s="1879"/>
      <c r="C119" s="1920"/>
      <c r="D119" s="1920"/>
      <c r="E119" s="1920"/>
      <c r="F119" s="1920"/>
    </row>
    <row r="120" spans="1:6" ht="12" customHeight="1">
      <c r="A120" s="1874"/>
      <c r="B120" s="1879"/>
      <c r="C120" s="1920"/>
      <c r="D120" s="1920"/>
      <c r="E120" s="1920"/>
      <c r="F120" s="1920"/>
    </row>
    <row r="121" spans="1:6" ht="5.0999999999999996" customHeight="1">
      <c r="A121" s="1874"/>
      <c r="B121" s="1879"/>
      <c r="C121" s="1920"/>
      <c r="D121" s="1920"/>
      <c r="E121" s="1920"/>
      <c r="F121" s="1920"/>
    </row>
    <row r="122" spans="1:6" ht="12" customHeight="1">
      <c r="A122" s="1874"/>
      <c r="B122" s="1879"/>
      <c r="C122" s="1920"/>
      <c r="D122" s="1920"/>
      <c r="E122" s="1920"/>
      <c r="F122" s="1920"/>
    </row>
    <row r="123" spans="1:6" ht="12" customHeight="1">
      <c r="A123" s="1874"/>
      <c r="B123" s="1879"/>
      <c r="C123" s="1920"/>
      <c r="D123" s="1920"/>
      <c r="E123" s="1920"/>
      <c r="F123" s="1920"/>
    </row>
    <row r="124" spans="1:6" ht="12" customHeight="1">
      <c r="A124" s="1874"/>
      <c r="B124" s="1879"/>
      <c r="C124" s="1920"/>
      <c r="D124" s="1920"/>
      <c r="E124" s="1920"/>
      <c r="F124" s="1920"/>
    </row>
    <row r="125" spans="1:6" ht="12" customHeight="1">
      <c r="A125" s="1874"/>
      <c r="B125" s="1879"/>
      <c r="C125" s="1920"/>
      <c r="D125" s="1920"/>
      <c r="E125" s="1920"/>
      <c r="F125" s="1920"/>
    </row>
    <row r="126" spans="1:6" ht="12" customHeight="1">
      <c r="A126" s="1874"/>
      <c r="B126" s="1879"/>
      <c r="C126" s="1920"/>
      <c r="D126" s="1920"/>
      <c r="E126" s="1920"/>
      <c r="F126" s="1920"/>
    </row>
    <row r="127" spans="1:6" ht="12" customHeight="1">
      <c r="A127" s="1874"/>
      <c r="B127" s="1879"/>
      <c r="C127" s="1920"/>
      <c r="D127" s="1920"/>
      <c r="E127" s="1920"/>
      <c r="F127" s="1920"/>
    </row>
    <row r="128" spans="1:6" ht="12" customHeight="1">
      <c r="A128" s="1874"/>
      <c r="B128" s="1879"/>
      <c r="C128" s="1920"/>
      <c r="D128" s="1920"/>
      <c r="E128" s="1920"/>
      <c r="F128" s="1920"/>
    </row>
    <row r="129" spans="1:6" ht="12" customHeight="1">
      <c r="A129" s="1874"/>
      <c r="B129" s="1879"/>
      <c r="C129" s="1920"/>
      <c r="D129" s="1920"/>
      <c r="E129" s="1920"/>
      <c r="F129" s="1920"/>
    </row>
    <row r="130" spans="1:6" ht="12" customHeight="1">
      <c r="A130" s="1874"/>
      <c r="B130" s="1879"/>
      <c r="C130" s="1920"/>
      <c r="D130" s="1920"/>
      <c r="E130" s="1920"/>
      <c r="F130" s="1920"/>
    </row>
    <row r="131" spans="1:6" ht="12" customHeight="1">
      <c r="A131" s="1874"/>
      <c r="B131" s="1879"/>
      <c r="C131" s="1920"/>
      <c r="D131" s="1920"/>
      <c r="E131" s="1920"/>
      <c r="F131" s="1920"/>
    </row>
    <row r="132" spans="1:6" ht="12" customHeight="1">
      <c r="A132" s="1874"/>
      <c r="B132" s="1879"/>
      <c r="C132" s="1920"/>
      <c r="D132" s="1920"/>
      <c r="E132" s="1920"/>
      <c r="F132" s="1920"/>
    </row>
    <row r="133" spans="1:6" ht="12" customHeight="1">
      <c r="A133" s="1874"/>
      <c r="B133" s="1879"/>
      <c r="C133" s="1920"/>
      <c r="D133" s="1920"/>
      <c r="E133" s="1920"/>
      <c r="F133" s="1920"/>
    </row>
    <row r="134" spans="1:6" ht="12" customHeight="1">
      <c r="A134" s="1874"/>
      <c r="B134" s="1879"/>
      <c r="C134" s="1920"/>
      <c r="D134" s="1920"/>
      <c r="E134" s="1920"/>
      <c r="F134" s="1920"/>
    </row>
    <row r="135" spans="1:6" ht="12" customHeight="1">
      <c r="A135" s="1874"/>
      <c r="B135" s="1879"/>
      <c r="C135" s="1920"/>
      <c r="D135" s="1920"/>
      <c r="E135" s="1920"/>
      <c r="F135" s="1920"/>
    </row>
    <row r="136" spans="1:6" ht="12" customHeight="1">
      <c r="A136" s="1874"/>
      <c r="B136" s="1879"/>
      <c r="C136" s="1920"/>
      <c r="D136" s="1920"/>
      <c r="E136" s="1920"/>
      <c r="F136" s="1920"/>
    </row>
    <row r="137" spans="1:6" ht="12" customHeight="1">
      <c r="A137" s="1874"/>
      <c r="B137" s="1879"/>
      <c r="C137" s="1920"/>
      <c r="D137" s="1920"/>
      <c r="E137" s="1920"/>
      <c r="F137" s="1920"/>
    </row>
    <row r="138" spans="1:6" ht="12" customHeight="1">
      <c r="A138" s="1874"/>
      <c r="B138" s="1879"/>
      <c r="C138" s="1920"/>
      <c r="D138" s="1920"/>
      <c r="E138" s="1920"/>
      <c r="F138" s="1920"/>
    </row>
    <row r="139" spans="1:6" ht="12" customHeight="1">
      <c r="A139" s="1874"/>
      <c r="B139" s="1879"/>
      <c r="C139" s="1920"/>
      <c r="D139" s="1920"/>
      <c r="E139" s="1920"/>
      <c r="F139" s="1920"/>
    </row>
    <row r="140" spans="1:6" ht="12" customHeight="1">
      <c r="A140" s="1874"/>
      <c r="B140" s="1879"/>
      <c r="C140" s="1920"/>
      <c r="D140" s="1920"/>
      <c r="E140" s="1920"/>
      <c r="F140" s="1920"/>
    </row>
    <row r="141" spans="1:6" ht="12" customHeight="1">
      <c r="A141" s="1874"/>
      <c r="B141" s="1879"/>
      <c r="C141" s="1920"/>
      <c r="D141" s="1920"/>
      <c r="E141" s="1920"/>
      <c r="F141" s="1920"/>
    </row>
    <row r="142" spans="1:6" ht="12" customHeight="1">
      <c r="A142" s="1874"/>
      <c r="B142" s="1879"/>
      <c r="C142" s="1920"/>
      <c r="D142" s="1920"/>
      <c r="E142" s="1920"/>
      <c r="F142" s="1920"/>
    </row>
    <row r="143" spans="1:6" ht="12" customHeight="1">
      <c r="A143" s="1874"/>
      <c r="B143" s="1879"/>
      <c r="C143" s="1920"/>
      <c r="D143" s="1920"/>
      <c r="E143" s="1920"/>
      <c r="F143" s="1920"/>
    </row>
    <row r="144" spans="1:6" ht="12" customHeight="1">
      <c r="A144" s="1874"/>
      <c r="B144" s="1879"/>
      <c r="C144" s="1920"/>
      <c r="D144" s="1920"/>
      <c r="E144" s="1920"/>
      <c r="F144" s="1920"/>
    </row>
    <row r="145" spans="1:6" ht="12" customHeight="1">
      <c r="A145" s="1874"/>
      <c r="B145" s="1879"/>
      <c r="C145" s="1920"/>
      <c r="D145" s="1920"/>
      <c r="E145" s="1920"/>
      <c r="F145" s="1920"/>
    </row>
    <row r="146" spans="1:6" ht="12" customHeight="1">
      <c r="A146" s="1874"/>
      <c r="B146" s="1879"/>
      <c r="C146" s="1920"/>
      <c r="D146" s="1920"/>
      <c r="E146" s="1920"/>
      <c r="F146" s="1920"/>
    </row>
    <row r="147" spans="1:6" ht="12" customHeight="1">
      <c r="A147" s="1874"/>
      <c r="B147" s="1879"/>
      <c r="C147" s="1920"/>
      <c r="D147" s="1920"/>
      <c r="E147" s="1920"/>
      <c r="F147" s="1920"/>
    </row>
    <row r="148" spans="1:6" ht="12" customHeight="1">
      <c r="A148" s="1874"/>
      <c r="B148" s="1879"/>
      <c r="C148" s="1920"/>
      <c r="D148" s="1920"/>
      <c r="E148" s="1920"/>
      <c r="F148" s="1920"/>
    </row>
    <row r="149" spans="1:6" ht="12" customHeight="1">
      <c r="A149" s="1874"/>
      <c r="B149" s="1879"/>
      <c r="C149" s="1920"/>
      <c r="D149" s="1920"/>
      <c r="E149" s="1920"/>
      <c r="F149" s="1920"/>
    </row>
    <row r="150" spans="1:6" ht="12" customHeight="1">
      <c r="A150" s="1874"/>
      <c r="B150" s="1879"/>
      <c r="C150" s="1920"/>
      <c r="D150" s="1920"/>
      <c r="E150" s="1920"/>
      <c r="F150" s="1920"/>
    </row>
    <row r="151" spans="1:6" ht="12" customHeight="1">
      <c r="A151" s="1874"/>
      <c r="B151" s="1879"/>
      <c r="C151" s="1920"/>
      <c r="D151" s="1920"/>
      <c r="E151" s="1920"/>
      <c r="F151" s="1920"/>
    </row>
    <row r="152" spans="1:6" ht="12" customHeight="1">
      <c r="A152" s="1874"/>
      <c r="B152" s="1879"/>
      <c r="C152" s="1920"/>
      <c r="D152" s="1920"/>
      <c r="E152" s="1920"/>
      <c r="F152" s="1920"/>
    </row>
    <row r="153" spans="1:6" ht="12" customHeight="1">
      <c r="A153" s="1874"/>
      <c r="B153" s="1879"/>
      <c r="C153" s="1920"/>
      <c r="D153" s="1920"/>
      <c r="E153" s="1920"/>
      <c r="F153" s="1920"/>
    </row>
    <row r="154" spans="1:6" ht="12" customHeight="1">
      <c r="A154" s="1874"/>
      <c r="B154" s="1879"/>
      <c r="C154" s="1920"/>
      <c r="D154" s="1920"/>
      <c r="E154" s="1920"/>
      <c r="F154" s="1920"/>
    </row>
    <row r="155" spans="1:6" ht="12" customHeight="1">
      <c r="A155" s="1874"/>
      <c r="B155" s="1879"/>
      <c r="C155" s="1920"/>
      <c r="D155" s="1920"/>
      <c r="E155" s="1920"/>
      <c r="F155" s="1920"/>
    </row>
    <row r="156" spans="1:6" ht="12" customHeight="1">
      <c r="A156" s="1874"/>
      <c r="B156" s="1879"/>
      <c r="C156" s="1920"/>
      <c r="D156" s="1920"/>
      <c r="E156" s="1920"/>
      <c r="F156" s="1920"/>
    </row>
    <row r="157" spans="1:6" ht="12" customHeight="1">
      <c r="A157" s="1874"/>
      <c r="B157" s="1879"/>
      <c r="C157" s="1920"/>
      <c r="D157" s="1920"/>
      <c r="E157" s="1920"/>
      <c r="F157" s="1920"/>
    </row>
    <row r="158" spans="1:6" ht="12" customHeight="1">
      <c r="A158" s="1874"/>
      <c r="B158" s="1879"/>
      <c r="C158" s="1920"/>
      <c r="D158" s="1920"/>
      <c r="E158" s="1920"/>
      <c r="F158" s="1920"/>
    </row>
    <row r="159" spans="1:6" ht="12" customHeight="1">
      <c r="A159" s="1874"/>
      <c r="B159" s="1879"/>
      <c r="C159" s="1920"/>
      <c r="D159" s="1920"/>
      <c r="E159" s="1920"/>
      <c r="F159" s="1920"/>
    </row>
    <row r="160" spans="1:6" ht="12" customHeight="1">
      <c r="A160" s="1874"/>
      <c r="B160" s="1879"/>
      <c r="C160" s="1920"/>
      <c r="D160" s="1920"/>
      <c r="E160" s="1920"/>
      <c r="F160" s="1920"/>
    </row>
    <row r="161" spans="1:6" ht="12" customHeight="1">
      <c r="A161" s="1874"/>
      <c r="B161" s="1879"/>
      <c r="C161" s="1920"/>
      <c r="D161" s="1920"/>
      <c r="E161" s="1920"/>
      <c r="F161" s="1920"/>
    </row>
    <row r="162" spans="1:6" ht="12" customHeight="1">
      <c r="A162" s="1874"/>
      <c r="B162" s="1879"/>
      <c r="C162" s="1920"/>
      <c r="D162" s="1920"/>
      <c r="E162" s="1920"/>
      <c r="F162" s="1920"/>
    </row>
    <row r="163" spans="1:6" ht="12" customHeight="1">
      <c r="A163" s="1874"/>
      <c r="B163" s="1879"/>
      <c r="C163" s="1920"/>
      <c r="D163" s="1920"/>
      <c r="E163" s="1920"/>
      <c r="F163" s="1920"/>
    </row>
    <row r="164" spans="1:6" ht="12" customHeight="1">
      <c r="A164" s="1874"/>
      <c r="B164" s="1879"/>
      <c r="C164" s="1920"/>
      <c r="D164" s="1920"/>
      <c r="E164" s="1920"/>
      <c r="F164" s="1920"/>
    </row>
    <row r="165" spans="1:6" ht="12" customHeight="1">
      <c r="A165" s="1874"/>
      <c r="B165" s="1879"/>
      <c r="C165" s="1920"/>
      <c r="D165" s="1920"/>
      <c r="E165" s="1920"/>
      <c r="F165" s="1920"/>
    </row>
    <row r="166" spans="1:6" ht="12" customHeight="1">
      <c r="A166" s="1874"/>
      <c r="B166" s="1879"/>
      <c r="C166" s="1920"/>
      <c r="D166" s="1920"/>
      <c r="E166" s="1920"/>
      <c r="F166" s="1920"/>
    </row>
    <row r="167" spans="1:6" ht="12" customHeight="1">
      <c r="A167" s="1874"/>
      <c r="B167" s="1879"/>
      <c r="C167" s="1920"/>
      <c r="D167" s="1920"/>
      <c r="E167" s="1920"/>
      <c r="F167" s="1920"/>
    </row>
    <row r="168" spans="1:6" ht="12" customHeight="1">
      <c r="A168" s="1874"/>
      <c r="B168" s="1879"/>
      <c r="C168" s="1920"/>
      <c r="D168" s="1920"/>
      <c r="E168" s="1920"/>
      <c r="F168" s="1920"/>
    </row>
    <row r="169" spans="1:6" ht="12" customHeight="1">
      <c r="A169" s="1874"/>
      <c r="B169" s="1879"/>
      <c r="C169" s="1920"/>
      <c r="D169" s="1920"/>
      <c r="E169" s="1920"/>
      <c r="F169" s="1920"/>
    </row>
    <row r="170" spans="1:6" ht="12" customHeight="1">
      <c r="A170" s="1874"/>
      <c r="B170" s="1879"/>
      <c r="C170" s="1920"/>
      <c r="D170" s="1920"/>
      <c r="E170" s="1920"/>
      <c r="F170" s="1920"/>
    </row>
    <row r="171" spans="1:6" ht="12" customHeight="1">
      <c r="A171" s="1874"/>
      <c r="B171" s="1879"/>
      <c r="C171" s="1920"/>
      <c r="D171" s="1920"/>
      <c r="E171" s="1920"/>
      <c r="F171" s="1920"/>
    </row>
    <row r="172" spans="1:6" ht="12" customHeight="1">
      <c r="A172" s="1874"/>
      <c r="B172" s="1879"/>
      <c r="C172" s="1920"/>
      <c r="D172" s="1920"/>
      <c r="E172" s="1920"/>
      <c r="F172" s="1920"/>
    </row>
    <row r="173" spans="1:6" ht="12" customHeight="1">
      <c r="A173" s="1874"/>
      <c r="B173" s="1879"/>
      <c r="C173" s="1920"/>
      <c r="D173" s="1920"/>
      <c r="E173" s="1920"/>
      <c r="F173" s="1920"/>
    </row>
    <row r="174" spans="1:6" ht="12" customHeight="1">
      <c r="A174" s="1874"/>
      <c r="B174" s="1879"/>
      <c r="C174" s="1920"/>
      <c r="D174" s="1920"/>
      <c r="E174" s="1920"/>
      <c r="F174" s="1920"/>
    </row>
    <row r="175" spans="1:6" ht="12" customHeight="1">
      <c r="A175" s="1874"/>
      <c r="B175" s="1879"/>
      <c r="C175" s="1920"/>
      <c r="D175" s="1920"/>
      <c r="E175" s="1920"/>
      <c r="F175" s="1920"/>
    </row>
    <row r="176" spans="1:6" ht="12" customHeight="1">
      <c r="A176" s="1874"/>
      <c r="B176" s="1879"/>
      <c r="C176" s="1920"/>
      <c r="D176" s="1920"/>
      <c r="E176" s="1920"/>
      <c r="F176" s="1920"/>
    </row>
    <row r="177" spans="1:6" ht="12" customHeight="1">
      <c r="A177" s="1874"/>
      <c r="B177" s="1879"/>
      <c r="C177" s="1920"/>
      <c r="D177" s="1920"/>
      <c r="E177" s="1920"/>
      <c r="F177" s="1920"/>
    </row>
    <row r="178" spans="1:6" ht="12" customHeight="1">
      <c r="A178" s="1874"/>
      <c r="B178" s="1879"/>
      <c r="C178" s="1920"/>
      <c r="D178" s="1920"/>
      <c r="E178" s="1920"/>
      <c r="F178" s="1920"/>
    </row>
    <row r="179" spans="1:6" ht="12" customHeight="1">
      <c r="A179" s="1874"/>
      <c r="B179" s="1879"/>
      <c r="C179" s="1920"/>
      <c r="D179" s="1920"/>
      <c r="E179" s="1920"/>
      <c r="F179" s="1920"/>
    </row>
    <row r="180" spans="1:6" ht="12" customHeight="1">
      <c r="A180" s="1874"/>
      <c r="B180" s="1879"/>
      <c r="C180" s="1920"/>
      <c r="D180" s="1920"/>
      <c r="E180" s="1920"/>
      <c r="F180" s="1920"/>
    </row>
    <row r="181" spans="1:6" ht="12" customHeight="1">
      <c r="A181" s="1874"/>
      <c r="B181" s="1879"/>
      <c r="C181" s="1920"/>
      <c r="D181" s="1920"/>
      <c r="E181" s="1920"/>
      <c r="F181" s="1920"/>
    </row>
    <row r="182" spans="1:6" ht="12" customHeight="1">
      <c r="A182" s="1874"/>
      <c r="B182" s="1879"/>
      <c r="C182" s="1920"/>
      <c r="D182" s="1920"/>
      <c r="E182" s="1920"/>
      <c r="F182" s="1920"/>
    </row>
    <row r="183" spans="1:6" ht="12" customHeight="1">
      <c r="A183" s="1874"/>
      <c r="B183" s="1879"/>
      <c r="C183" s="1920"/>
      <c r="D183" s="1920"/>
      <c r="E183" s="1920"/>
      <c r="F183" s="1920"/>
    </row>
    <row r="184" spans="1:6" ht="12" customHeight="1">
      <c r="A184" s="1874"/>
      <c r="B184" s="1879"/>
      <c r="C184" s="1920"/>
      <c r="D184" s="1920"/>
      <c r="E184" s="1920"/>
      <c r="F184" s="1920"/>
    </row>
    <row r="185" spans="1:6" ht="12" customHeight="1">
      <c r="A185" s="1874"/>
      <c r="B185" s="1879"/>
      <c r="C185" s="1920"/>
      <c r="D185" s="1920"/>
      <c r="E185" s="1920"/>
      <c r="F185" s="1920"/>
    </row>
    <row r="186" spans="1:6" ht="12" customHeight="1">
      <c r="A186" s="1874"/>
      <c r="B186" s="1879"/>
      <c r="C186" s="1920"/>
      <c r="D186" s="1920"/>
      <c r="E186" s="1920"/>
      <c r="F186" s="1920"/>
    </row>
    <row r="187" spans="1:6" ht="12" customHeight="1">
      <c r="A187" s="1874"/>
      <c r="B187" s="1879"/>
      <c r="C187" s="1920"/>
      <c r="D187" s="1920"/>
      <c r="E187" s="1920"/>
      <c r="F187" s="1920"/>
    </row>
    <row r="188" spans="1:6" ht="12" customHeight="1">
      <c r="A188" s="1874"/>
      <c r="B188" s="1879"/>
      <c r="C188" s="1920"/>
      <c r="D188" s="1920"/>
      <c r="E188" s="1920"/>
      <c r="F188" s="1920"/>
    </row>
    <row r="189" spans="1:6" ht="12" customHeight="1">
      <c r="A189" s="1874"/>
      <c r="B189" s="1879"/>
      <c r="C189" s="1920"/>
      <c r="D189" s="1920"/>
      <c r="E189" s="1920"/>
      <c r="F189" s="1920"/>
    </row>
    <row r="190" spans="1:6" ht="12" customHeight="1">
      <c r="A190" s="1874"/>
      <c r="B190" s="1879"/>
      <c r="C190" s="1920"/>
      <c r="D190" s="1920"/>
      <c r="E190" s="1920"/>
      <c r="F190" s="1920"/>
    </row>
    <row r="191" spans="1:6" ht="12" customHeight="1">
      <c r="A191" s="1874"/>
      <c r="B191" s="1879"/>
      <c r="C191" s="1920"/>
      <c r="D191" s="1920"/>
      <c r="E191" s="1920"/>
      <c r="F191" s="1920"/>
    </row>
    <row r="192" spans="1:6" ht="12" customHeight="1">
      <c r="A192" s="1874"/>
      <c r="B192" s="1879"/>
      <c r="C192" s="1920"/>
      <c r="D192" s="1920"/>
      <c r="E192" s="1920"/>
      <c r="F192" s="1920"/>
    </row>
    <row r="193" spans="1:6" ht="12" customHeight="1">
      <c r="A193" s="1874"/>
      <c r="B193" s="1879"/>
      <c r="C193" s="1920"/>
      <c r="D193" s="1920"/>
      <c r="E193" s="1920"/>
      <c r="F193" s="1920"/>
    </row>
    <row r="194" spans="1:6" ht="12" customHeight="1">
      <c r="A194" s="1874"/>
      <c r="B194" s="1879"/>
      <c r="C194" s="1920"/>
      <c r="D194" s="1920"/>
      <c r="E194" s="1920"/>
      <c r="F194" s="1920"/>
    </row>
    <row r="195" spans="1:6" ht="12" customHeight="1">
      <c r="A195" s="1874"/>
      <c r="B195" s="1879"/>
      <c r="C195" s="1920"/>
      <c r="D195" s="1920"/>
      <c r="E195" s="1920"/>
      <c r="F195" s="1920"/>
    </row>
    <row r="196" spans="1:6" ht="12" customHeight="1">
      <c r="A196" s="1874"/>
      <c r="B196" s="1879"/>
      <c r="C196" s="1920"/>
      <c r="D196" s="1920"/>
      <c r="E196" s="1920"/>
      <c r="F196" s="1920"/>
    </row>
    <row r="197" spans="1:6" ht="12" customHeight="1">
      <c r="A197" s="1874"/>
      <c r="B197" s="1879"/>
      <c r="C197" s="1920"/>
      <c r="D197" s="1920"/>
      <c r="E197" s="1920"/>
      <c r="F197" s="1920"/>
    </row>
    <row r="198" spans="1:6" ht="12" customHeight="1">
      <c r="A198" s="1874"/>
      <c r="B198" s="1879"/>
      <c r="C198" s="1920"/>
      <c r="D198" s="1920"/>
      <c r="E198" s="1920"/>
      <c r="F198" s="1920"/>
    </row>
    <row r="199" spans="1:6" ht="12" customHeight="1">
      <c r="A199" s="1874"/>
      <c r="B199" s="1879"/>
      <c r="C199" s="1920"/>
      <c r="D199" s="1920"/>
      <c r="E199" s="1920"/>
      <c r="F199" s="1920"/>
    </row>
    <row r="200" spans="1:6" ht="12" customHeight="1">
      <c r="A200" s="1874"/>
      <c r="B200" s="1879"/>
      <c r="C200" s="1920"/>
      <c r="D200" s="1920"/>
      <c r="E200" s="1920"/>
      <c r="F200" s="1920"/>
    </row>
    <row r="201" spans="1:6" ht="12" customHeight="1">
      <c r="A201" s="1874"/>
      <c r="B201" s="1879"/>
      <c r="C201" s="1920"/>
      <c r="D201" s="1920"/>
      <c r="E201" s="1920"/>
      <c r="F201" s="1920"/>
    </row>
    <row r="202" spans="1:6" ht="12" customHeight="1">
      <c r="A202" s="1874"/>
      <c r="B202" s="1879"/>
      <c r="C202" s="1920"/>
      <c r="D202" s="1920"/>
      <c r="E202" s="1920"/>
      <c r="F202" s="1920"/>
    </row>
    <row r="203" spans="1:6" ht="12" customHeight="1">
      <c r="A203" s="1874"/>
      <c r="B203" s="1879"/>
      <c r="C203" s="1920"/>
      <c r="D203" s="1920"/>
      <c r="E203" s="1920"/>
      <c r="F203" s="1920"/>
    </row>
    <row r="204" spans="1:6" ht="12" customHeight="1">
      <c r="A204" s="1874"/>
      <c r="B204" s="1879"/>
      <c r="C204" s="1920"/>
      <c r="D204" s="1920"/>
      <c r="E204" s="1920"/>
      <c r="F204" s="1920"/>
    </row>
    <row r="205" spans="1:6" ht="12" customHeight="1">
      <c r="A205" s="1874"/>
      <c r="B205" s="1879"/>
      <c r="C205" s="1920"/>
      <c r="D205" s="1920"/>
      <c r="E205" s="1920"/>
      <c r="F205" s="1920"/>
    </row>
    <row r="206" spans="1:6" ht="12" customHeight="1">
      <c r="A206" s="1874"/>
      <c r="B206" s="1879"/>
      <c r="C206" s="1920"/>
      <c r="D206" s="1920"/>
      <c r="E206" s="1920"/>
      <c r="F206" s="1920"/>
    </row>
    <row r="207" spans="1:6" ht="12" customHeight="1">
      <c r="A207" s="1874"/>
      <c r="B207" s="1879"/>
      <c r="C207" s="1920"/>
      <c r="D207" s="1920"/>
      <c r="E207" s="1920"/>
      <c r="F207" s="1920"/>
    </row>
    <row r="208" spans="1:6" ht="12" customHeight="1">
      <c r="A208" s="1874"/>
      <c r="B208" s="1879"/>
      <c r="C208" s="1920"/>
      <c r="D208" s="1920"/>
      <c r="E208" s="1920"/>
      <c r="F208" s="1920"/>
    </row>
    <row r="209" spans="1:6" ht="12" customHeight="1">
      <c r="A209" s="1874"/>
      <c r="B209" s="1879"/>
      <c r="C209" s="1920"/>
      <c r="D209" s="1920"/>
      <c r="E209" s="1920"/>
      <c r="F209" s="1920"/>
    </row>
    <row r="210" spans="1:6" ht="12" customHeight="1">
      <c r="A210" s="1874"/>
      <c r="B210" s="1879"/>
      <c r="C210" s="1920"/>
      <c r="D210" s="1920"/>
      <c r="E210" s="1920"/>
      <c r="F210" s="1920"/>
    </row>
    <row r="211" spans="1:6" ht="12" customHeight="1">
      <c r="A211" s="1874"/>
      <c r="B211" s="1879"/>
      <c r="C211" s="1920"/>
      <c r="D211" s="1920"/>
      <c r="E211" s="1920"/>
      <c r="F211" s="1920"/>
    </row>
    <row r="212" spans="1:6" ht="12" customHeight="1">
      <c r="A212" s="1874"/>
      <c r="B212" s="1879"/>
      <c r="C212" s="1920"/>
      <c r="D212" s="1920"/>
      <c r="E212" s="1920"/>
      <c r="F212" s="1920"/>
    </row>
    <row r="213" spans="1:6" ht="12" customHeight="1">
      <c r="A213" s="1874"/>
      <c r="B213" s="1879"/>
      <c r="C213" s="1920"/>
      <c r="D213" s="1920"/>
      <c r="E213" s="1920"/>
      <c r="F213" s="1920"/>
    </row>
    <row r="214" spans="1:6" ht="12" customHeight="1">
      <c r="A214" s="1874"/>
      <c r="B214" s="1879"/>
      <c r="C214" s="1920"/>
      <c r="D214" s="1920"/>
      <c r="E214" s="1920"/>
      <c r="F214" s="1920"/>
    </row>
    <row r="215" spans="1:6" ht="12" customHeight="1">
      <c r="A215" s="1874"/>
      <c r="B215" s="1879"/>
      <c r="C215" s="1920"/>
      <c r="D215" s="1920"/>
      <c r="E215" s="1920"/>
      <c r="F215" s="1920"/>
    </row>
    <row r="216" spans="1:6" ht="12" customHeight="1">
      <c r="A216" s="1874"/>
      <c r="B216" s="1879"/>
      <c r="C216" s="1920"/>
      <c r="D216" s="1920"/>
      <c r="E216" s="1920"/>
      <c r="F216" s="1920"/>
    </row>
    <row r="217" spans="1:6" ht="12" customHeight="1">
      <c r="A217" s="1874"/>
      <c r="B217" s="1879"/>
      <c r="C217" s="1920"/>
      <c r="D217" s="1920"/>
      <c r="E217" s="1920"/>
      <c r="F217" s="1920"/>
    </row>
    <row r="218" spans="1:6" ht="12" customHeight="1">
      <c r="A218" s="1874"/>
      <c r="B218" s="1879"/>
      <c r="C218" s="1920"/>
      <c r="D218" s="1920"/>
      <c r="E218" s="1920"/>
      <c r="F218" s="1920"/>
    </row>
    <row r="219" spans="1:6" ht="12" customHeight="1">
      <c r="A219" s="1874"/>
      <c r="B219" s="1879"/>
      <c r="C219" s="1920"/>
      <c r="D219" s="1920"/>
      <c r="E219" s="1920"/>
      <c r="F219" s="1920"/>
    </row>
    <row r="220" spans="1:6" ht="12" customHeight="1">
      <c r="A220" s="1874"/>
      <c r="B220" s="1879"/>
      <c r="C220" s="1920"/>
      <c r="D220" s="1920"/>
      <c r="E220" s="1920"/>
      <c r="F220" s="1920"/>
    </row>
    <row r="221" spans="1:6" ht="12" customHeight="1">
      <c r="A221" s="1874"/>
      <c r="B221" s="1879"/>
      <c r="C221" s="1920"/>
      <c r="D221" s="1920"/>
      <c r="E221" s="1920"/>
      <c r="F221" s="1920"/>
    </row>
    <row r="222" spans="1:6" ht="12" customHeight="1">
      <c r="A222" s="1874"/>
      <c r="B222" s="1879"/>
      <c r="C222" s="1920"/>
      <c r="D222" s="1920"/>
      <c r="E222" s="1920"/>
      <c r="F222" s="1920"/>
    </row>
    <row r="223" spans="1:6" ht="12" customHeight="1">
      <c r="A223" s="1874"/>
      <c r="B223" s="1879"/>
      <c r="C223" s="1920"/>
      <c r="D223" s="1920"/>
      <c r="E223" s="1920"/>
      <c r="F223" s="1920"/>
    </row>
    <row r="224" spans="1:6" ht="12" customHeight="1">
      <c r="A224" s="1874"/>
      <c r="B224" s="1879"/>
      <c r="C224" s="1920"/>
      <c r="D224" s="1920"/>
      <c r="E224" s="1920"/>
      <c r="F224" s="1920"/>
    </row>
    <row r="225" spans="1:6" ht="12" customHeight="1">
      <c r="A225" s="1874"/>
      <c r="B225" s="1879"/>
      <c r="C225" s="1920"/>
      <c r="D225" s="1920"/>
      <c r="E225" s="1920"/>
      <c r="F225" s="1920"/>
    </row>
    <row r="226" spans="1:6" ht="12" customHeight="1">
      <c r="A226" s="1874"/>
      <c r="B226" s="1879"/>
      <c r="C226" s="1920"/>
      <c r="D226" s="1920"/>
      <c r="E226" s="1920"/>
      <c r="F226" s="1920"/>
    </row>
    <row r="227" spans="1:6" ht="12" customHeight="1">
      <c r="A227" s="1874"/>
      <c r="B227" s="1879"/>
      <c r="C227" s="1920"/>
      <c r="D227" s="1920"/>
      <c r="E227" s="1920"/>
      <c r="F227" s="1920"/>
    </row>
    <row r="228" spans="1:6" ht="12" customHeight="1">
      <c r="A228" s="1874"/>
      <c r="B228" s="1879"/>
      <c r="C228" s="1920"/>
      <c r="D228" s="1920"/>
      <c r="E228" s="1920"/>
      <c r="F228" s="1920"/>
    </row>
    <row r="229" spans="1:6" ht="12" customHeight="1">
      <c r="A229" s="1874"/>
      <c r="B229" s="1879"/>
      <c r="C229" s="1920"/>
      <c r="D229" s="1920"/>
      <c r="E229" s="1920"/>
      <c r="F229" s="1920"/>
    </row>
    <row r="230" spans="1:6" ht="12" customHeight="1">
      <c r="A230" s="1874"/>
      <c r="B230" s="1879"/>
      <c r="C230" s="1920"/>
      <c r="D230" s="1920"/>
      <c r="E230" s="1920"/>
      <c r="F230" s="1920"/>
    </row>
    <row r="231" spans="1:6" ht="12" customHeight="1">
      <c r="A231" s="1874"/>
      <c r="B231" s="1879"/>
      <c r="C231" s="1920"/>
      <c r="D231" s="1920"/>
      <c r="E231" s="1920"/>
      <c r="F231" s="1920"/>
    </row>
    <row r="232" spans="1:6" ht="12" customHeight="1">
      <c r="A232" s="1874"/>
      <c r="B232" s="1879"/>
      <c r="C232" s="1920"/>
      <c r="D232" s="1920"/>
      <c r="E232" s="1920"/>
      <c r="F232" s="1920"/>
    </row>
    <row r="233" spans="1:6" ht="12" customHeight="1">
      <c r="A233" s="1874"/>
      <c r="B233" s="1879"/>
      <c r="C233" s="1920"/>
      <c r="D233" s="1920"/>
      <c r="E233" s="1920"/>
      <c r="F233" s="1920"/>
    </row>
    <row r="234" spans="1:6" ht="12" customHeight="1">
      <c r="A234" s="1874"/>
      <c r="B234" s="1879"/>
      <c r="C234" s="1920"/>
      <c r="D234" s="1920"/>
      <c r="E234" s="1920"/>
      <c r="F234" s="1920"/>
    </row>
    <row r="235" spans="1:6" ht="12" customHeight="1">
      <c r="A235" s="1874"/>
      <c r="B235" s="1879"/>
      <c r="C235" s="1920"/>
      <c r="D235" s="1920"/>
      <c r="E235" s="1920"/>
      <c r="F235" s="1920"/>
    </row>
    <row r="236" spans="1:6" ht="12" customHeight="1">
      <c r="A236" s="1874"/>
      <c r="B236" s="1879"/>
      <c r="C236" s="1920"/>
      <c r="D236" s="1920"/>
      <c r="E236" s="1920"/>
      <c r="F236" s="1920"/>
    </row>
    <row r="237" spans="1:6" ht="12" customHeight="1">
      <c r="A237" s="1874"/>
      <c r="B237" s="1879"/>
      <c r="C237" s="1920"/>
      <c r="D237" s="1920"/>
      <c r="E237" s="1920"/>
      <c r="F237" s="1920"/>
    </row>
    <row r="238" spans="1:6" ht="12" customHeight="1">
      <c r="A238" s="1874"/>
      <c r="B238" s="1879"/>
      <c r="C238" s="1920"/>
      <c r="D238" s="1920"/>
      <c r="E238" s="1920"/>
      <c r="F238" s="1920"/>
    </row>
    <row r="239" spans="1:6" ht="12" customHeight="1">
      <c r="A239" s="1874"/>
      <c r="B239" s="1879"/>
      <c r="C239" s="1920"/>
      <c r="D239" s="1920"/>
      <c r="E239" s="1920"/>
      <c r="F239" s="1920"/>
    </row>
    <row r="240" spans="1:6" ht="12" customHeight="1">
      <c r="A240" s="1874"/>
      <c r="B240" s="1879"/>
      <c r="C240" s="1920"/>
      <c r="D240" s="1920"/>
      <c r="E240" s="1920"/>
      <c r="F240" s="1920"/>
    </row>
    <row r="241" spans="1:6" ht="12" customHeight="1">
      <c r="A241" s="1874"/>
      <c r="B241" s="1879"/>
      <c r="C241" s="1920"/>
      <c r="D241" s="1920"/>
      <c r="E241" s="1920"/>
      <c r="F241" s="1920"/>
    </row>
    <row r="242" spans="1:6" ht="12" customHeight="1">
      <c r="A242" s="1874"/>
      <c r="B242" s="1879"/>
      <c r="C242" s="1920"/>
      <c r="D242" s="1920"/>
      <c r="E242" s="1920"/>
      <c r="F242" s="1920"/>
    </row>
    <row r="243" spans="1:6" ht="12" customHeight="1">
      <c r="A243" s="1874"/>
      <c r="B243" s="1879"/>
      <c r="C243" s="1920"/>
      <c r="D243" s="1920"/>
      <c r="E243" s="1920"/>
      <c r="F243" s="1920"/>
    </row>
    <row r="244" spans="1:6" ht="12" customHeight="1">
      <c r="A244" s="1874"/>
      <c r="B244" s="1879"/>
      <c r="C244" s="1920"/>
      <c r="D244" s="1920"/>
      <c r="E244" s="1920"/>
      <c r="F244" s="1920"/>
    </row>
    <row r="245" spans="1:6" ht="12" customHeight="1">
      <c r="A245" s="1874"/>
      <c r="B245" s="1879"/>
      <c r="C245" s="1920"/>
      <c r="D245" s="1920"/>
      <c r="E245" s="1920"/>
      <c r="F245" s="1920"/>
    </row>
    <row r="246" spans="1:6" ht="12" customHeight="1">
      <c r="A246" s="1874"/>
      <c r="B246" s="1879"/>
      <c r="C246" s="1920"/>
      <c r="D246" s="1920"/>
      <c r="E246" s="1920"/>
      <c r="F246" s="1920"/>
    </row>
    <row r="247" spans="1:6" ht="12" customHeight="1">
      <c r="A247" s="1874"/>
      <c r="B247" s="1879"/>
      <c r="C247" s="1920"/>
      <c r="D247" s="1920"/>
      <c r="E247" s="1920"/>
      <c r="F247" s="1920"/>
    </row>
    <row r="248" spans="1:6" ht="12" customHeight="1">
      <c r="A248" s="1874"/>
      <c r="B248" s="1879"/>
      <c r="C248" s="1920"/>
      <c r="D248" s="1920"/>
      <c r="E248" s="1920"/>
      <c r="F248" s="1920"/>
    </row>
    <row r="249" spans="1:6" ht="12" customHeight="1">
      <c r="A249" s="1874"/>
      <c r="B249" s="1879"/>
      <c r="C249" s="1920"/>
      <c r="D249" s="1920"/>
      <c r="E249" s="1920"/>
      <c r="F249" s="1920"/>
    </row>
    <row r="250" spans="1:6" ht="12" customHeight="1">
      <c r="A250" s="1874"/>
      <c r="B250" s="1879"/>
      <c r="C250" s="1920"/>
      <c r="D250" s="1920"/>
      <c r="E250" s="1920"/>
      <c r="F250" s="1920"/>
    </row>
    <row r="251" spans="1:6" ht="12" customHeight="1">
      <c r="A251" s="1874"/>
      <c r="B251" s="1879"/>
      <c r="C251" s="1920"/>
      <c r="D251" s="1920"/>
      <c r="E251" s="1920"/>
      <c r="F251" s="1920"/>
    </row>
    <row r="252" spans="1:6" ht="12" customHeight="1">
      <c r="A252" s="1874"/>
      <c r="B252" s="1879"/>
      <c r="C252" s="1920"/>
      <c r="D252" s="1920"/>
      <c r="E252" s="1920"/>
      <c r="F252" s="1920"/>
    </row>
    <row r="253" spans="1:6" ht="12" customHeight="1">
      <c r="A253" s="1874"/>
      <c r="B253" s="1879"/>
      <c r="C253" s="1920"/>
      <c r="D253" s="1920"/>
      <c r="E253" s="1920"/>
      <c r="F253" s="1920"/>
    </row>
    <row r="254" spans="1:6" ht="12" customHeight="1">
      <c r="A254" s="1874"/>
      <c r="B254" s="1879"/>
      <c r="C254" s="1920"/>
      <c r="D254" s="1920"/>
      <c r="E254" s="1920"/>
      <c r="F254" s="1920"/>
    </row>
    <row r="255" spans="1:6" ht="12" customHeight="1">
      <c r="A255" s="1874"/>
      <c r="B255" s="1879"/>
      <c r="C255" s="1920"/>
      <c r="D255" s="1920"/>
      <c r="E255" s="1920"/>
      <c r="F255" s="1920"/>
    </row>
    <row r="256" spans="1:6" ht="12" customHeight="1">
      <c r="A256" s="1874"/>
      <c r="B256" s="1879"/>
      <c r="C256" s="1920"/>
      <c r="D256" s="1920"/>
      <c r="E256" s="1920"/>
      <c r="F256" s="1920"/>
    </row>
    <row r="257" spans="1:6" ht="12" customHeight="1">
      <c r="A257" s="1874"/>
      <c r="B257" s="1879"/>
      <c r="C257" s="1920"/>
      <c r="D257" s="1920"/>
      <c r="E257" s="1920"/>
      <c r="F257" s="1920"/>
    </row>
    <row r="258" spans="1:6" ht="12" customHeight="1">
      <c r="A258" s="1874"/>
      <c r="B258" s="1879"/>
      <c r="C258" s="1920"/>
      <c r="D258" s="1920"/>
      <c r="E258" s="1920"/>
      <c r="F258" s="1920"/>
    </row>
    <row r="259" spans="1:6" ht="12" customHeight="1">
      <c r="A259" s="1874"/>
      <c r="B259" s="1879"/>
      <c r="C259" s="1920"/>
      <c r="D259" s="1920"/>
      <c r="E259" s="1920"/>
      <c r="F259" s="1920"/>
    </row>
    <row r="260" spans="1:6" ht="12" customHeight="1">
      <c r="A260" s="1874"/>
      <c r="B260" s="1879"/>
      <c r="C260" s="1920"/>
      <c r="D260" s="1920"/>
      <c r="E260" s="1920"/>
      <c r="F260" s="1920"/>
    </row>
    <row r="261" spans="1:6" ht="12" customHeight="1">
      <c r="A261" s="1874"/>
      <c r="B261" s="1879"/>
      <c r="C261" s="1920"/>
      <c r="D261" s="1920"/>
      <c r="E261" s="1920"/>
      <c r="F261" s="1920"/>
    </row>
    <row r="262" spans="1:6" ht="12" customHeight="1">
      <c r="A262" s="1874"/>
      <c r="B262" s="1879"/>
      <c r="C262" s="1920"/>
      <c r="D262" s="1920"/>
      <c r="E262" s="1920"/>
      <c r="F262" s="1920"/>
    </row>
    <row r="263" spans="1:6" ht="12" customHeight="1">
      <c r="A263" s="1874"/>
      <c r="B263" s="1879"/>
      <c r="C263" s="1920"/>
      <c r="D263" s="1920"/>
      <c r="E263" s="1920"/>
      <c r="F263" s="1920"/>
    </row>
    <row r="264" spans="1:6" ht="12" customHeight="1">
      <c r="A264" s="1874"/>
      <c r="B264" s="1879"/>
      <c r="C264" s="1920"/>
      <c r="D264" s="1920"/>
      <c r="E264" s="1920"/>
      <c r="F264" s="1920"/>
    </row>
    <row r="265" spans="1:6" ht="12" customHeight="1">
      <c r="A265" s="1874"/>
      <c r="B265" s="1879"/>
      <c r="C265" s="1920"/>
      <c r="D265" s="1920"/>
      <c r="E265" s="1920"/>
      <c r="F265" s="1920"/>
    </row>
    <row r="266" spans="1:6" ht="12" customHeight="1">
      <c r="A266" s="1874"/>
      <c r="B266" s="1879"/>
      <c r="C266" s="1920"/>
      <c r="D266" s="1920"/>
      <c r="E266" s="1920"/>
      <c r="F266" s="1920"/>
    </row>
    <row r="267" spans="1:6" ht="12" customHeight="1">
      <c r="A267" s="1874"/>
      <c r="B267" s="1879"/>
      <c r="C267" s="1920"/>
      <c r="D267" s="1920"/>
      <c r="E267" s="1920"/>
      <c r="F267" s="1920"/>
    </row>
    <row r="268" spans="1:6" ht="12" customHeight="1">
      <c r="A268" s="1874"/>
      <c r="B268" s="1879"/>
      <c r="C268" s="1920"/>
      <c r="D268" s="1920"/>
      <c r="E268" s="1920"/>
      <c r="F268" s="1920"/>
    </row>
    <row r="269" spans="1:6" ht="12" customHeight="1">
      <c r="A269" s="1874"/>
      <c r="B269" s="1879"/>
      <c r="C269" s="1920"/>
      <c r="D269" s="1920"/>
      <c r="E269" s="1920"/>
      <c r="F269" s="1920"/>
    </row>
    <row r="270" spans="1:6" ht="12" customHeight="1">
      <c r="A270" s="1874"/>
      <c r="B270" s="1879"/>
      <c r="C270" s="1920"/>
      <c r="D270" s="1920"/>
      <c r="E270" s="1920"/>
      <c r="F270" s="1920"/>
    </row>
    <row r="271" spans="1:6" ht="12" customHeight="1">
      <c r="A271" s="1874"/>
      <c r="B271" s="1879"/>
      <c r="C271" s="1920"/>
      <c r="D271" s="1920"/>
      <c r="E271" s="1920"/>
      <c r="F271" s="1920"/>
    </row>
    <row r="272" spans="1:6" ht="12" customHeight="1">
      <c r="A272" s="1874"/>
      <c r="B272" s="1879"/>
      <c r="C272" s="1920"/>
      <c r="D272" s="1920"/>
      <c r="E272" s="1920"/>
      <c r="F272" s="1920"/>
    </row>
    <row r="273" spans="1:6" ht="12" customHeight="1">
      <c r="A273" s="1874"/>
      <c r="B273" s="1879"/>
      <c r="C273" s="1920"/>
      <c r="D273" s="1920"/>
      <c r="E273" s="1920"/>
      <c r="F273" s="1920"/>
    </row>
    <row r="274" spans="1:6" ht="12" customHeight="1">
      <c r="A274" s="1874"/>
      <c r="B274" s="1879"/>
      <c r="C274" s="1920"/>
      <c r="D274" s="1920"/>
      <c r="E274" s="1920"/>
      <c r="F274" s="1920"/>
    </row>
    <row r="275" spans="1:6" ht="12" customHeight="1">
      <c r="A275" s="1874"/>
      <c r="B275" s="1879"/>
      <c r="C275" s="1920"/>
      <c r="D275" s="1920"/>
      <c r="E275" s="1920"/>
      <c r="F275" s="1920"/>
    </row>
    <row r="276" spans="1:6" ht="12" customHeight="1">
      <c r="A276" s="1874"/>
      <c r="B276" s="1879"/>
      <c r="C276" s="1920"/>
      <c r="D276" s="1920"/>
      <c r="E276" s="1920"/>
      <c r="F276" s="1920"/>
    </row>
    <row r="277" spans="1:6" ht="12" customHeight="1">
      <c r="A277" s="1874"/>
      <c r="B277" s="1879"/>
      <c r="C277" s="1920"/>
      <c r="D277" s="1920"/>
      <c r="E277" s="1920"/>
      <c r="F277" s="1920"/>
    </row>
    <row r="278" spans="1:6" ht="12" customHeight="1">
      <c r="A278" s="1874"/>
      <c r="B278" s="1879"/>
      <c r="C278" s="1920"/>
      <c r="D278" s="1920"/>
      <c r="E278" s="1920"/>
      <c r="F278" s="1920"/>
    </row>
    <row r="279" spans="1:6" ht="12" customHeight="1">
      <c r="A279" s="1874"/>
      <c r="B279" s="1879"/>
      <c r="C279" s="1920"/>
      <c r="D279" s="1920"/>
      <c r="E279" s="1920"/>
      <c r="F279" s="1920"/>
    </row>
    <row r="280" spans="1:6" ht="12" customHeight="1">
      <c r="A280" s="1874"/>
      <c r="B280" s="1879"/>
      <c r="C280" s="1920"/>
      <c r="D280" s="1920"/>
      <c r="E280" s="1920"/>
      <c r="F280" s="1920"/>
    </row>
    <row r="281" spans="1:6" ht="12" customHeight="1">
      <c r="A281" s="1874"/>
      <c r="B281" s="1879"/>
      <c r="C281" s="1920"/>
      <c r="D281" s="1920"/>
      <c r="E281" s="1920"/>
      <c r="F281" s="1920"/>
    </row>
    <row r="282" spans="1:6" ht="12" customHeight="1">
      <c r="A282" s="1874"/>
      <c r="B282" s="1879"/>
      <c r="C282" s="1920"/>
      <c r="D282" s="1920"/>
      <c r="E282" s="1920"/>
      <c r="F282" s="1920"/>
    </row>
    <row r="283" spans="1:6" ht="12" customHeight="1">
      <c r="A283" s="1874"/>
      <c r="B283" s="1879"/>
      <c r="C283" s="1920"/>
      <c r="D283" s="1920"/>
      <c r="E283" s="1920"/>
      <c r="F283" s="1920"/>
    </row>
    <row r="284" spans="1:6" ht="12" customHeight="1">
      <c r="A284" s="1874"/>
      <c r="B284" s="1879"/>
      <c r="C284" s="1920"/>
      <c r="D284" s="1920"/>
      <c r="E284" s="1920"/>
      <c r="F284" s="1920"/>
    </row>
    <row r="285" spans="1:6" ht="12" customHeight="1">
      <c r="A285" s="1874"/>
      <c r="B285" s="1879"/>
      <c r="C285" s="1920"/>
      <c r="D285" s="1920"/>
      <c r="E285" s="1920"/>
      <c r="F285" s="1920"/>
    </row>
    <row r="286" spans="1:6" ht="12" customHeight="1">
      <c r="A286" s="1874"/>
      <c r="B286" s="1879"/>
      <c r="C286" s="1920"/>
      <c r="D286" s="1920"/>
      <c r="E286" s="1920"/>
      <c r="F286" s="1920"/>
    </row>
    <row r="287" spans="1:6" ht="12" customHeight="1">
      <c r="A287" s="1874"/>
      <c r="B287" s="1879"/>
      <c r="C287" s="1920"/>
      <c r="D287" s="1920"/>
      <c r="E287" s="1920"/>
      <c r="F287" s="1920"/>
    </row>
    <row r="288" spans="1:6" ht="12" customHeight="1">
      <c r="A288" s="1874"/>
      <c r="B288" s="1879"/>
      <c r="C288" s="1920"/>
      <c r="D288" s="1920"/>
      <c r="E288" s="1920"/>
      <c r="F288" s="1920"/>
    </row>
    <row r="289" spans="1:6" ht="12" customHeight="1">
      <c r="A289" s="1874"/>
      <c r="B289" s="1879"/>
      <c r="C289" s="1920"/>
      <c r="D289" s="1920"/>
      <c r="E289" s="1920"/>
      <c r="F289" s="1920"/>
    </row>
    <row r="290" spans="1:6" ht="12" customHeight="1">
      <c r="A290" s="1874"/>
      <c r="B290" s="1879"/>
      <c r="C290" s="1920"/>
      <c r="D290" s="1920"/>
      <c r="E290" s="1920"/>
      <c r="F290" s="1920"/>
    </row>
    <row r="291" spans="1:6" ht="12" customHeight="1">
      <c r="A291" s="1874"/>
      <c r="B291" s="1879"/>
      <c r="C291" s="1920"/>
      <c r="D291" s="1920"/>
      <c r="E291" s="1920"/>
      <c r="F291" s="1920"/>
    </row>
    <row r="292" spans="1:6" ht="12" customHeight="1">
      <c r="A292" s="1874"/>
      <c r="B292" s="1879"/>
      <c r="C292" s="1920"/>
      <c r="D292" s="1920"/>
      <c r="E292" s="1920"/>
      <c r="F292" s="1920"/>
    </row>
    <row r="293" spans="1:6" ht="12" customHeight="1">
      <c r="A293" s="1874"/>
      <c r="B293" s="1879"/>
      <c r="C293" s="1920"/>
      <c r="D293" s="1920"/>
      <c r="E293" s="1920"/>
      <c r="F293" s="1920"/>
    </row>
    <row r="294" spans="1:6" ht="12" customHeight="1">
      <c r="A294" s="1874"/>
      <c r="B294" s="1879"/>
      <c r="C294" s="1920"/>
      <c r="D294" s="1920"/>
      <c r="E294" s="1920"/>
      <c r="F294" s="1920"/>
    </row>
    <row r="295" spans="1:6" ht="12" customHeight="1">
      <c r="A295" s="1874"/>
      <c r="B295" s="1879"/>
      <c r="C295" s="1920"/>
      <c r="D295" s="1920"/>
      <c r="E295" s="1920"/>
      <c r="F295" s="1920"/>
    </row>
    <row r="296" spans="1:6" ht="12" customHeight="1">
      <c r="A296" s="1874"/>
      <c r="B296" s="1879"/>
      <c r="C296" s="1920"/>
      <c r="D296" s="1920"/>
      <c r="E296" s="1920"/>
      <c r="F296" s="1920"/>
    </row>
    <row r="297" spans="1:6" ht="12" customHeight="1">
      <c r="A297" s="1874"/>
      <c r="B297" s="1879"/>
      <c r="C297" s="1920"/>
      <c r="D297" s="1920"/>
      <c r="E297" s="1920"/>
      <c r="F297" s="1920"/>
    </row>
    <row r="298" spans="1:6" ht="12" customHeight="1">
      <c r="A298" s="1874"/>
      <c r="B298" s="1879"/>
      <c r="C298" s="1920"/>
      <c r="D298" s="1920"/>
      <c r="E298" s="1920"/>
      <c r="F298" s="1920"/>
    </row>
    <row r="299" spans="1:6" ht="12" customHeight="1">
      <c r="A299" s="1874"/>
      <c r="B299" s="1879"/>
      <c r="C299" s="1920"/>
      <c r="D299" s="1920"/>
      <c r="E299" s="1920"/>
      <c r="F299" s="1920"/>
    </row>
    <row r="300" spans="1:6" ht="12" customHeight="1">
      <c r="A300" s="1874"/>
      <c r="B300" s="1879"/>
      <c r="C300" s="1920"/>
      <c r="D300" s="1920"/>
      <c r="E300" s="1920"/>
      <c r="F300" s="1920"/>
    </row>
    <row r="301" spans="1:6" ht="12" customHeight="1">
      <c r="A301" s="1874"/>
      <c r="B301" s="1879"/>
      <c r="C301" s="1920"/>
      <c r="D301" s="1920"/>
      <c r="E301" s="1920"/>
      <c r="F301" s="1920"/>
    </row>
    <row r="302" spans="1:6" ht="12" customHeight="1">
      <c r="A302" s="1874"/>
      <c r="B302" s="1879"/>
      <c r="C302" s="1920"/>
      <c r="D302" s="1920"/>
      <c r="E302" s="1920"/>
      <c r="F302" s="1920"/>
    </row>
    <row r="303" spans="1:6" ht="12" customHeight="1">
      <c r="A303" s="1874"/>
      <c r="B303" s="1879"/>
      <c r="C303" s="1920"/>
      <c r="D303" s="1920"/>
      <c r="E303" s="1920"/>
      <c r="F303" s="1920"/>
    </row>
    <row r="304" spans="1:6" ht="12" customHeight="1">
      <c r="A304" s="1874"/>
      <c r="B304" s="1879"/>
      <c r="C304" s="1920"/>
      <c r="D304" s="1920"/>
      <c r="E304" s="1920"/>
      <c r="F304" s="1920"/>
    </row>
    <row r="305" spans="1:6" ht="12" customHeight="1">
      <c r="A305" s="1874"/>
      <c r="B305" s="1879"/>
      <c r="C305" s="1920"/>
      <c r="D305" s="1920"/>
      <c r="E305" s="1920"/>
      <c r="F305" s="1920"/>
    </row>
    <row r="306" spans="1:6" ht="12" customHeight="1">
      <c r="A306" s="1874"/>
      <c r="B306" s="1879"/>
      <c r="C306" s="1920"/>
      <c r="D306" s="1920"/>
      <c r="E306" s="1920"/>
      <c r="F306" s="1920"/>
    </row>
    <row r="307" spans="1:6" ht="12" customHeight="1">
      <c r="A307" s="1874"/>
      <c r="B307" s="1879"/>
      <c r="C307" s="1920"/>
      <c r="D307" s="1920"/>
      <c r="E307" s="1920"/>
      <c r="F307" s="1920"/>
    </row>
    <row r="308" spans="1:6" ht="12" customHeight="1">
      <c r="A308" s="1874"/>
      <c r="B308" s="1879"/>
      <c r="C308" s="1920"/>
      <c r="D308" s="1920"/>
      <c r="E308" s="1920"/>
      <c r="F308" s="1920"/>
    </row>
  </sheetData>
  <sheetProtection algorithmName="SHA-512" hashValue="A9tX2r0u7ol4UJeuCV0cHJv+aDuG7dcb2NHPUiC/bqalPggA11eX2l2ecjUzwjA+2ajPZxo+ATOg97mTUpak9w==" saltValue="ikYvfAFIew/r55xN0jVeCQ==" spinCount="100000" sheet="1" objects="1" scenarios="1"/>
  <phoneticPr fontId="10" type="noConversion"/>
  <dataValidations count="3">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zero." sqref="C13 C14:D14 C17:D17 C18:E18 F19 C21:D21 C23:D23 C27:D27 C32:E33 F35:F36">
      <formula1>0</formula1>
    </dataValidation>
    <dataValidation type="whole" operator="greaterThanOrEqual" allowBlank="1" showInputMessage="1" showErrorMessage="1" errorTitle="Invalid Data Entry" error="Please enter a positive number or press the delete key or enter zero." sqref="C25">
      <formula1>0</formula1>
    </dataValidation>
  </dataValidations>
  <hyperlinks>
    <hyperlink ref="H1" location="Contents!F1" display="Return to Contents page"/>
  </hyperlinks>
  <printOptions horizontalCentered="1"/>
  <pageMargins left="0.25" right="0.25" top="0.19" bottom="0.19" header="0.5" footer="0.5"/>
  <pageSetup scale="99" orientation="portrait" blackAndWhite="1" r:id="rId1"/>
  <headerFooter alignWithMargins="0">
    <oddFooter>&amp;L&amp;D     &amp;T &amp;CCode No. 66</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4" tint="0.39997558519241921"/>
    <pageSetUpPr fitToPage="1"/>
  </sheetPr>
  <dimension ref="A1:M308"/>
  <sheetViews>
    <sheetView workbookViewId="0">
      <selection activeCell="C9" sqref="C9"/>
    </sheetView>
  </sheetViews>
  <sheetFormatPr defaultColWidth="10.7109375" defaultRowHeight="12" customHeight="1"/>
  <cols>
    <col min="1" max="1" width="41.28515625" style="1933" customWidth="1"/>
    <col min="2" max="2" width="5.42578125" style="1977" customWidth="1"/>
    <col min="3" max="3" width="14.7109375" style="1927" customWidth="1"/>
    <col min="4" max="4" width="13.5703125" style="1927" customWidth="1"/>
    <col min="5" max="5" width="13.28515625" style="1927" customWidth="1"/>
    <col min="6" max="6" width="13.5703125" style="1927" customWidth="1"/>
    <col min="7" max="7" width="3.140625" style="1927" customWidth="1"/>
    <col min="8" max="8" width="20.85546875" style="1927" customWidth="1"/>
    <col min="9" max="16384" width="10.7109375" style="1927"/>
  </cols>
  <sheetData>
    <row r="1" spans="1:13" ht="12" customHeight="1">
      <c r="A1" s="1924" t="s">
        <v>1017</v>
      </c>
      <c r="B1" s="1925">
        <f>OPEN!$B$4</f>
        <v>270</v>
      </c>
      <c r="C1" s="1926"/>
      <c r="D1" s="1926"/>
      <c r="E1" s="1926"/>
      <c r="F1" s="1924" t="s">
        <v>1020</v>
      </c>
      <c r="H1" s="3013" t="s">
        <v>866</v>
      </c>
    </row>
    <row r="2" spans="1:13" ht="12" customHeight="1">
      <c r="A2" s="1926"/>
      <c r="B2" s="1928"/>
      <c r="C2" s="1926"/>
      <c r="D2" s="1926"/>
      <c r="E2" s="1926"/>
      <c r="F2" s="1924" t="s">
        <v>1212</v>
      </c>
      <c r="H2" s="3013"/>
    </row>
    <row r="3" spans="1:13" ht="12" customHeight="1">
      <c r="A3" s="1926"/>
      <c r="B3" s="1928"/>
      <c r="C3" s="1926"/>
      <c r="D3" s="1926"/>
      <c r="E3" s="1926"/>
      <c r="F3" s="1924" t="str">
        <f>OPEN!N2</f>
        <v>2016-2017</v>
      </c>
    </row>
    <row r="4" spans="1:13" ht="13.5" customHeight="1">
      <c r="A4" s="1926"/>
      <c r="B4" s="1928"/>
      <c r="C4" s="1926"/>
      <c r="D4" s="1926"/>
      <c r="E4" s="1926"/>
      <c r="F4" s="1926"/>
    </row>
    <row r="5" spans="1:13" ht="12" customHeight="1">
      <c r="A5" s="1926"/>
      <c r="B5" s="1928"/>
      <c r="C5" s="1929" t="s">
        <v>1213</v>
      </c>
      <c r="D5" s="1929" t="s">
        <v>1213</v>
      </c>
      <c r="E5" s="1929" t="s">
        <v>1213</v>
      </c>
      <c r="F5" s="1929" t="s">
        <v>10</v>
      </c>
    </row>
    <row r="6" spans="1:13" ht="12" customHeight="1">
      <c r="A6" s="1930"/>
      <c r="B6" s="1931" t="s">
        <v>1045</v>
      </c>
      <c r="C6" s="1932" t="str">
        <f>OPEN!N4</f>
        <v>2014-2015</v>
      </c>
      <c r="D6" s="1932" t="str">
        <f>OPEN!O4</f>
        <v>2015-2016</v>
      </c>
      <c r="E6" s="1932" t="str">
        <f>OPEN!P4</f>
        <v>2016-2017</v>
      </c>
      <c r="F6" s="1932" t="s">
        <v>758</v>
      </c>
      <c r="K6" s="1933"/>
      <c r="L6" s="1933"/>
      <c r="M6" s="1933"/>
    </row>
    <row r="7" spans="1:13" ht="12" customHeight="1">
      <c r="A7" s="1930" t="s">
        <v>890</v>
      </c>
      <c r="B7" s="1934">
        <v>67</v>
      </c>
      <c r="C7" s="1935" t="s">
        <v>1139</v>
      </c>
      <c r="D7" s="1935" t="s">
        <v>1139</v>
      </c>
      <c r="E7" s="1935" t="s">
        <v>1215</v>
      </c>
      <c r="F7" s="1935" t="s">
        <v>16</v>
      </c>
    </row>
    <row r="8" spans="1:13" ht="12" customHeight="1">
      <c r="A8" s="1936"/>
      <c r="B8" s="1937" t="s">
        <v>1051</v>
      </c>
      <c r="C8" s="1938">
        <v>1</v>
      </c>
      <c r="D8" s="1938">
        <v>2</v>
      </c>
      <c r="E8" s="1938">
        <v>3</v>
      </c>
      <c r="F8" s="1938">
        <v>4</v>
      </c>
    </row>
    <row r="9" spans="1:13" ht="12" customHeight="1">
      <c r="A9" s="1939" t="s">
        <v>1402</v>
      </c>
      <c r="B9" s="1934">
        <v>1</v>
      </c>
      <c r="C9" s="1940"/>
      <c r="D9" s="1941">
        <f>C36</f>
        <v>0</v>
      </c>
      <c r="E9" s="1941">
        <f>D36</f>
        <v>0</v>
      </c>
      <c r="F9" s="1942">
        <f>E9</f>
        <v>0</v>
      </c>
    </row>
    <row r="10" spans="1:13" ht="12" customHeight="1">
      <c r="A10" s="1943" t="s">
        <v>19</v>
      </c>
      <c r="B10" s="1931"/>
      <c r="C10" s="1944"/>
      <c r="D10" s="1944"/>
      <c r="E10" s="1944"/>
      <c r="F10" s="1945"/>
    </row>
    <row r="11" spans="1:13" ht="12" customHeight="1">
      <c r="A11" s="1939" t="s">
        <v>20</v>
      </c>
      <c r="B11" s="1934"/>
      <c r="C11" s="1945"/>
      <c r="D11" s="1945"/>
      <c r="E11" s="1945"/>
      <c r="F11" s="1945"/>
    </row>
    <row r="12" spans="1:13" ht="12" customHeight="1">
      <c r="A12" s="1939" t="s">
        <v>21</v>
      </c>
      <c r="B12" s="1934"/>
      <c r="C12" s="1945"/>
      <c r="D12" s="1945"/>
      <c r="E12" s="1945"/>
      <c r="F12" s="1945"/>
    </row>
    <row r="13" spans="1:13" ht="12" customHeight="1">
      <c r="A13" s="1946" t="str">
        <f>OPEN!N8</f>
        <v xml:space="preserve">    2013  $</v>
      </c>
      <c r="B13" s="1937">
        <v>5</v>
      </c>
      <c r="C13" s="1947"/>
      <c r="D13" s="1945"/>
      <c r="E13" s="1945"/>
      <c r="F13" s="1945"/>
    </row>
    <row r="14" spans="1:13" ht="12" customHeight="1">
      <c r="A14" s="1948" t="str">
        <f>OPEN!N9</f>
        <v xml:space="preserve">    2014  $</v>
      </c>
      <c r="B14" s="1949">
        <v>10</v>
      </c>
      <c r="C14" s="1950"/>
      <c r="D14" s="1947"/>
      <c r="E14" s="1945"/>
      <c r="F14" s="1945"/>
    </row>
    <row r="15" spans="1:13" ht="12" customHeight="1">
      <c r="A15" s="1946" t="str">
        <f>OPEN!N10</f>
        <v xml:space="preserve">    2015  $</v>
      </c>
      <c r="B15" s="1937">
        <v>15</v>
      </c>
      <c r="C15" s="1944"/>
      <c r="D15" s="1951">
        <f>'C04'!E17</f>
        <v>0</v>
      </c>
      <c r="E15" s="1951">
        <f>'F110'!G130</f>
        <v>0</v>
      </c>
      <c r="F15" s="1951">
        <f>E15</f>
        <v>0</v>
      </c>
    </row>
    <row r="16" spans="1:13" ht="12" customHeight="1">
      <c r="A16" s="1948" t="str">
        <f>OPEN!N11</f>
        <v xml:space="preserve">    2016  $</v>
      </c>
      <c r="B16" s="1949">
        <v>20</v>
      </c>
      <c r="C16" s="1945"/>
      <c r="D16" s="1944"/>
      <c r="E16" s="1942">
        <f>'C04'!L17</f>
        <v>0</v>
      </c>
      <c r="F16" s="1944"/>
    </row>
    <row r="17" spans="1:6" ht="12" customHeight="1">
      <c r="A17" s="1948" t="s">
        <v>1875</v>
      </c>
      <c r="B17" s="1949">
        <v>25</v>
      </c>
      <c r="C17" s="1947"/>
      <c r="D17" s="4125"/>
      <c r="E17" s="1951">
        <f>0.667*F17</f>
        <v>0</v>
      </c>
      <c r="F17" s="3363">
        <f>'F110'!G134</f>
        <v>0</v>
      </c>
    </row>
    <row r="18" spans="1:6" ht="12" customHeight="1">
      <c r="A18" s="1948" t="s">
        <v>25</v>
      </c>
      <c r="B18" s="1949">
        <v>30</v>
      </c>
      <c r="C18" s="1950"/>
      <c r="D18" s="1950"/>
      <c r="E18" s="1947"/>
      <c r="F18" s="1942">
        <f>E18</f>
        <v>0</v>
      </c>
    </row>
    <row r="19" spans="1:6" ht="12" customHeight="1">
      <c r="A19" s="1946" t="s">
        <v>30</v>
      </c>
      <c r="B19" s="1937">
        <v>35</v>
      </c>
      <c r="C19" s="1944"/>
      <c r="D19" s="1944"/>
      <c r="E19" s="1944"/>
      <c r="F19" s="1947"/>
    </row>
    <row r="20" spans="1:6" ht="12" customHeight="1">
      <c r="A20" s="1943" t="s">
        <v>28</v>
      </c>
      <c r="B20" s="1931"/>
      <c r="C20" s="1945"/>
      <c r="D20" s="1945"/>
      <c r="E20" s="1945"/>
      <c r="F20" s="1952"/>
    </row>
    <row r="21" spans="1:6" ht="12" customHeight="1">
      <c r="A21" s="1946" t="s">
        <v>284</v>
      </c>
      <c r="B21" s="1937">
        <v>45</v>
      </c>
      <c r="C21" s="1947"/>
      <c r="D21" s="1947"/>
      <c r="E21" s="1951">
        <f>IF(ISERROR('F194'!H79+'F194'!H21+'F194'!$P$79+'F194'!$P$21),0,('F194'!H79+'F194'!H21+'F194'!$P$79+'F194'!$P$21))</f>
        <v>0</v>
      </c>
      <c r="F21" s="1951">
        <f>E21</f>
        <v>0</v>
      </c>
    </row>
    <row r="22" spans="1:6" ht="12" customHeight="1">
      <c r="A22" s="1948" t="s">
        <v>30</v>
      </c>
      <c r="B22" s="1949">
        <v>50</v>
      </c>
      <c r="C22" s="1944"/>
      <c r="D22" s="1944"/>
      <c r="E22" s="1944"/>
      <c r="F22" s="1942">
        <f>F21*0.5</f>
        <v>0</v>
      </c>
    </row>
    <row r="23" spans="1:6" ht="12" customHeight="1">
      <c r="A23" s="1946" t="s">
        <v>31</v>
      </c>
      <c r="B23" s="1937">
        <v>55</v>
      </c>
      <c r="C23" s="1947"/>
      <c r="D23" s="1947"/>
      <c r="E23" s="1951">
        <f>IF(ISERROR('F194'!$L$79+'F194'!$L$21),0,('F194'!$L$79+'F194'!$L$21))</f>
        <v>0</v>
      </c>
      <c r="F23" s="1951">
        <f>E23</f>
        <v>0</v>
      </c>
    </row>
    <row r="24" spans="1:6" ht="12" customHeight="1">
      <c r="A24" s="1946" t="s">
        <v>32</v>
      </c>
      <c r="B24" s="1937">
        <v>56</v>
      </c>
      <c r="C24" s="1945"/>
      <c r="D24" s="1945"/>
      <c r="E24" s="1945"/>
      <c r="F24" s="1951">
        <f>F23*0.5</f>
        <v>0</v>
      </c>
    </row>
    <row r="25" spans="1:6" ht="12" customHeight="1">
      <c r="A25" s="5137" t="s">
        <v>1870</v>
      </c>
      <c r="B25" s="5138">
        <v>57</v>
      </c>
      <c r="C25" s="4240"/>
      <c r="D25" s="4240"/>
      <c r="E25" s="1951">
        <f>IF(ISERROR('F194'!R79+'F194'!R21),0,('F194'!R79+'F194'!R21))</f>
        <v>0</v>
      </c>
      <c r="F25" s="1951">
        <f>E25</f>
        <v>0</v>
      </c>
    </row>
    <row r="26" spans="1:6" ht="12" customHeight="1">
      <c r="A26" s="5137" t="s">
        <v>32</v>
      </c>
      <c r="B26" s="5138">
        <v>58</v>
      </c>
      <c r="C26" s="1945"/>
      <c r="D26" s="1945"/>
      <c r="E26" s="1941"/>
      <c r="F26" s="1951">
        <f>F25*0.5</f>
        <v>0</v>
      </c>
    </row>
    <row r="27" spans="1:6" ht="12" customHeight="1">
      <c r="A27" s="1946" t="s">
        <v>1938</v>
      </c>
      <c r="B27" s="1937">
        <v>60</v>
      </c>
      <c r="C27" s="1940"/>
      <c r="D27" s="1940"/>
      <c r="E27" s="1951">
        <f>IF(ISERROR('F194'!N79+'F194'!N21),0,('F194'!N79+'F194'!N21))</f>
        <v>0</v>
      </c>
      <c r="F27" s="1951">
        <f>E27</f>
        <v>0</v>
      </c>
    </row>
    <row r="28" spans="1:6" ht="12" customHeight="1">
      <c r="A28" s="1956" t="s">
        <v>30</v>
      </c>
      <c r="B28" s="3398">
        <v>65</v>
      </c>
      <c r="C28" s="1955"/>
      <c r="D28" s="3362"/>
      <c r="E28" s="3362"/>
      <c r="F28" s="1942">
        <f>F27*0.5</f>
        <v>0</v>
      </c>
    </row>
    <row r="29" spans="1:6" ht="12" customHeight="1">
      <c r="A29" s="3117" t="s">
        <v>52</v>
      </c>
      <c r="B29" s="3399">
        <v>70</v>
      </c>
      <c r="C29" s="1951">
        <f>SUM(C9:C28)</f>
        <v>0</v>
      </c>
      <c r="D29" s="3363">
        <f>SUM(D9:D28)</f>
        <v>0</v>
      </c>
      <c r="E29" s="3363">
        <f>SUM(E9:E28)</f>
        <v>0</v>
      </c>
      <c r="F29" s="1951">
        <f>SUM(F9:F28)</f>
        <v>0</v>
      </c>
    </row>
    <row r="30" spans="1:6" ht="12" customHeight="1">
      <c r="A30" s="1956" t="s">
        <v>111</v>
      </c>
      <c r="B30" s="1932"/>
      <c r="C30" s="1945"/>
      <c r="D30" s="1945"/>
      <c r="E30" s="1944"/>
      <c r="F30" s="1944"/>
    </row>
    <row r="31" spans="1:6" ht="12" customHeight="1">
      <c r="A31" s="1957" t="s">
        <v>891</v>
      </c>
      <c r="B31" s="1935"/>
      <c r="C31" s="1945"/>
      <c r="D31" s="1945"/>
      <c r="E31" s="1945"/>
      <c r="F31" s="1945"/>
    </row>
    <row r="32" spans="1:6" ht="12" customHeight="1">
      <c r="A32" s="1958" t="s">
        <v>147</v>
      </c>
      <c r="B32" s="1959">
        <v>75</v>
      </c>
      <c r="C32" s="1940"/>
      <c r="D32" s="1940"/>
      <c r="E32" s="1940"/>
      <c r="F32" s="1941"/>
    </row>
    <row r="33" spans="1:9" ht="12" customHeight="1">
      <c r="A33" s="1960" t="s">
        <v>761</v>
      </c>
      <c r="B33" s="1961">
        <v>175</v>
      </c>
      <c r="C33" s="1942">
        <f>SUM(C30:C32)</f>
        <v>0</v>
      </c>
      <c r="D33" s="1942">
        <f>SUM(D30:D32)</f>
        <v>0</v>
      </c>
      <c r="E33" s="1942">
        <f>SUM(E30:E32)</f>
        <v>0</v>
      </c>
      <c r="F33" s="1942">
        <f>E33</f>
        <v>0</v>
      </c>
    </row>
    <row r="34" spans="1:9" ht="12" customHeight="1">
      <c r="A34" s="1953" t="s">
        <v>30</v>
      </c>
      <c r="B34" s="1954">
        <v>180</v>
      </c>
      <c r="C34" s="1962" t="s">
        <v>51</v>
      </c>
      <c r="D34" s="1962" t="s">
        <v>51</v>
      </c>
      <c r="E34" s="1962" t="s">
        <v>51</v>
      </c>
      <c r="F34" s="1940"/>
    </row>
    <row r="35" spans="1:9" ht="12" customHeight="1">
      <c r="A35" s="1958" t="s">
        <v>762</v>
      </c>
      <c r="B35" s="1959">
        <v>185</v>
      </c>
      <c r="C35" s="1962" t="s">
        <v>51</v>
      </c>
      <c r="D35" s="1962" t="s">
        <v>51</v>
      </c>
      <c r="E35" s="1962" t="s">
        <v>51</v>
      </c>
      <c r="F35" s="1942">
        <f>SUM(F33:F34)</f>
        <v>0</v>
      </c>
    </row>
    <row r="36" spans="1:9" ht="12" customHeight="1">
      <c r="A36" s="1953" t="s">
        <v>290</v>
      </c>
      <c r="B36" s="1954">
        <v>190</v>
      </c>
      <c r="C36" s="1963">
        <f>SUM(C29-C33)</f>
        <v>0</v>
      </c>
      <c r="D36" s="1963">
        <f>SUM(D29-D33)</f>
        <v>0</v>
      </c>
      <c r="E36" s="1964">
        <f>SUM(E29-E33)</f>
        <v>0</v>
      </c>
      <c r="F36" s="1965" t="s">
        <v>1189</v>
      </c>
    </row>
    <row r="37" spans="1:9" ht="12" customHeight="1">
      <c r="A37" s="1966"/>
      <c r="B37" s="1959">
        <v>195</v>
      </c>
      <c r="C37" s="1967" t="s">
        <v>768</v>
      </c>
      <c r="D37" s="1968"/>
      <c r="E37" s="1969"/>
      <c r="F37" s="1942">
        <f>SUM(F35-F29)</f>
        <v>0</v>
      </c>
    </row>
    <row r="38" spans="1:9" ht="12" customHeight="1">
      <c r="A38" s="1970"/>
      <c r="B38" s="1954">
        <v>200</v>
      </c>
      <c r="C38" s="1967" t="s">
        <v>763</v>
      </c>
      <c r="D38" s="1968"/>
      <c r="E38" s="1971"/>
      <c r="F38" s="1942">
        <f>F37*'C01'!$F$119/100</f>
        <v>0</v>
      </c>
    </row>
    <row r="39" spans="1:9" ht="12" customHeight="1">
      <c r="A39" s="1966"/>
      <c r="B39" s="1954">
        <v>205</v>
      </c>
      <c r="C39" s="1967" t="str">
        <f>OPEN!N6</f>
        <v>Amount of 2016 Tax to be Levied</v>
      </c>
      <c r="D39" s="1968"/>
      <c r="E39" s="1972"/>
      <c r="F39" s="1942">
        <f>SUM(F37:F38)</f>
        <v>0</v>
      </c>
      <c r="H39" s="3177" t="s">
        <v>392</v>
      </c>
      <c r="I39" s="3179">
        <f>IF(ISERROR(F39/OPEN!A14*1000),"Check errors below",F39/OPEN!A14*1000)</f>
        <v>0</v>
      </c>
    </row>
    <row r="40" spans="1:9" ht="12" customHeight="1">
      <c r="A40" s="1970"/>
      <c r="B40" s="2787" t="s">
        <v>1364</v>
      </c>
      <c r="C40" s="1974"/>
      <c r="D40" s="1974"/>
      <c r="E40" s="1974"/>
      <c r="F40" s="1974"/>
      <c r="H40" s="3178" t="str">
        <f>OPEN!N40</f>
        <v/>
      </c>
      <c r="I40" s="1926"/>
    </row>
    <row r="41" spans="1:9" ht="12" customHeight="1">
      <c r="A41" s="1970"/>
      <c r="B41" s="1973"/>
      <c r="C41" s="1974"/>
      <c r="D41" s="1974"/>
      <c r="E41" s="1974"/>
      <c r="F41" s="1974"/>
    </row>
    <row r="42" spans="1:9" ht="12" customHeight="1">
      <c r="A42" s="1970"/>
      <c r="B42" s="1973"/>
      <c r="C42" s="1974"/>
      <c r="D42" s="1974"/>
      <c r="E42" s="1974"/>
      <c r="F42" s="1974"/>
    </row>
    <row r="43" spans="1:9" ht="12" customHeight="1">
      <c r="A43" s="1970"/>
      <c r="B43" s="1973"/>
      <c r="C43" s="1974"/>
      <c r="D43" s="1974"/>
      <c r="E43" s="1974"/>
      <c r="F43" s="1974"/>
    </row>
    <row r="44" spans="1:9" ht="12" customHeight="1">
      <c r="A44" s="1926"/>
      <c r="B44" s="1929"/>
      <c r="C44" s="1974"/>
      <c r="D44" s="1974"/>
      <c r="E44" s="1974"/>
      <c r="F44" s="1974"/>
    </row>
    <row r="45" spans="1:9" ht="12" customHeight="1">
      <c r="A45" s="1926"/>
      <c r="B45" s="1929"/>
      <c r="C45" s="1974"/>
      <c r="D45" s="1974"/>
      <c r="E45" s="1974"/>
      <c r="F45" s="1974"/>
    </row>
    <row r="46" spans="1:9" ht="12" customHeight="1">
      <c r="A46" s="1926"/>
      <c r="B46" s="1929"/>
      <c r="C46" s="1974"/>
      <c r="D46" s="1974"/>
      <c r="E46" s="1974"/>
      <c r="F46" s="1974"/>
    </row>
    <row r="47" spans="1:9" ht="12" customHeight="1">
      <c r="A47" s="1926"/>
      <c r="B47" s="1929"/>
      <c r="C47" s="1974"/>
      <c r="D47" s="1974"/>
      <c r="E47" s="1974"/>
      <c r="F47" s="1974"/>
    </row>
    <row r="48" spans="1:9" ht="12" customHeight="1">
      <c r="A48" s="1926"/>
      <c r="B48" s="1929"/>
      <c r="C48" s="1974"/>
      <c r="D48" s="1974"/>
      <c r="E48" s="1974"/>
      <c r="F48" s="1974"/>
    </row>
    <row r="49" spans="1:6" ht="12" customHeight="1">
      <c r="A49" s="1926"/>
      <c r="B49" s="1929"/>
      <c r="C49" s="1974"/>
      <c r="D49" s="1974"/>
      <c r="E49" s="1974"/>
      <c r="F49" s="1974"/>
    </row>
    <row r="50" spans="1:6" ht="12" customHeight="1">
      <c r="A50" s="1926"/>
      <c r="B50" s="1929"/>
      <c r="C50" s="1974"/>
      <c r="D50" s="1974"/>
      <c r="E50" s="1974"/>
      <c r="F50" s="1974"/>
    </row>
    <row r="51" spans="1:6" ht="12" customHeight="1">
      <c r="A51" s="1926"/>
      <c r="B51" s="1929"/>
      <c r="C51" s="1974"/>
      <c r="D51" s="1974"/>
      <c r="E51" s="1974"/>
      <c r="F51" s="1974"/>
    </row>
    <row r="52" spans="1:6" ht="12" customHeight="1">
      <c r="A52" s="1926"/>
      <c r="B52" s="1929"/>
      <c r="C52" s="1974"/>
      <c r="D52" s="1974"/>
      <c r="E52" s="1974"/>
      <c r="F52" s="1974"/>
    </row>
    <row r="53" spans="1:6" ht="12" customHeight="1">
      <c r="A53" s="1926"/>
      <c r="B53" s="1929"/>
      <c r="C53" s="1974"/>
      <c r="D53" s="1974"/>
      <c r="E53" s="1974"/>
      <c r="F53" s="1974"/>
    </row>
    <row r="54" spans="1:6" ht="12" customHeight="1">
      <c r="A54" s="1926"/>
      <c r="B54" s="1929"/>
      <c r="C54" s="1974"/>
      <c r="D54" s="1974"/>
      <c r="E54" s="1974"/>
      <c r="F54" s="1974"/>
    </row>
    <row r="55" spans="1:6" ht="12" customHeight="1">
      <c r="A55" s="1926"/>
      <c r="B55" s="1929"/>
      <c r="C55" s="1974"/>
      <c r="D55" s="1974"/>
      <c r="E55" s="1974"/>
      <c r="F55" s="1974"/>
    </row>
    <row r="56" spans="1:6" ht="12" customHeight="1">
      <c r="A56" s="1926"/>
      <c r="B56" s="1929"/>
      <c r="C56" s="1974"/>
      <c r="D56" s="1974"/>
      <c r="E56" s="1974"/>
      <c r="F56" s="1974"/>
    </row>
    <row r="57" spans="1:6" ht="12" customHeight="1">
      <c r="A57" s="1926"/>
      <c r="B57" s="1929"/>
      <c r="C57" s="1974"/>
      <c r="D57" s="1974"/>
      <c r="E57" s="1974"/>
      <c r="F57" s="1974"/>
    </row>
    <row r="58" spans="1:6" ht="12" customHeight="1">
      <c r="A58" s="1926"/>
      <c r="B58" s="1929"/>
      <c r="C58" s="1974"/>
      <c r="D58" s="1974"/>
      <c r="E58" s="1974"/>
      <c r="F58" s="1974"/>
    </row>
    <row r="59" spans="1:6" ht="12.75" customHeight="1">
      <c r="A59" s="1926"/>
      <c r="B59" s="1929"/>
      <c r="C59" s="1974"/>
      <c r="D59" s="1974"/>
      <c r="E59" s="1974"/>
      <c r="F59" s="1974"/>
    </row>
    <row r="60" spans="1:6" ht="12.75" customHeight="1">
      <c r="A60" s="1926"/>
      <c r="B60" s="1929"/>
      <c r="C60" s="1974"/>
      <c r="D60" s="1974"/>
      <c r="E60" s="1974"/>
      <c r="F60" s="1974"/>
    </row>
    <row r="61" spans="1:6" ht="12" customHeight="1">
      <c r="A61" s="1975"/>
      <c r="B61" s="1975"/>
      <c r="C61" s="1976"/>
      <c r="D61" s="1976"/>
      <c r="E61" s="1976"/>
      <c r="F61" s="1976"/>
    </row>
    <row r="62" spans="1:6" ht="12" customHeight="1">
      <c r="A62" s="1926"/>
      <c r="B62" s="1929"/>
      <c r="C62" s="1974"/>
      <c r="D62" s="1974"/>
      <c r="E62" s="1974"/>
      <c r="F62" s="1974"/>
    </row>
    <row r="63" spans="1:6" ht="12" customHeight="1">
      <c r="A63" s="1926"/>
      <c r="B63" s="1929"/>
      <c r="C63" s="1974"/>
      <c r="D63" s="1974"/>
      <c r="E63" s="1974"/>
      <c r="F63" s="1974"/>
    </row>
    <row r="64" spans="1:6" ht="12" customHeight="1">
      <c r="A64" s="1926"/>
      <c r="B64" s="1929"/>
      <c r="C64" s="1974"/>
      <c r="D64" s="1974"/>
      <c r="E64" s="1974"/>
      <c r="F64" s="1974"/>
    </row>
    <row r="65" spans="1:6" ht="12" customHeight="1">
      <c r="A65" s="1926"/>
      <c r="B65" s="1929"/>
      <c r="C65" s="1974"/>
      <c r="D65" s="1974"/>
      <c r="E65" s="1974"/>
      <c r="F65" s="1974"/>
    </row>
    <row r="66" spans="1:6" ht="12" customHeight="1">
      <c r="A66" s="1926"/>
      <c r="B66" s="1929"/>
      <c r="C66" s="1974"/>
      <c r="D66" s="1974"/>
      <c r="E66" s="1974"/>
      <c r="F66" s="1974"/>
    </row>
    <row r="67" spans="1:6" ht="12" customHeight="1">
      <c r="A67" s="1926"/>
      <c r="B67" s="1929"/>
      <c r="C67" s="1974"/>
      <c r="D67" s="1974"/>
      <c r="E67" s="1974"/>
      <c r="F67" s="1974"/>
    </row>
    <row r="68" spans="1:6" ht="12" customHeight="1">
      <c r="A68" s="1926"/>
      <c r="B68" s="1929"/>
      <c r="C68" s="1974"/>
      <c r="D68" s="1974"/>
      <c r="E68" s="1974"/>
      <c r="F68" s="1974"/>
    </row>
    <row r="69" spans="1:6" ht="12" customHeight="1">
      <c r="A69" s="1926"/>
      <c r="B69" s="1929"/>
      <c r="C69" s="1974"/>
      <c r="D69" s="1974"/>
      <c r="E69" s="1974"/>
      <c r="F69" s="1974"/>
    </row>
    <row r="70" spans="1:6" ht="12" customHeight="1">
      <c r="A70" s="1926"/>
      <c r="B70" s="1929"/>
      <c r="C70" s="1974"/>
      <c r="D70" s="1974"/>
      <c r="E70" s="1974"/>
      <c r="F70" s="1974"/>
    </row>
    <row r="71" spans="1:6" ht="12" customHeight="1">
      <c r="A71" s="1926"/>
      <c r="B71" s="1929"/>
      <c r="C71" s="1974"/>
      <c r="D71" s="1974"/>
      <c r="E71" s="1974"/>
      <c r="F71" s="1974"/>
    </row>
    <row r="72" spans="1:6" ht="12" customHeight="1">
      <c r="A72" s="1926"/>
      <c r="B72" s="1929"/>
      <c r="C72" s="1974"/>
      <c r="D72" s="1974"/>
      <c r="E72" s="1974"/>
      <c r="F72" s="1974"/>
    </row>
    <row r="73" spans="1:6" ht="12" customHeight="1">
      <c r="A73" s="1926"/>
      <c r="B73" s="1929"/>
      <c r="C73" s="1974"/>
      <c r="D73" s="1974"/>
      <c r="E73" s="1974"/>
      <c r="F73" s="1974"/>
    </row>
    <row r="74" spans="1:6" ht="12" customHeight="1">
      <c r="A74" s="1926"/>
      <c r="B74" s="1929"/>
      <c r="C74" s="1974"/>
      <c r="D74" s="1974"/>
      <c r="E74" s="1974"/>
      <c r="F74" s="1974"/>
    </row>
    <row r="75" spans="1:6" ht="12" customHeight="1">
      <c r="A75" s="1926"/>
      <c r="B75" s="1929"/>
      <c r="C75" s="1974"/>
      <c r="D75" s="1974"/>
      <c r="E75" s="1974"/>
      <c r="F75" s="1974"/>
    </row>
    <row r="76" spans="1:6" ht="12" customHeight="1">
      <c r="A76" s="1926"/>
      <c r="B76" s="1929"/>
      <c r="C76" s="1974"/>
      <c r="D76" s="1974"/>
      <c r="E76" s="1974"/>
      <c r="F76" s="1974"/>
    </row>
    <row r="77" spans="1:6" ht="12" customHeight="1">
      <c r="A77" s="1926"/>
      <c r="B77" s="1929"/>
      <c r="C77" s="1974"/>
      <c r="D77" s="1974"/>
      <c r="E77" s="1974"/>
      <c r="F77" s="1974"/>
    </row>
    <row r="78" spans="1:6" ht="12" customHeight="1">
      <c r="A78" s="1926"/>
      <c r="B78" s="1929"/>
      <c r="C78" s="1974"/>
      <c r="D78" s="1974"/>
      <c r="E78" s="1974"/>
      <c r="F78" s="1974"/>
    </row>
    <row r="79" spans="1:6" ht="12" customHeight="1">
      <c r="A79" s="1926"/>
      <c r="B79" s="1929"/>
      <c r="C79" s="1974"/>
      <c r="D79" s="1974"/>
      <c r="E79" s="1974"/>
      <c r="F79" s="1974"/>
    </row>
    <row r="80" spans="1:6" ht="12" customHeight="1">
      <c r="A80" s="1926"/>
      <c r="B80" s="1929"/>
      <c r="C80" s="1974"/>
      <c r="D80" s="1974"/>
      <c r="E80" s="1974"/>
      <c r="F80" s="1974"/>
    </row>
    <row r="81" spans="1:6" ht="12" customHeight="1">
      <c r="A81" s="1926"/>
      <c r="B81" s="1929"/>
      <c r="C81" s="1974"/>
      <c r="D81" s="1974"/>
      <c r="E81" s="1974"/>
      <c r="F81" s="1974"/>
    </row>
    <row r="82" spans="1:6" ht="12" customHeight="1">
      <c r="A82" s="1926"/>
      <c r="B82" s="1929"/>
      <c r="C82" s="1974"/>
      <c r="D82" s="1974"/>
      <c r="E82" s="1974"/>
      <c r="F82" s="1974"/>
    </row>
    <row r="83" spans="1:6" ht="12" customHeight="1">
      <c r="A83" s="1926"/>
      <c r="B83" s="1929"/>
      <c r="C83" s="1974"/>
      <c r="D83" s="1974"/>
      <c r="E83" s="1974"/>
      <c r="F83" s="1974"/>
    </row>
    <row r="84" spans="1:6" ht="12" customHeight="1">
      <c r="A84" s="1926"/>
      <c r="B84" s="1929"/>
      <c r="C84" s="1974"/>
      <c r="D84" s="1974"/>
      <c r="E84" s="1974"/>
      <c r="F84" s="1974"/>
    </row>
    <row r="85" spans="1:6" ht="12" customHeight="1">
      <c r="A85" s="1926"/>
      <c r="B85" s="1929"/>
      <c r="C85" s="1974"/>
      <c r="D85" s="1974"/>
      <c r="E85" s="1974"/>
      <c r="F85" s="1974"/>
    </row>
    <row r="86" spans="1:6" ht="12" customHeight="1">
      <c r="A86" s="1926"/>
      <c r="B86" s="1929"/>
      <c r="C86" s="1974"/>
      <c r="D86" s="1974"/>
      <c r="E86" s="1974"/>
      <c r="F86" s="1974"/>
    </row>
    <row r="87" spans="1:6" ht="12" customHeight="1">
      <c r="A87" s="1926"/>
      <c r="B87" s="1929"/>
      <c r="C87" s="1974"/>
      <c r="D87" s="1974"/>
      <c r="E87" s="1974"/>
      <c r="F87" s="1974"/>
    </row>
    <row r="88" spans="1:6" ht="12" customHeight="1">
      <c r="A88" s="1926"/>
      <c r="B88" s="1929"/>
      <c r="C88" s="1974"/>
      <c r="D88" s="1974"/>
      <c r="E88" s="1974"/>
      <c r="F88" s="1974"/>
    </row>
    <row r="89" spans="1:6" ht="12" customHeight="1">
      <c r="A89" s="1926"/>
      <c r="B89" s="1929"/>
      <c r="C89" s="1974"/>
      <c r="D89" s="1974"/>
      <c r="E89" s="1974"/>
      <c r="F89" s="1974"/>
    </row>
    <row r="90" spans="1:6" ht="12" customHeight="1">
      <c r="A90" s="1926"/>
      <c r="B90" s="1929"/>
      <c r="C90" s="1974"/>
      <c r="D90" s="1974"/>
      <c r="E90" s="1974"/>
      <c r="F90" s="1974"/>
    </row>
    <row r="91" spans="1:6" ht="12" customHeight="1">
      <c r="A91" s="1926"/>
      <c r="B91" s="1929"/>
      <c r="C91" s="1974"/>
      <c r="D91" s="1974"/>
      <c r="E91" s="1974"/>
      <c r="F91" s="1974"/>
    </row>
    <row r="92" spans="1:6" ht="12" customHeight="1">
      <c r="A92" s="1926"/>
      <c r="B92" s="1929"/>
      <c r="C92" s="1974"/>
      <c r="D92" s="1974"/>
      <c r="E92" s="1974"/>
      <c r="F92" s="1974"/>
    </row>
    <row r="93" spans="1:6" ht="12" customHeight="1">
      <c r="A93" s="1926"/>
      <c r="B93" s="1929"/>
      <c r="C93" s="1974"/>
      <c r="D93" s="1974"/>
      <c r="E93" s="1974"/>
      <c r="F93" s="1974"/>
    </row>
    <row r="94" spans="1:6" ht="12" customHeight="1">
      <c r="A94" s="1926"/>
      <c r="B94" s="1929"/>
      <c r="C94" s="1974"/>
      <c r="D94" s="1974"/>
      <c r="E94" s="1974"/>
      <c r="F94" s="1974"/>
    </row>
    <row r="95" spans="1:6" ht="12" customHeight="1">
      <c r="A95" s="1926"/>
      <c r="B95" s="1929"/>
      <c r="C95" s="1974"/>
      <c r="D95" s="1974"/>
      <c r="E95" s="1974"/>
      <c r="F95" s="1974"/>
    </row>
    <row r="96" spans="1:6" ht="12" customHeight="1">
      <c r="A96" s="1926"/>
      <c r="B96" s="1929"/>
      <c r="C96" s="1974"/>
      <c r="D96" s="1974"/>
      <c r="E96" s="1974"/>
      <c r="F96" s="1974"/>
    </row>
    <row r="97" spans="1:6" ht="12" customHeight="1">
      <c r="A97" s="1926"/>
      <c r="B97" s="1929"/>
      <c r="C97" s="1974"/>
      <c r="D97" s="1974"/>
      <c r="E97" s="1974"/>
      <c r="F97" s="1974"/>
    </row>
    <row r="98" spans="1:6" ht="12" customHeight="1">
      <c r="A98" s="1926"/>
      <c r="B98" s="1929"/>
      <c r="C98" s="1974"/>
      <c r="D98" s="1974"/>
      <c r="E98" s="1974"/>
      <c r="F98" s="1974"/>
    </row>
    <row r="99" spans="1:6" ht="12" customHeight="1">
      <c r="A99" s="1926"/>
      <c r="B99" s="1929"/>
      <c r="C99" s="1974"/>
      <c r="D99" s="1974"/>
      <c r="E99" s="1974"/>
      <c r="F99" s="1974"/>
    </row>
    <row r="100" spans="1:6" ht="12" customHeight="1">
      <c r="A100" s="1926"/>
      <c r="B100" s="1929"/>
      <c r="C100" s="1974"/>
      <c r="D100" s="1974"/>
      <c r="E100" s="1974"/>
      <c r="F100" s="1974"/>
    </row>
    <row r="101" spans="1:6" ht="12" customHeight="1">
      <c r="A101" s="1926"/>
      <c r="B101" s="1929"/>
      <c r="C101" s="1974"/>
      <c r="D101" s="1974"/>
      <c r="E101" s="1974"/>
      <c r="F101" s="1974"/>
    </row>
    <row r="102" spans="1:6" ht="12" customHeight="1">
      <c r="A102" s="1926"/>
      <c r="B102" s="1929"/>
      <c r="C102" s="1974"/>
      <c r="D102" s="1974"/>
      <c r="E102" s="1974"/>
      <c r="F102" s="1974"/>
    </row>
    <row r="103" spans="1:6" ht="12" customHeight="1">
      <c r="A103" s="1926"/>
      <c r="B103" s="1929"/>
      <c r="C103" s="1974"/>
      <c r="D103" s="1974"/>
      <c r="E103" s="1974"/>
      <c r="F103" s="1974"/>
    </row>
    <row r="104" spans="1:6" ht="12" customHeight="1">
      <c r="A104" s="1926"/>
      <c r="B104" s="1929"/>
      <c r="C104" s="1974"/>
      <c r="D104" s="1974"/>
      <c r="E104" s="1974"/>
      <c r="F104" s="1974"/>
    </row>
    <row r="105" spans="1:6" ht="12" customHeight="1">
      <c r="A105" s="1926"/>
      <c r="B105" s="1929"/>
      <c r="C105" s="1974"/>
      <c r="D105" s="1974"/>
      <c r="E105" s="1974"/>
      <c r="F105" s="1974"/>
    </row>
    <row r="106" spans="1:6" ht="12" customHeight="1">
      <c r="A106" s="1926"/>
      <c r="B106" s="1929"/>
      <c r="C106" s="1974"/>
      <c r="D106" s="1974"/>
      <c r="E106" s="1974"/>
      <c r="F106" s="1974"/>
    </row>
    <row r="107" spans="1:6" ht="12" customHeight="1">
      <c r="A107" s="1926"/>
      <c r="B107" s="1929"/>
      <c r="C107" s="1974"/>
      <c r="D107" s="1974"/>
      <c r="E107" s="1974"/>
      <c r="F107" s="1974"/>
    </row>
    <row r="108" spans="1:6" ht="12" customHeight="1">
      <c r="A108" s="1926"/>
      <c r="B108" s="1929"/>
      <c r="C108" s="1974"/>
      <c r="D108" s="1974"/>
      <c r="E108" s="1974"/>
      <c r="F108" s="1974"/>
    </row>
    <row r="109" spans="1:6" ht="12" customHeight="1">
      <c r="A109" s="1926"/>
      <c r="B109" s="1929"/>
      <c r="C109" s="1974"/>
      <c r="D109" s="1974"/>
      <c r="E109" s="1974"/>
      <c r="F109" s="1974"/>
    </row>
    <row r="110" spans="1:6" ht="12" customHeight="1">
      <c r="A110" s="1926"/>
      <c r="B110" s="1929"/>
      <c r="C110" s="1974"/>
      <c r="D110" s="1974"/>
      <c r="E110" s="1974"/>
      <c r="F110" s="1974"/>
    </row>
    <row r="111" spans="1:6" ht="12" customHeight="1">
      <c r="A111" s="1926"/>
      <c r="B111" s="1929"/>
      <c r="C111" s="1974"/>
      <c r="D111" s="1974"/>
      <c r="E111" s="1974"/>
      <c r="F111" s="1974"/>
    </row>
    <row r="112" spans="1:6" ht="12" customHeight="1">
      <c r="A112" s="1926"/>
      <c r="B112" s="1929"/>
      <c r="C112" s="1974"/>
      <c r="D112" s="1974"/>
      <c r="E112" s="1974"/>
      <c r="F112" s="1974"/>
    </row>
    <row r="113" spans="1:6" ht="12" customHeight="1">
      <c r="A113" s="1926"/>
      <c r="B113" s="1929"/>
      <c r="C113" s="1974"/>
      <c r="D113" s="1974"/>
      <c r="E113" s="1974"/>
      <c r="F113" s="1974"/>
    </row>
    <row r="114" spans="1:6" ht="12" customHeight="1">
      <c r="A114" s="1926"/>
      <c r="B114" s="1929"/>
      <c r="C114" s="1974"/>
      <c r="D114" s="1974"/>
      <c r="E114" s="1974"/>
      <c r="F114" s="1974"/>
    </row>
    <row r="115" spans="1:6" ht="12" customHeight="1">
      <c r="A115" s="1926"/>
      <c r="B115" s="1929"/>
      <c r="C115" s="1974"/>
      <c r="D115" s="1974"/>
      <c r="E115" s="1974"/>
      <c r="F115" s="1974"/>
    </row>
    <row r="116" spans="1:6" ht="12" customHeight="1">
      <c r="A116" s="1926"/>
      <c r="B116" s="1929"/>
      <c r="C116" s="1974"/>
      <c r="D116" s="1974"/>
      <c r="E116" s="1974"/>
      <c r="F116" s="1974"/>
    </row>
    <row r="117" spans="1:6" ht="12" customHeight="1">
      <c r="A117" s="1926"/>
      <c r="B117" s="1929"/>
      <c r="C117" s="1974"/>
      <c r="D117" s="1974"/>
      <c r="E117" s="1974"/>
      <c r="F117" s="1974"/>
    </row>
    <row r="118" spans="1:6" ht="12" customHeight="1">
      <c r="A118" s="1926"/>
      <c r="B118" s="1929"/>
      <c r="C118" s="1974"/>
      <c r="D118" s="1974"/>
      <c r="E118" s="1974"/>
      <c r="F118" s="1974"/>
    </row>
    <row r="119" spans="1:6" ht="12" customHeight="1">
      <c r="A119" s="1926"/>
      <c r="B119" s="1929"/>
      <c r="C119" s="1974"/>
      <c r="D119" s="1974"/>
      <c r="E119" s="1974"/>
      <c r="F119" s="1974"/>
    </row>
    <row r="120" spans="1:6" ht="12" customHeight="1">
      <c r="A120" s="1926"/>
      <c r="B120" s="1929"/>
      <c r="C120" s="1974"/>
      <c r="D120" s="1974"/>
      <c r="E120" s="1974"/>
      <c r="F120" s="1974"/>
    </row>
    <row r="121" spans="1:6" ht="5.0999999999999996" customHeight="1">
      <c r="A121" s="1926"/>
      <c r="B121" s="1929"/>
      <c r="C121" s="1974"/>
      <c r="D121" s="1974"/>
      <c r="E121" s="1974"/>
      <c r="F121" s="1974"/>
    </row>
    <row r="122" spans="1:6" ht="12" customHeight="1">
      <c r="A122" s="1926"/>
      <c r="B122" s="1929"/>
      <c r="C122" s="1974"/>
      <c r="D122" s="1974"/>
      <c r="E122" s="1974"/>
      <c r="F122" s="1974"/>
    </row>
    <row r="123" spans="1:6" ht="12" customHeight="1">
      <c r="A123" s="1926"/>
      <c r="B123" s="1929"/>
      <c r="C123" s="1974"/>
      <c r="D123" s="1974"/>
      <c r="E123" s="1974"/>
      <c r="F123" s="1974"/>
    </row>
    <row r="124" spans="1:6" ht="12" customHeight="1">
      <c r="A124" s="1926"/>
      <c r="B124" s="1929"/>
      <c r="C124" s="1974"/>
      <c r="D124" s="1974"/>
      <c r="E124" s="1974"/>
      <c r="F124" s="1974"/>
    </row>
    <row r="125" spans="1:6" ht="12" customHeight="1">
      <c r="A125" s="1926"/>
      <c r="B125" s="1929"/>
      <c r="C125" s="1974"/>
      <c r="D125" s="1974"/>
      <c r="E125" s="1974"/>
      <c r="F125" s="1974"/>
    </row>
    <row r="126" spans="1:6" ht="12" customHeight="1">
      <c r="A126" s="1926"/>
      <c r="B126" s="1929"/>
      <c r="C126" s="1974"/>
      <c r="D126" s="1974"/>
      <c r="E126" s="1974"/>
      <c r="F126" s="1974"/>
    </row>
    <row r="127" spans="1:6" ht="12" customHeight="1">
      <c r="A127" s="1926"/>
      <c r="B127" s="1929"/>
      <c r="C127" s="1974"/>
      <c r="D127" s="1974"/>
      <c r="E127" s="1974"/>
      <c r="F127" s="1974"/>
    </row>
    <row r="128" spans="1:6" ht="12" customHeight="1">
      <c r="A128" s="1926"/>
      <c r="B128" s="1929"/>
      <c r="C128" s="1974"/>
      <c r="D128" s="1974"/>
      <c r="E128" s="1974"/>
      <c r="F128" s="1974"/>
    </row>
    <row r="129" spans="1:6" ht="12" customHeight="1">
      <c r="A129" s="1926"/>
      <c r="B129" s="1929"/>
      <c r="C129" s="1974"/>
      <c r="D129" s="1974"/>
      <c r="E129" s="1974"/>
      <c r="F129" s="1974"/>
    </row>
    <row r="130" spans="1:6" ht="12" customHeight="1">
      <c r="A130" s="1926"/>
      <c r="B130" s="1929"/>
      <c r="C130" s="1974"/>
      <c r="D130" s="1974"/>
      <c r="E130" s="1974"/>
      <c r="F130" s="1974"/>
    </row>
    <row r="131" spans="1:6" ht="12" customHeight="1">
      <c r="A131" s="1926"/>
      <c r="B131" s="1929"/>
      <c r="C131" s="1974"/>
      <c r="D131" s="1974"/>
      <c r="E131" s="1974"/>
      <c r="F131" s="1974"/>
    </row>
    <row r="132" spans="1:6" ht="12" customHeight="1">
      <c r="A132" s="1926"/>
      <c r="B132" s="1929"/>
      <c r="C132" s="1974"/>
      <c r="D132" s="1974"/>
      <c r="E132" s="1974"/>
      <c r="F132" s="1974"/>
    </row>
    <row r="133" spans="1:6" ht="12" customHeight="1">
      <c r="A133" s="1926"/>
      <c r="B133" s="1929"/>
      <c r="C133" s="1974"/>
      <c r="D133" s="1974"/>
      <c r="E133" s="1974"/>
      <c r="F133" s="1974"/>
    </row>
    <row r="134" spans="1:6" ht="12" customHeight="1">
      <c r="A134" s="1926"/>
      <c r="B134" s="1929"/>
      <c r="C134" s="1974"/>
      <c r="D134" s="1974"/>
      <c r="E134" s="1974"/>
      <c r="F134" s="1974"/>
    </row>
    <row r="135" spans="1:6" ht="12" customHeight="1">
      <c r="A135" s="1926"/>
      <c r="B135" s="1929"/>
      <c r="C135" s="1974"/>
      <c r="D135" s="1974"/>
      <c r="E135" s="1974"/>
      <c r="F135" s="1974"/>
    </row>
    <row r="136" spans="1:6" ht="12" customHeight="1">
      <c r="A136" s="1926"/>
      <c r="B136" s="1929"/>
      <c r="C136" s="1974"/>
      <c r="D136" s="1974"/>
      <c r="E136" s="1974"/>
      <c r="F136" s="1974"/>
    </row>
    <row r="137" spans="1:6" ht="12" customHeight="1">
      <c r="A137" s="1926"/>
      <c r="B137" s="1929"/>
      <c r="C137" s="1974"/>
      <c r="D137" s="1974"/>
      <c r="E137" s="1974"/>
      <c r="F137" s="1974"/>
    </row>
    <row r="138" spans="1:6" ht="12" customHeight="1">
      <c r="A138" s="1926"/>
      <c r="B138" s="1929"/>
      <c r="C138" s="1974"/>
      <c r="D138" s="1974"/>
      <c r="E138" s="1974"/>
      <c r="F138" s="1974"/>
    </row>
    <row r="139" spans="1:6" ht="12" customHeight="1">
      <c r="A139" s="1926"/>
      <c r="B139" s="1929"/>
      <c r="C139" s="1974"/>
      <c r="D139" s="1974"/>
      <c r="E139" s="1974"/>
      <c r="F139" s="1974"/>
    </row>
    <row r="140" spans="1:6" ht="12" customHeight="1">
      <c r="A140" s="1926"/>
      <c r="B140" s="1929"/>
      <c r="C140" s="1974"/>
      <c r="D140" s="1974"/>
      <c r="E140" s="1974"/>
      <c r="F140" s="1974"/>
    </row>
    <row r="141" spans="1:6" ht="12" customHeight="1">
      <c r="A141" s="1926"/>
      <c r="B141" s="1929"/>
      <c r="C141" s="1974"/>
      <c r="D141" s="1974"/>
      <c r="E141" s="1974"/>
      <c r="F141" s="1974"/>
    </row>
    <row r="142" spans="1:6" ht="12" customHeight="1">
      <c r="A142" s="1926"/>
      <c r="B142" s="1929"/>
      <c r="C142" s="1974"/>
      <c r="D142" s="1974"/>
      <c r="E142" s="1974"/>
      <c r="F142" s="1974"/>
    </row>
    <row r="143" spans="1:6" ht="12" customHeight="1">
      <c r="A143" s="1926"/>
      <c r="B143" s="1929"/>
      <c r="C143" s="1974"/>
      <c r="D143" s="1974"/>
      <c r="E143" s="1974"/>
      <c r="F143" s="1974"/>
    </row>
    <row r="144" spans="1:6" ht="12" customHeight="1">
      <c r="A144" s="1926"/>
      <c r="B144" s="1929"/>
      <c r="C144" s="1974"/>
      <c r="D144" s="1974"/>
      <c r="E144" s="1974"/>
      <c r="F144" s="1974"/>
    </row>
    <row r="145" spans="1:6" ht="12" customHeight="1">
      <c r="A145" s="1926"/>
      <c r="B145" s="1929"/>
      <c r="C145" s="1974"/>
      <c r="D145" s="1974"/>
      <c r="E145" s="1974"/>
      <c r="F145" s="1974"/>
    </row>
    <row r="146" spans="1:6" ht="12" customHeight="1">
      <c r="A146" s="1926"/>
      <c r="B146" s="1929"/>
      <c r="C146" s="1974"/>
      <c r="D146" s="1974"/>
      <c r="E146" s="1974"/>
      <c r="F146" s="1974"/>
    </row>
    <row r="147" spans="1:6" ht="12" customHeight="1">
      <c r="A147" s="1926"/>
      <c r="B147" s="1929"/>
      <c r="C147" s="1974"/>
      <c r="D147" s="1974"/>
      <c r="E147" s="1974"/>
      <c r="F147" s="1974"/>
    </row>
    <row r="148" spans="1:6" ht="12" customHeight="1">
      <c r="A148" s="1926"/>
      <c r="B148" s="1929"/>
      <c r="C148" s="1974"/>
      <c r="D148" s="1974"/>
      <c r="E148" s="1974"/>
      <c r="F148" s="1974"/>
    </row>
    <row r="149" spans="1:6" ht="12" customHeight="1">
      <c r="A149" s="1926"/>
      <c r="B149" s="1929"/>
      <c r="C149" s="1974"/>
      <c r="D149" s="1974"/>
      <c r="E149" s="1974"/>
      <c r="F149" s="1974"/>
    </row>
    <row r="150" spans="1:6" ht="12" customHeight="1">
      <c r="A150" s="1926"/>
      <c r="B150" s="1929"/>
      <c r="C150" s="1974"/>
      <c r="D150" s="1974"/>
      <c r="E150" s="1974"/>
      <c r="F150" s="1974"/>
    </row>
    <row r="151" spans="1:6" ht="12" customHeight="1">
      <c r="A151" s="1926"/>
      <c r="B151" s="1929"/>
      <c r="C151" s="1974"/>
      <c r="D151" s="1974"/>
      <c r="E151" s="1974"/>
      <c r="F151" s="1974"/>
    </row>
    <row r="152" spans="1:6" ht="12" customHeight="1">
      <c r="A152" s="1926"/>
      <c r="B152" s="1929"/>
      <c r="C152" s="1974"/>
      <c r="D152" s="1974"/>
      <c r="E152" s="1974"/>
      <c r="F152" s="1974"/>
    </row>
    <row r="153" spans="1:6" ht="12" customHeight="1">
      <c r="A153" s="1926"/>
      <c r="B153" s="1929"/>
      <c r="C153" s="1974"/>
      <c r="D153" s="1974"/>
      <c r="E153" s="1974"/>
      <c r="F153" s="1974"/>
    </row>
    <row r="154" spans="1:6" ht="12" customHeight="1">
      <c r="A154" s="1926"/>
      <c r="B154" s="1929"/>
      <c r="C154" s="1974"/>
      <c r="D154" s="1974"/>
      <c r="E154" s="1974"/>
      <c r="F154" s="1974"/>
    </row>
    <row r="155" spans="1:6" ht="12" customHeight="1">
      <c r="A155" s="1926"/>
      <c r="B155" s="1929"/>
      <c r="C155" s="1974"/>
      <c r="D155" s="1974"/>
      <c r="E155" s="1974"/>
      <c r="F155" s="1974"/>
    </row>
    <row r="156" spans="1:6" ht="12" customHeight="1">
      <c r="A156" s="1926"/>
      <c r="B156" s="1929"/>
      <c r="C156" s="1974"/>
      <c r="D156" s="1974"/>
      <c r="E156" s="1974"/>
      <c r="F156" s="1974"/>
    </row>
    <row r="157" spans="1:6" ht="12" customHeight="1">
      <c r="A157" s="1926"/>
      <c r="B157" s="1929"/>
      <c r="C157" s="1974"/>
      <c r="D157" s="1974"/>
      <c r="E157" s="1974"/>
      <c r="F157" s="1974"/>
    </row>
    <row r="158" spans="1:6" ht="12" customHeight="1">
      <c r="A158" s="1926"/>
      <c r="B158" s="1929"/>
      <c r="C158" s="1974"/>
      <c r="D158" s="1974"/>
      <c r="E158" s="1974"/>
      <c r="F158" s="1974"/>
    </row>
    <row r="159" spans="1:6" ht="12" customHeight="1">
      <c r="A159" s="1926"/>
      <c r="B159" s="1929"/>
      <c r="C159" s="1974"/>
      <c r="D159" s="1974"/>
      <c r="E159" s="1974"/>
      <c r="F159" s="1974"/>
    </row>
    <row r="160" spans="1:6" ht="12" customHeight="1">
      <c r="A160" s="1926"/>
      <c r="B160" s="1929"/>
      <c r="C160" s="1974"/>
      <c r="D160" s="1974"/>
      <c r="E160" s="1974"/>
      <c r="F160" s="1974"/>
    </row>
    <row r="161" spans="1:6" ht="12" customHeight="1">
      <c r="A161" s="1926"/>
      <c r="B161" s="1929"/>
      <c r="C161" s="1974"/>
      <c r="D161" s="1974"/>
      <c r="E161" s="1974"/>
      <c r="F161" s="1974"/>
    </row>
    <row r="162" spans="1:6" ht="12" customHeight="1">
      <c r="A162" s="1926"/>
      <c r="B162" s="1929"/>
      <c r="C162" s="1974"/>
      <c r="D162" s="1974"/>
      <c r="E162" s="1974"/>
      <c r="F162" s="1974"/>
    </row>
    <row r="163" spans="1:6" ht="12" customHeight="1">
      <c r="A163" s="1926"/>
      <c r="B163" s="1929"/>
      <c r="C163" s="1974"/>
      <c r="D163" s="1974"/>
      <c r="E163" s="1974"/>
      <c r="F163" s="1974"/>
    </row>
    <row r="164" spans="1:6" ht="12" customHeight="1">
      <c r="A164" s="1926"/>
      <c r="B164" s="1929"/>
      <c r="C164" s="1974"/>
      <c r="D164" s="1974"/>
      <c r="E164" s="1974"/>
      <c r="F164" s="1974"/>
    </row>
    <row r="165" spans="1:6" ht="12" customHeight="1">
      <c r="A165" s="1926"/>
      <c r="B165" s="1929"/>
      <c r="C165" s="1974"/>
      <c r="D165" s="1974"/>
      <c r="E165" s="1974"/>
      <c r="F165" s="1974"/>
    </row>
    <row r="166" spans="1:6" ht="12" customHeight="1">
      <c r="A166" s="1926"/>
      <c r="B166" s="1929"/>
      <c r="C166" s="1974"/>
      <c r="D166" s="1974"/>
      <c r="E166" s="1974"/>
      <c r="F166" s="1974"/>
    </row>
    <row r="167" spans="1:6" ht="12" customHeight="1">
      <c r="A167" s="1926"/>
      <c r="B167" s="1929"/>
      <c r="C167" s="1974"/>
      <c r="D167" s="1974"/>
      <c r="E167" s="1974"/>
      <c r="F167" s="1974"/>
    </row>
    <row r="168" spans="1:6" ht="12" customHeight="1">
      <c r="A168" s="1926"/>
      <c r="B168" s="1929"/>
      <c r="C168" s="1974"/>
      <c r="D168" s="1974"/>
      <c r="E168" s="1974"/>
      <c r="F168" s="1974"/>
    </row>
    <row r="169" spans="1:6" ht="12" customHeight="1">
      <c r="A169" s="1926"/>
      <c r="B169" s="1929"/>
      <c r="C169" s="1974"/>
      <c r="D169" s="1974"/>
      <c r="E169" s="1974"/>
      <c r="F169" s="1974"/>
    </row>
    <row r="170" spans="1:6" ht="12" customHeight="1">
      <c r="A170" s="1926"/>
      <c r="B170" s="1929"/>
      <c r="C170" s="1974"/>
      <c r="D170" s="1974"/>
      <c r="E170" s="1974"/>
      <c r="F170" s="1974"/>
    </row>
    <row r="171" spans="1:6" ht="12" customHeight="1">
      <c r="A171" s="1926"/>
      <c r="B171" s="1929"/>
      <c r="C171" s="1974"/>
      <c r="D171" s="1974"/>
      <c r="E171" s="1974"/>
      <c r="F171" s="1974"/>
    </row>
    <row r="172" spans="1:6" ht="12" customHeight="1">
      <c r="A172" s="1926"/>
      <c r="B172" s="1929"/>
      <c r="C172" s="1974"/>
      <c r="D172" s="1974"/>
      <c r="E172" s="1974"/>
      <c r="F172" s="1974"/>
    </row>
    <row r="173" spans="1:6" ht="12" customHeight="1">
      <c r="A173" s="1926"/>
      <c r="B173" s="1929"/>
      <c r="C173" s="1974"/>
      <c r="D173" s="1974"/>
      <c r="E173" s="1974"/>
      <c r="F173" s="1974"/>
    </row>
    <row r="174" spans="1:6" ht="12" customHeight="1">
      <c r="A174" s="1926"/>
      <c r="B174" s="1929"/>
      <c r="C174" s="1974"/>
      <c r="D174" s="1974"/>
      <c r="E174" s="1974"/>
      <c r="F174" s="1974"/>
    </row>
    <row r="175" spans="1:6" ht="12" customHeight="1">
      <c r="A175" s="1926"/>
      <c r="B175" s="1929"/>
      <c r="C175" s="1974"/>
      <c r="D175" s="1974"/>
      <c r="E175" s="1974"/>
      <c r="F175" s="1974"/>
    </row>
    <row r="176" spans="1:6" ht="12" customHeight="1">
      <c r="A176" s="1926"/>
      <c r="B176" s="1929"/>
      <c r="C176" s="1974"/>
      <c r="D176" s="1974"/>
      <c r="E176" s="1974"/>
      <c r="F176" s="1974"/>
    </row>
    <row r="177" spans="1:6" ht="12" customHeight="1">
      <c r="A177" s="1926"/>
      <c r="B177" s="1929"/>
      <c r="C177" s="1974"/>
      <c r="D177" s="1974"/>
      <c r="E177" s="1974"/>
      <c r="F177" s="1974"/>
    </row>
    <row r="178" spans="1:6" ht="12" customHeight="1">
      <c r="A178" s="1926"/>
      <c r="B178" s="1929"/>
      <c r="C178" s="1974"/>
      <c r="D178" s="1974"/>
      <c r="E178" s="1974"/>
      <c r="F178" s="1974"/>
    </row>
    <row r="179" spans="1:6" ht="12" customHeight="1">
      <c r="A179" s="1926"/>
      <c r="B179" s="1929"/>
      <c r="C179" s="1974"/>
      <c r="D179" s="1974"/>
      <c r="E179" s="1974"/>
      <c r="F179" s="1974"/>
    </row>
    <row r="180" spans="1:6" ht="12" customHeight="1">
      <c r="A180" s="1926"/>
      <c r="B180" s="1929"/>
      <c r="C180" s="1974"/>
      <c r="D180" s="1974"/>
      <c r="E180" s="1974"/>
      <c r="F180" s="1974"/>
    </row>
    <row r="181" spans="1:6" ht="12" customHeight="1">
      <c r="A181" s="1926"/>
      <c r="B181" s="1929"/>
      <c r="C181" s="1974"/>
      <c r="D181" s="1974"/>
      <c r="E181" s="1974"/>
      <c r="F181" s="1974"/>
    </row>
    <row r="182" spans="1:6" ht="12" customHeight="1">
      <c r="A182" s="1926"/>
      <c r="B182" s="1929"/>
      <c r="C182" s="1974"/>
      <c r="D182" s="1974"/>
      <c r="E182" s="1974"/>
      <c r="F182" s="1974"/>
    </row>
    <row r="183" spans="1:6" ht="12" customHeight="1">
      <c r="A183" s="1926"/>
      <c r="B183" s="1929"/>
      <c r="C183" s="1974"/>
      <c r="D183" s="1974"/>
      <c r="E183" s="1974"/>
      <c r="F183" s="1974"/>
    </row>
    <row r="184" spans="1:6" ht="12" customHeight="1">
      <c r="A184" s="1926"/>
      <c r="B184" s="1929"/>
      <c r="C184" s="1974"/>
      <c r="D184" s="1974"/>
      <c r="E184" s="1974"/>
      <c r="F184" s="1974"/>
    </row>
    <row r="185" spans="1:6" ht="12" customHeight="1">
      <c r="A185" s="1926"/>
      <c r="B185" s="1929"/>
      <c r="C185" s="1974"/>
      <c r="D185" s="1974"/>
      <c r="E185" s="1974"/>
      <c r="F185" s="1974"/>
    </row>
    <row r="186" spans="1:6" ht="12" customHeight="1">
      <c r="A186" s="1926"/>
      <c r="B186" s="1929"/>
      <c r="C186" s="1974"/>
      <c r="D186" s="1974"/>
      <c r="E186" s="1974"/>
      <c r="F186" s="1974"/>
    </row>
    <row r="187" spans="1:6" ht="12" customHeight="1">
      <c r="A187" s="1926"/>
      <c r="B187" s="1929"/>
      <c r="C187" s="1974"/>
      <c r="D187" s="1974"/>
      <c r="E187" s="1974"/>
      <c r="F187" s="1974"/>
    </row>
    <row r="188" spans="1:6" ht="12" customHeight="1">
      <c r="A188" s="1926"/>
      <c r="B188" s="1929"/>
      <c r="C188" s="1974"/>
      <c r="D188" s="1974"/>
      <c r="E188" s="1974"/>
      <c r="F188" s="1974"/>
    </row>
    <row r="189" spans="1:6" ht="12" customHeight="1">
      <c r="A189" s="1926"/>
      <c r="B189" s="1929"/>
      <c r="C189" s="1974"/>
      <c r="D189" s="1974"/>
      <c r="E189" s="1974"/>
      <c r="F189" s="1974"/>
    </row>
    <row r="190" spans="1:6" ht="12" customHeight="1">
      <c r="A190" s="1926"/>
      <c r="B190" s="1929"/>
      <c r="C190" s="1974"/>
      <c r="D190" s="1974"/>
      <c r="E190" s="1974"/>
      <c r="F190" s="1974"/>
    </row>
    <row r="191" spans="1:6" ht="12" customHeight="1">
      <c r="A191" s="1926"/>
      <c r="B191" s="1929"/>
      <c r="C191" s="1974"/>
      <c r="D191" s="1974"/>
      <c r="E191" s="1974"/>
      <c r="F191" s="1974"/>
    </row>
    <row r="192" spans="1:6" ht="12" customHeight="1">
      <c r="A192" s="1926"/>
      <c r="B192" s="1929"/>
      <c r="C192" s="1974"/>
      <c r="D192" s="1974"/>
      <c r="E192" s="1974"/>
      <c r="F192" s="1974"/>
    </row>
    <row r="193" spans="1:6" ht="12" customHeight="1">
      <c r="A193" s="1926"/>
      <c r="B193" s="1929"/>
      <c r="C193" s="1974"/>
      <c r="D193" s="1974"/>
      <c r="E193" s="1974"/>
      <c r="F193" s="1974"/>
    </row>
    <row r="194" spans="1:6" ht="12" customHeight="1">
      <c r="A194" s="1926"/>
      <c r="B194" s="1929"/>
      <c r="C194" s="1974"/>
      <c r="D194" s="1974"/>
      <c r="E194" s="1974"/>
      <c r="F194" s="1974"/>
    </row>
    <row r="195" spans="1:6" ht="12" customHeight="1">
      <c r="A195" s="1926"/>
      <c r="B195" s="1929"/>
      <c r="C195" s="1974"/>
      <c r="D195" s="1974"/>
      <c r="E195" s="1974"/>
      <c r="F195" s="1974"/>
    </row>
    <row r="196" spans="1:6" ht="12" customHeight="1">
      <c r="A196" s="1926"/>
      <c r="B196" s="1929"/>
      <c r="C196" s="1974"/>
      <c r="D196" s="1974"/>
      <c r="E196" s="1974"/>
      <c r="F196" s="1974"/>
    </row>
    <row r="197" spans="1:6" ht="12" customHeight="1">
      <c r="A197" s="1926"/>
      <c r="B197" s="1929"/>
      <c r="C197" s="1974"/>
      <c r="D197" s="1974"/>
      <c r="E197" s="1974"/>
      <c r="F197" s="1974"/>
    </row>
    <row r="198" spans="1:6" ht="12" customHeight="1">
      <c r="A198" s="1926"/>
      <c r="B198" s="1929"/>
      <c r="C198" s="1974"/>
      <c r="D198" s="1974"/>
      <c r="E198" s="1974"/>
      <c r="F198" s="1974"/>
    </row>
    <row r="199" spans="1:6" ht="12" customHeight="1">
      <c r="A199" s="1926"/>
      <c r="B199" s="1929"/>
      <c r="C199" s="1974"/>
      <c r="D199" s="1974"/>
      <c r="E199" s="1974"/>
      <c r="F199" s="1974"/>
    </row>
    <row r="200" spans="1:6" ht="12" customHeight="1">
      <c r="A200" s="1926"/>
      <c r="B200" s="1929"/>
      <c r="C200" s="1974"/>
      <c r="D200" s="1974"/>
      <c r="E200" s="1974"/>
      <c r="F200" s="1974"/>
    </row>
    <row r="201" spans="1:6" ht="12" customHeight="1">
      <c r="A201" s="1926"/>
      <c r="B201" s="1929"/>
      <c r="C201" s="1974"/>
      <c r="D201" s="1974"/>
      <c r="E201" s="1974"/>
      <c r="F201" s="1974"/>
    </row>
    <row r="202" spans="1:6" ht="12" customHeight="1">
      <c r="A202" s="1926"/>
      <c r="B202" s="1929"/>
      <c r="C202" s="1974"/>
      <c r="D202" s="1974"/>
      <c r="E202" s="1974"/>
      <c r="F202" s="1974"/>
    </row>
    <row r="203" spans="1:6" ht="12" customHeight="1">
      <c r="A203" s="1926"/>
      <c r="B203" s="1929"/>
      <c r="C203" s="1974"/>
      <c r="D203" s="1974"/>
      <c r="E203" s="1974"/>
      <c r="F203" s="1974"/>
    </row>
    <row r="204" spans="1:6" ht="12" customHeight="1">
      <c r="A204" s="1926"/>
      <c r="B204" s="1929"/>
      <c r="C204" s="1974"/>
      <c r="D204" s="1974"/>
      <c r="E204" s="1974"/>
      <c r="F204" s="1974"/>
    </row>
    <row r="205" spans="1:6" ht="12" customHeight="1">
      <c r="A205" s="1926"/>
      <c r="B205" s="1929"/>
      <c r="C205" s="1974"/>
      <c r="D205" s="1974"/>
      <c r="E205" s="1974"/>
      <c r="F205" s="1974"/>
    </row>
    <row r="206" spans="1:6" ht="12" customHeight="1">
      <c r="A206" s="1926"/>
      <c r="B206" s="1929"/>
      <c r="C206" s="1974"/>
      <c r="D206" s="1974"/>
      <c r="E206" s="1974"/>
      <c r="F206" s="1974"/>
    </row>
    <row r="207" spans="1:6" ht="12" customHeight="1">
      <c r="A207" s="1926"/>
      <c r="B207" s="1929"/>
      <c r="C207" s="1974"/>
      <c r="D207" s="1974"/>
      <c r="E207" s="1974"/>
      <c r="F207" s="1974"/>
    </row>
    <row r="208" spans="1:6" ht="12" customHeight="1">
      <c r="A208" s="1926"/>
      <c r="B208" s="1929"/>
      <c r="C208" s="1974"/>
      <c r="D208" s="1974"/>
      <c r="E208" s="1974"/>
      <c r="F208" s="1974"/>
    </row>
    <row r="209" spans="1:6" ht="12" customHeight="1">
      <c r="A209" s="1926"/>
      <c r="B209" s="1929"/>
      <c r="C209" s="1974"/>
      <c r="D209" s="1974"/>
      <c r="E209" s="1974"/>
      <c r="F209" s="1974"/>
    </row>
    <row r="210" spans="1:6" ht="12" customHeight="1">
      <c r="A210" s="1926"/>
      <c r="B210" s="1929"/>
      <c r="C210" s="1974"/>
      <c r="D210" s="1974"/>
      <c r="E210" s="1974"/>
      <c r="F210" s="1974"/>
    </row>
    <row r="211" spans="1:6" ht="12" customHeight="1">
      <c r="A211" s="1926"/>
      <c r="B211" s="1929"/>
      <c r="C211" s="1974"/>
      <c r="D211" s="1974"/>
      <c r="E211" s="1974"/>
      <c r="F211" s="1974"/>
    </row>
    <row r="212" spans="1:6" ht="12" customHeight="1">
      <c r="A212" s="1926"/>
      <c r="B212" s="1929"/>
      <c r="C212" s="1974"/>
      <c r="D212" s="1974"/>
      <c r="E212" s="1974"/>
      <c r="F212" s="1974"/>
    </row>
    <row r="213" spans="1:6" ht="12" customHeight="1">
      <c r="A213" s="1926"/>
      <c r="B213" s="1929"/>
      <c r="C213" s="1974"/>
      <c r="D213" s="1974"/>
      <c r="E213" s="1974"/>
      <c r="F213" s="1974"/>
    </row>
    <row r="214" spans="1:6" ht="12" customHeight="1">
      <c r="A214" s="1926"/>
      <c r="B214" s="1929"/>
      <c r="C214" s="1974"/>
      <c r="D214" s="1974"/>
      <c r="E214" s="1974"/>
      <c r="F214" s="1974"/>
    </row>
    <row r="215" spans="1:6" ht="12" customHeight="1">
      <c r="A215" s="1926"/>
      <c r="B215" s="1929"/>
      <c r="C215" s="1974"/>
      <c r="D215" s="1974"/>
      <c r="E215" s="1974"/>
      <c r="F215" s="1974"/>
    </row>
    <row r="216" spans="1:6" ht="12" customHeight="1">
      <c r="A216" s="1926"/>
      <c r="B216" s="1929"/>
      <c r="C216" s="1974"/>
      <c r="D216" s="1974"/>
      <c r="E216" s="1974"/>
      <c r="F216" s="1974"/>
    </row>
    <row r="217" spans="1:6" ht="12" customHeight="1">
      <c r="A217" s="1926"/>
      <c r="B217" s="1929"/>
      <c r="C217" s="1974"/>
      <c r="D217" s="1974"/>
      <c r="E217" s="1974"/>
      <c r="F217" s="1974"/>
    </row>
    <row r="218" spans="1:6" ht="12" customHeight="1">
      <c r="A218" s="1926"/>
      <c r="B218" s="1929"/>
      <c r="C218" s="1974"/>
      <c r="D218" s="1974"/>
      <c r="E218" s="1974"/>
      <c r="F218" s="1974"/>
    </row>
    <row r="219" spans="1:6" ht="12" customHeight="1">
      <c r="A219" s="1926"/>
      <c r="B219" s="1929"/>
      <c r="C219" s="1974"/>
      <c r="D219" s="1974"/>
      <c r="E219" s="1974"/>
      <c r="F219" s="1974"/>
    </row>
    <row r="220" spans="1:6" ht="12" customHeight="1">
      <c r="A220" s="1926"/>
      <c r="B220" s="1929"/>
      <c r="C220" s="1974"/>
      <c r="D220" s="1974"/>
      <c r="E220" s="1974"/>
      <c r="F220" s="1974"/>
    </row>
    <row r="221" spans="1:6" ht="12" customHeight="1">
      <c r="A221" s="1926"/>
      <c r="B221" s="1929"/>
      <c r="C221" s="1974"/>
      <c r="D221" s="1974"/>
      <c r="E221" s="1974"/>
      <c r="F221" s="1974"/>
    </row>
    <row r="222" spans="1:6" ht="12" customHeight="1">
      <c r="A222" s="1926"/>
      <c r="B222" s="1929"/>
      <c r="C222" s="1974"/>
      <c r="D222" s="1974"/>
      <c r="E222" s="1974"/>
      <c r="F222" s="1974"/>
    </row>
    <row r="223" spans="1:6" ht="12" customHeight="1">
      <c r="A223" s="1926"/>
      <c r="B223" s="1929"/>
      <c r="C223" s="1974"/>
      <c r="D223" s="1974"/>
      <c r="E223" s="1974"/>
      <c r="F223" s="1974"/>
    </row>
    <row r="224" spans="1:6" ht="12" customHeight="1">
      <c r="A224" s="1926"/>
      <c r="B224" s="1929"/>
      <c r="C224" s="1974"/>
      <c r="D224" s="1974"/>
      <c r="E224" s="1974"/>
      <c r="F224" s="1974"/>
    </row>
    <row r="225" spans="1:6" ht="12" customHeight="1">
      <c r="A225" s="1926"/>
      <c r="B225" s="1929"/>
      <c r="C225" s="1974"/>
      <c r="D225" s="1974"/>
      <c r="E225" s="1974"/>
      <c r="F225" s="1974"/>
    </row>
    <row r="226" spans="1:6" ht="12" customHeight="1">
      <c r="A226" s="1926"/>
      <c r="B226" s="1929"/>
      <c r="C226" s="1974"/>
      <c r="D226" s="1974"/>
      <c r="E226" s="1974"/>
      <c r="F226" s="1974"/>
    </row>
    <row r="227" spans="1:6" ht="12" customHeight="1">
      <c r="A227" s="1926"/>
      <c r="B227" s="1929"/>
      <c r="C227" s="1974"/>
      <c r="D227" s="1974"/>
      <c r="E227" s="1974"/>
      <c r="F227" s="1974"/>
    </row>
    <row r="228" spans="1:6" ht="12" customHeight="1">
      <c r="A228" s="1926"/>
      <c r="B228" s="1929"/>
      <c r="C228" s="1974"/>
      <c r="D228" s="1974"/>
      <c r="E228" s="1974"/>
      <c r="F228" s="1974"/>
    </row>
    <row r="229" spans="1:6" ht="12" customHeight="1">
      <c r="A229" s="1926"/>
      <c r="B229" s="1929"/>
      <c r="C229" s="1974"/>
      <c r="D229" s="1974"/>
      <c r="E229" s="1974"/>
      <c r="F229" s="1974"/>
    </row>
    <row r="230" spans="1:6" ht="12" customHeight="1">
      <c r="A230" s="1926"/>
      <c r="B230" s="1929"/>
      <c r="C230" s="1974"/>
      <c r="D230" s="1974"/>
      <c r="E230" s="1974"/>
      <c r="F230" s="1974"/>
    </row>
    <row r="231" spans="1:6" ht="12" customHeight="1">
      <c r="A231" s="1926"/>
      <c r="B231" s="1929"/>
      <c r="C231" s="1974"/>
      <c r="D231" s="1974"/>
      <c r="E231" s="1974"/>
      <c r="F231" s="1974"/>
    </row>
    <row r="232" spans="1:6" ht="12" customHeight="1">
      <c r="A232" s="1926"/>
      <c r="B232" s="1929"/>
      <c r="C232" s="1974"/>
      <c r="D232" s="1974"/>
      <c r="E232" s="1974"/>
      <c r="F232" s="1974"/>
    </row>
    <row r="233" spans="1:6" ht="12" customHeight="1">
      <c r="A233" s="1926"/>
      <c r="B233" s="1929"/>
      <c r="C233" s="1974"/>
      <c r="D233" s="1974"/>
      <c r="E233" s="1974"/>
      <c r="F233" s="1974"/>
    </row>
    <row r="234" spans="1:6" ht="12" customHeight="1">
      <c r="A234" s="1926"/>
      <c r="B234" s="1929"/>
      <c r="C234" s="1974"/>
      <c r="D234" s="1974"/>
      <c r="E234" s="1974"/>
      <c r="F234" s="1974"/>
    </row>
    <row r="235" spans="1:6" ht="12" customHeight="1">
      <c r="A235" s="1926"/>
      <c r="B235" s="1929"/>
      <c r="C235" s="1974"/>
      <c r="D235" s="1974"/>
      <c r="E235" s="1974"/>
      <c r="F235" s="1974"/>
    </row>
    <row r="236" spans="1:6" ht="12" customHeight="1">
      <c r="A236" s="1926"/>
      <c r="B236" s="1929"/>
      <c r="C236" s="1974"/>
      <c r="D236" s="1974"/>
      <c r="E236" s="1974"/>
      <c r="F236" s="1974"/>
    </row>
    <row r="237" spans="1:6" ht="12" customHeight="1">
      <c r="A237" s="1926"/>
      <c r="B237" s="1929"/>
      <c r="C237" s="1974"/>
      <c r="D237" s="1974"/>
      <c r="E237" s="1974"/>
      <c r="F237" s="1974"/>
    </row>
    <row r="238" spans="1:6" ht="12" customHeight="1">
      <c r="A238" s="1926"/>
      <c r="B238" s="1929"/>
      <c r="C238" s="1974"/>
      <c r="D238" s="1974"/>
      <c r="E238" s="1974"/>
      <c r="F238" s="1974"/>
    </row>
    <row r="239" spans="1:6" ht="12" customHeight="1">
      <c r="A239" s="1926"/>
      <c r="B239" s="1929"/>
      <c r="C239" s="1974"/>
      <c r="D239" s="1974"/>
      <c r="E239" s="1974"/>
      <c r="F239" s="1974"/>
    </row>
    <row r="240" spans="1:6" ht="12" customHeight="1">
      <c r="A240" s="1926"/>
      <c r="B240" s="1929"/>
      <c r="C240" s="1974"/>
      <c r="D240" s="1974"/>
      <c r="E240" s="1974"/>
      <c r="F240" s="1974"/>
    </row>
    <row r="241" spans="1:6" ht="12" customHeight="1">
      <c r="A241" s="1926"/>
      <c r="B241" s="1929"/>
      <c r="C241" s="1974"/>
      <c r="D241" s="1974"/>
      <c r="E241" s="1974"/>
      <c r="F241" s="1974"/>
    </row>
    <row r="242" spans="1:6" ht="12" customHeight="1">
      <c r="A242" s="1926"/>
      <c r="B242" s="1929"/>
      <c r="C242" s="1974"/>
      <c r="D242" s="1974"/>
      <c r="E242" s="1974"/>
      <c r="F242" s="1974"/>
    </row>
    <row r="243" spans="1:6" ht="12" customHeight="1">
      <c r="A243" s="1926"/>
      <c r="B243" s="1929"/>
      <c r="C243" s="1974"/>
      <c r="D243" s="1974"/>
      <c r="E243" s="1974"/>
      <c r="F243" s="1974"/>
    </row>
    <row r="244" spans="1:6" ht="12" customHeight="1">
      <c r="A244" s="1926"/>
      <c r="B244" s="1929"/>
      <c r="C244" s="1974"/>
      <c r="D244" s="1974"/>
      <c r="E244" s="1974"/>
      <c r="F244" s="1974"/>
    </row>
    <row r="245" spans="1:6" ht="12" customHeight="1">
      <c r="A245" s="1926"/>
      <c r="B245" s="1929"/>
      <c r="C245" s="1974"/>
      <c r="D245" s="1974"/>
      <c r="E245" s="1974"/>
      <c r="F245" s="1974"/>
    </row>
    <row r="246" spans="1:6" ht="12" customHeight="1">
      <c r="A246" s="1926"/>
      <c r="B246" s="1929"/>
      <c r="C246" s="1974"/>
      <c r="D246" s="1974"/>
      <c r="E246" s="1974"/>
      <c r="F246" s="1974"/>
    </row>
    <row r="247" spans="1:6" ht="12" customHeight="1">
      <c r="A247" s="1926"/>
      <c r="B247" s="1929"/>
      <c r="C247" s="1974"/>
      <c r="D247" s="1974"/>
      <c r="E247" s="1974"/>
      <c r="F247" s="1974"/>
    </row>
    <row r="248" spans="1:6" ht="12" customHeight="1">
      <c r="A248" s="1926"/>
      <c r="B248" s="1929"/>
      <c r="C248" s="1974"/>
      <c r="D248" s="1974"/>
      <c r="E248" s="1974"/>
      <c r="F248" s="1974"/>
    </row>
    <row r="249" spans="1:6" ht="12" customHeight="1">
      <c r="A249" s="1926"/>
      <c r="B249" s="1929"/>
      <c r="C249" s="1974"/>
      <c r="D249" s="1974"/>
      <c r="E249" s="1974"/>
      <c r="F249" s="1974"/>
    </row>
    <row r="250" spans="1:6" ht="12" customHeight="1">
      <c r="A250" s="1926"/>
      <c r="B250" s="1929"/>
      <c r="C250" s="1974"/>
      <c r="D250" s="1974"/>
      <c r="E250" s="1974"/>
      <c r="F250" s="1974"/>
    </row>
    <row r="251" spans="1:6" ht="12" customHeight="1">
      <c r="A251" s="1926"/>
      <c r="B251" s="1929"/>
      <c r="C251" s="1974"/>
      <c r="D251" s="1974"/>
      <c r="E251" s="1974"/>
      <c r="F251" s="1974"/>
    </row>
    <row r="252" spans="1:6" ht="12" customHeight="1">
      <c r="A252" s="1926"/>
      <c r="B252" s="1929"/>
      <c r="C252" s="1974"/>
      <c r="D252" s="1974"/>
      <c r="E252" s="1974"/>
      <c r="F252" s="1974"/>
    </row>
    <row r="253" spans="1:6" ht="12" customHeight="1">
      <c r="A253" s="1926"/>
      <c r="B253" s="1929"/>
      <c r="C253" s="1974"/>
      <c r="D253" s="1974"/>
      <c r="E253" s="1974"/>
      <c r="F253" s="1974"/>
    </row>
    <row r="254" spans="1:6" ht="12" customHeight="1">
      <c r="A254" s="1926"/>
      <c r="B254" s="1929"/>
      <c r="C254" s="1974"/>
      <c r="D254" s="1974"/>
      <c r="E254" s="1974"/>
      <c r="F254" s="1974"/>
    </row>
    <row r="255" spans="1:6" ht="12" customHeight="1">
      <c r="A255" s="1926"/>
      <c r="B255" s="1929"/>
      <c r="C255" s="1974"/>
      <c r="D255" s="1974"/>
      <c r="E255" s="1974"/>
      <c r="F255" s="1974"/>
    </row>
    <row r="256" spans="1:6" ht="12" customHeight="1">
      <c r="A256" s="1926"/>
      <c r="B256" s="1929"/>
      <c r="C256" s="1974"/>
      <c r="D256" s="1974"/>
      <c r="E256" s="1974"/>
      <c r="F256" s="1974"/>
    </row>
    <row r="257" spans="1:6" ht="12" customHeight="1">
      <c r="A257" s="1926"/>
      <c r="B257" s="1929"/>
      <c r="C257" s="1974"/>
      <c r="D257" s="1974"/>
      <c r="E257" s="1974"/>
      <c r="F257" s="1974"/>
    </row>
    <row r="258" spans="1:6" ht="12" customHeight="1">
      <c r="A258" s="1926"/>
      <c r="B258" s="1929"/>
      <c r="C258" s="1974"/>
      <c r="D258" s="1974"/>
      <c r="E258" s="1974"/>
      <c r="F258" s="1974"/>
    </row>
    <row r="259" spans="1:6" ht="12" customHeight="1">
      <c r="A259" s="1926"/>
      <c r="B259" s="1929"/>
      <c r="C259" s="1974"/>
      <c r="D259" s="1974"/>
      <c r="E259" s="1974"/>
      <c r="F259" s="1974"/>
    </row>
    <row r="260" spans="1:6" ht="12" customHeight="1">
      <c r="A260" s="1926"/>
      <c r="B260" s="1929"/>
      <c r="C260" s="1974"/>
      <c r="D260" s="1974"/>
      <c r="E260" s="1974"/>
      <c r="F260" s="1974"/>
    </row>
    <row r="261" spans="1:6" ht="12" customHeight="1">
      <c r="A261" s="1926"/>
      <c r="B261" s="1929"/>
      <c r="C261" s="1974"/>
      <c r="D261" s="1974"/>
      <c r="E261" s="1974"/>
      <c r="F261" s="1974"/>
    </row>
    <row r="262" spans="1:6" ht="12" customHeight="1">
      <c r="A262" s="1926"/>
      <c r="B262" s="1929"/>
      <c r="C262" s="1974"/>
      <c r="D262" s="1974"/>
      <c r="E262" s="1974"/>
      <c r="F262" s="1974"/>
    </row>
    <row r="263" spans="1:6" ht="12" customHeight="1">
      <c r="A263" s="1926"/>
      <c r="B263" s="1929"/>
      <c r="C263" s="1974"/>
      <c r="D263" s="1974"/>
      <c r="E263" s="1974"/>
      <c r="F263" s="1974"/>
    </row>
    <row r="264" spans="1:6" ht="12" customHeight="1">
      <c r="A264" s="1926"/>
      <c r="B264" s="1929"/>
      <c r="C264" s="1974"/>
      <c r="D264" s="1974"/>
      <c r="E264" s="1974"/>
      <c r="F264" s="1974"/>
    </row>
    <row r="265" spans="1:6" ht="12" customHeight="1">
      <c r="A265" s="1926"/>
      <c r="B265" s="1929"/>
      <c r="C265" s="1974"/>
      <c r="D265" s="1974"/>
      <c r="E265" s="1974"/>
      <c r="F265" s="1974"/>
    </row>
    <row r="266" spans="1:6" ht="12" customHeight="1">
      <c r="A266" s="1926"/>
      <c r="B266" s="1929"/>
      <c r="C266" s="1974"/>
      <c r="D266" s="1974"/>
      <c r="E266" s="1974"/>
      <c r="F266" s="1974"/>
    </row>
    <row r="267" spans="1:6" ht="12" customHeight="1">
      <c r="A267" s="1926"/>
      <c r="B267" s="1929"/>
      <c r="C267" s="1974"/>
      <c r="D267" s="1974"/>
      <c r="E267" s="1974"/>
      <c r="F267" s="1974"/>
    </row>
    <row r="268" spans="1:6" ht="12" customHeight="1">
      <c r="A268" s="1926"/>
      <c r="B268" s="1929"/>
      <c r="C268" s="1974"/>
      <c r="D268" s="1974"/>
      <c r="E268" s="1974"/>
      <c r="F268" s="1974"/>
    </row>
    <row r="269" spans="1:6" ht="12" customHeight="1">
      <c r="A269" s="1926"/>
      <c r="B269" s="1929"/>
      <c r="C269" s="1974"/>
      <c r="D269" s="1974"/>
      <c r="E269" s="1974"/>
      <c r="F269" s="1974"/>
    </row>
    <row r="270" spans="1:6" ht="12" customHeight="1">
      <c r="A270" s="1926"/>
      <c r="B270" s="1929"/>
      <c r="C270" s="1974"/>
      <c r="D270" s="1974"/>
      <c r="E270" s="1974"/>
      <c r="F270" s="1974"/>
    </row>
    <row r="271" spans="1:6" ht="12" customHeight="1">
      <c r="A271" s="1926"/>
      <c r="B271" s="1929"/>
      <c r="C271" s="1974"/>
      <c r="D271" s="1974"/>
      <c r="E271" s="1974"/>
      <c r="F271" s="1974"/>
    </row>
    <row r="272" spans="1:6" ht="12" customHeight="1">
      <c r="A272" s="1926"/>
      <c r="B272" s="1929"/>
      <c r="C272" s="1974"/>
      <c r="D272" s="1974"/>
      <c r="E272" s="1974"/>
      <c r="F272" s="1974"/>
    </row>
    <row r="273" spans="1:6" ht="12" customHeight="1">
      <c r="A273" s="1926"/>
      <c r="B273" s="1929"/>
      <c r="C273" s="1974"/>
      <c r="D273" s="1974"/>
      <c r="E273" s="1974"/>
      <c r="F273" s="1974"/>
    </row>
    <row r="274" spans="1:6" ht="12" customHeight="1">
      <c r="A274" s="1926"/>
      <c r="B274" s="1929"/>
      <c r="C274" s="1974"/>
      <c r="D274" s="1974"/>
      <c r="E274" s="1974"/>
      <c r="F274" s="1974"/>
    </row>
    <row r="275" spans="1:6" ht="12" customHeight="1">
      <c r="A275" s="1926"/>
      <c r="B275" s="1929"/>
      <c r="C275" s="1974"/>
      <c r="D275" s="1974"/>
      <c r="E275" s="1974"/>
      <c r="F275" s="1974"/>
    </row>
    <row r="276" spans="1:6" ht="12" customHeight="1">
      <c r="A276" s="1926"/>
      <c r="B276" s="1929"/>
      <c r="C276" s="1974"/>
      <c r="D276" s="1974"/>
      <c r="E276" s="1974"/>
      <c r="F276" s="1974"/>
    </row>
    <row r="277" spans="1:6" ht="12" customHeight="1">
      <c r="A277" s="1926"/>
      <c r="B277" s="1929"/>
      <c r="C277" s="1974"/>
      <c r="D277" s="1974"/>
      <c r="E277" s="1974"/>
      <c r="F277" s="1974"/>
    </row>
    <row r="278" spans="1:6" ht="12" customHeight="1">
      <c r="A278" s="1926"/>
      <c r="B278" s="1929"/>
      <c r="C278" s="1974"/>
      <c r="D278" s="1974"/>
      <c r="E278" s="1974"/>
      <c r="F278" s="1974"/>
    </row>
    <row r="279" spans="1:6" ht="12" customHeight="1">
      <c r="A279" s="1926"/>
      <c r="B279" s="1929"/>
      <c r="C279" s="1974"/>
      <c r="D279" s="1974"/>
      <c r="E279" s="1974"/>
      <c r="F279" s="1974"/>
    </row>
    <row r="280" spans="1:6" ht="12" customHeight="1">
      <c r="A280" s="1926"/>
      <c r="B280" s="1929"/>
      <c r="C280" s="1974"/>
      <c r="D280" s="1974"/>
      <c r="E280" s="1974"/>
      <c r="F280" s="1974"/>
    </row>
    <row r="281" spans="1:6" ht="12" customHeight="1">
      <c r="A281" s="1926"/>
      <c r="B281" s="1929"/>
      <c r="C281" s="1974"/>
      <c r="D281" s="1974"/>
      <c r="E281" s="1974"/>
      <c r="F281" s="1974"/>
    </row>
    <row r="282" spans="1:6" ht="12" customHeight="1">
      <c r="A282" s="1926"/>
      <c r="B282" s="1929"/>
      <c r="C282" s="1974"/>
      <c r="D282" s="1974"/>
      <c r="E282" s="1974"/>
      <c r="F282" s="1974"/>
    </row>
    <row r="283" spans="1:6" ht="12" customHeight="1">
      <c r="A283" s="1926"/>
      <c r="B283" s="1929"/>
      <c r="C283" s="1974"/>
      <c r="D283" s="1974"/>
      <c r="E283" s="1974"/>
      <c r="F283" s="1974"/>
    </row>
    <row r="284" spans="1:6" ht="12" customHeight="1">
      <c r="A284" s="1926"/>
      <c r="B284" s="1929"/>
      <c r="C284" s="1974"/>
      <c r="D284" s="1974"/>
      <c r="E284" s="1974"/>
      <c r="F284" s="1974"/>
    </row>
    <row r="285" spans="1:6" ht="12" customHeight="1">
      <c r="A285" s="1926"/>
      <c r="B285" s="1929"/>
      <c r="C285" s="1974"/>
      <c r="D285" s="1974"/>
      <c r="E285" s="1974"/>
      <c r="F285" s="1974"/>
    </row>
    <row r="286" spans="1:6" ht="12" customHeight="1">
      <c r="A286" s="1926"/>
      <c r="B286" s="1929"/>
      <c r="C286" s="1974"/>
      <c r="D286" s="1974"/>
      <c r="E286" s="1974"/>
      <c r="F286" s="1974"/>
    </row>
    <row r="287" spans="1:6" ht="12" customHeight="1">
      <c r="A287" s="1926"/>
      <c r="B287" s="1929"/>
      <c r="C287" s="1974"/>
      <c r="D287" s="1974"/>
      <c r="E287" s="1974"/>
      <c r="F287" s="1974"/>
    </row>
    <row r="288" spans="1:6" ht="12" customHeight="1">
      <c r="A288" s="1926"/>
      <c r="B288" s="1929"/>
      <c r="C288" s="1974"/>
      <c r="D288" s="1974"/>
      <c r="E288" s="1974"/>
      <c r="F288" s="1974"/>
    </row>
    <row r="289" spans="1:6" ht="12" customHeight="1">
      <c r="A289" s="1926"/>
      <c r="B289" s="1929"/>
      <c r="C289" s="1974"/>
      <c r="D289" s="1974"/>
      <c r="E289" s="1974"/>
      <c r="F289" s="1974"/>
    </row>
    <row r="290" spans="1:6" ht="12" customHeight="1">
      <c r="A290" s="1926"/>
      <c r="B290" s="1929"/>
      <c r="C290" s="1974"/>
      <c r="D290" s="1974"/>
      <c r="E290" s="1974"/>
      <c r="F290" s="1974"/>
    </row>
    <row r="291" spans="1:6" ht="12" customHeight="1">
      <c r="A291" s="1926"/>
      <c r="B291" s="1929"/>
      <c r="C291" s="1974"/>
      <c r="D291" s="1974"/>
      <c r="E291" s="1974"/>
      <c r="F291" s="1974"/>
    </row>
    <row r="292" spans="1:6" ht="12" customHeight="1">
      <c r="A292" s="1926"/>
      <c r="B292" s="1929"/>
      <c r="C292" s="1974"/>
      <c r="D292" s="1974"/>
      <c r="E292" s="1974"/>
      <c r="F292" s="1974"/>
    </row>
    <row r="293" spans="1:6" ht="12" customHeight="1">
      <c r="A293" s="1926"/>
      <c r="B293" s="1929"/>
      <c r="C293" s="1974"/>
      <c r="D293" s="1974"/>
      <c r="E293" s="1974"/>
      <c r="F293" s="1974"/>
    </row>
    <row r="294" spans="1:6" ht="12" customHeight="1">
      <c r="A294" s="1926"/>
      <c r="B294" s="1929"/>
      <c r="C294" s="1974"/>
      <c r="D294" s="1974"/>
      <c r="E294" s="1974"/>
      <c r="F294" s="1974"/>
    </row>
    <row r="295" spans="1:6" ht="12" customHeight="1">
      <c r="A295" s="1926"/>
      <c r="B295" s="1929"/>
      <c r="C295" s="1974"/>
      <c r="D295" s="1974"/>
      <c r="E295" s="1974"/>
      <c r="F295" s="1974"/>
    </row>
    <row r="296" spans="1:6" ht="12" customHeight="1">
      <c r="A296" s="1926"/>
      <c r="B296" s="1929"/>
      <c r="C296" s="1974"/>
      <c r="D296" s="1974"/>
      <c r="E296" s="1974"/>
      <c r="F296" s="1974"/>
    </row>
    <row r="297" spans="1:6" ht="12" customHeight="1">
      <c r="A297" s="1926"/>
      <c r="B297" s="1929"/>
      <c r="C297" s="1974"/>
      <c r="D297" s="1974"/>
      <c r="E297" s="1974"/>
      <c r="F297" s="1974"/>
    </row>
    <row r="298" spans="1:6" ht="12" customHeight="1">
      <c r="A298" s="1926"/>
      <c r="B298" s="1929"/>
      <c r="C298" s="1974"/>
      <c r="D298" s="1974"/>
      <c r="E298" s="1974"/>
      <c r="F298" s="1974"/>
    </row>
    <row r="299" spans="1:6" ht="12" customHeight="1">
      <c r="A299" s="1926"/>
      <c r="B299" s="1929"/>
      <c r="C299" s="1974"/>
      <c r="D299" s="1974"/>
      <c r="E299" s="1974"/>
      <c r="F299" s="1974"/>
    </row>
    <row r="300" spans="1:6" ht="12" customHeight="1">
      <c r="A300" s="1926"/>
      <c r="B300" s="1929"/>
      <c r="C300" s="1974"/>
      <c r="D300" s="1974"/>
      <c r="E300" s="1974"/>
      <c r="F300" s="1974"/>
    </row>
    <row r="301" spans="1:6" ht="12" customHeight="1">
      <c r="A301" s="1926"/>
      <c r="B301" s="1929"/>
      <c r="C301" s="1974"/>
      <c r="D301" s="1974"/>
      <c r="E301" s="1974"/>
      <c r="F301" s="1974"/>
    </row>
    <row r="302" spans="1:6" ht="12" customHeight="1">
      <c r="A302" s="1926"/>
      <c r="B302" s="1929"/>
      <c r="C302" s="1974"/>
      <c r="D302" s="1974"/>
      <c r="E302" s="1974"/>
      <c r="F302" s="1974"/>
    </row>
    <row r="303" spans="1:6" ht="12" customHeight="1">
      <c r="A303" s="1926"/>
      <c r="B303" s="1929"/>
      <c r="C303" s="1974"/>
      <c r="D303" s="1974"/>
      <c r="E303" s="1974"/>
      <c r="F303" s="1974"/>
    </row>
    <row r="304" spans="1:6" ht="12" customHeight="1">
      <c r="A304" s="1926"/>
      <c r="B304" s="1929"/>
      <c r="C304" s="1974"/>
      <c r="D304" s="1974"/>
      <c r="E304" s="1974"/>
      <c r="F304" s="1974"/>
    </row>
    <row r="305" spans="1:6" ht="12" customHeight="1">
      <c r="A305" s="1926"/>
      <c r="B305" s="1929"/>
      <c r="C305" s="1974"/>
      <c r="D305" s="1974"/>
      <c r="E305" s="1974"/>
      <c r="F305" s="1974"/>
    </row>
    <row r="306" spans="1:6" ht="12" customHeight="1">
      <c r="A306" s="1926"/>
      <c r="B306" s="1929"/>
      <c r="C306" s="1974"/>
      <c r="D306" s="1974"/>
      <c r="E306" s="1974"/>
      <c r="F306" s="1974"/>
    </row>
    <row r="307" spans="1:6" ht="12" customHeight="1">
      <c r="A307" s="1926"/>
      <c r="B307" s="1929"/>
      <c r="C307" s="1974"/>
      <c r="D307" s="1974"/>
      <c r="E307" s="1974"/>
      <c r="F307" s="1974"/>
    </row>
    <row r="308" spans="1:6" ht="12" customHeight="1">
      <c r="A308" s="1926"/>
      <c r="B308" s="1929"/>
      <c r="C308" s="1974"/>
      <c r="D308" s="1974"/>
      <c r="E308" s="1974"/>
      <c r="F308" s="1974"/>
    </row>
  </sheetData>
  <sheetProtection algorithmName="SHA-512" hashValue="h06s+4EL7n1v62OjqFZBoCw7Mykf8jQ7Jude9hAjDBrWLjiCoBhhinwzUf5OaUZ+zcuvPCVNGmDDnG2ZaNuQJw==" saltValue="tHVM2KQViNh0utaDEuNyZQ==" spinCount="100000" sheet="1" objects="1" scenarios="1"/>
  <phoneticPr fontId="10" type="noConversion"/>
  <dataValidations count="3">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zero." sqref="C13 C14:D14 C17:D17 C18:E18 F19 C21:D21 C23:D23 C27:D27 C32:F32 F34">
      <formula1>0</formula1>
    </dataValidation>
    <dataValidation type="whole" operator="greaterThanOrEqual" allowBlank="1" showInputMessage="1" showErrorMessage="1" errorTitle="Invalid Data Entry" error="Please enter a positive number or press the delete key or enter zero." sqref="C25">
      <formula1>0</formula1>
    </dataValidation>
  </dataValidations>
  <hyperlinks>
    <hyperlink ref="H1" location="Contents!F1" display="Return to Contents page"/>
  </hyperlinks>
  <printOptions horizontalCentered="1"/>
  <pageMargins left="0.25" right="0.25" top="0.19" bottom="0.19" header="0.5" footer="0.5"/>
  <pageSetup orientation="portrait" blackAndWhite="1" r:id="rId1"/>
  <headerFooter alignWithMargins="0">
    <oddFooter>&amp;L&amp;D     &amp;T &amp;CCode No. 67</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4" tint="0.39997558519241921"/>
    <pageSetUpPr fitToPage="1"/>
  </sheetPr>
  <dimension ref="A1:M302"/>
  <sheetViews>
    <sheetView workbookViewId="0">
      <selection activeCell="C9" sqref="C9"/>
    </sheetView>
  </sheetViews>
  <sheetFormatPr defaultColWidth="10.7109375" defaultRowHeight="12" customHeight="1"/>
  <cols>
    <col min="1" max="1" width="39.85546875" style="1987" customWidth="1"/>
    <col min="2" max="2" width="5.7109375" style="2033" customWidth="1"/>
    <col min="3" max="3" width="14.7109375" style="1981" customWidth="1"/>
    <col min="4" max="4" width="13.140625" style="1981" customWidth="1"/>
    <col min="5" max="5" width="13.42578125" style="1981" customWidth="1"/>
    <col min="6" max="6" width="13" style="1981" customWidth="1"/>
    <col min="7" max="7" width="3" style="1981" customWidth="1"/>
    <col min="8" max="8" width="21" style="1981" customWidth="1"/>
    <col min="9" max="16384" width="10.7109375" style="1981"/>
  </cols>
  <sheetData>
    <row r="1" spans="1:13" ht="12" customHeight="1">
      <c r="A1" s="1978" t="s">
        <v>1019</v>
      </c>
      <c r="B1" s="1979">
        <f>OPEN!$B$4</f>
        <v>270</v>
      </c>
      <c r="C1" s="1980"/>
      <c r="D1" s="1980"/>
      <c r="E1" s="1980"/>
      <c r="F1" s="1978" t="s">
        <v>1020</v>
      </c>
      <c r="H1" s="3013" t="s">
        <v>866</v>
      </c>
    </row>
    <row r="2" spans="1:13" ht="12" customHeight="1">
      <c r="A2" s="1980"/>
      <c r="B2" s="1982"/>
      <c r="C2" s="1980"/>
      <c r="D2" s="1980"/>
      <c r="E2" s="1980"/>
      <c r="F2" s="1978" t="s">
        <v>1212</v>
      </c>
    </row>
    <row r="3" spans="1:13" ht="12" customHeight="1">
      <c r="A3" s="1980"/>
      <c r="B3" s="1982"/>
      <c r="C3" s="1980"/>
      <c r="D3" s="1980"/>
      <c r="E3" s="1980"/>
      <c r="F3" s="1978" t="str">
        <f>OPEN!N2</f>
        <v>2016-2017</v>
      </c>
    </row>
    <row r="4" spans="1:13" ht="12" customHeight="1">
      <c r="A4" s="1980"/>
      <c r="B4" s="1982"/>
      <c r="C4" s="1980"/>
      <c r="D4" s="1980"/>
      <c r="E4" s="1980"/>
      <c r="F4" s="1980"/>
    </row>
    <row r="5" spans="1:13" ht="12" customHeight="1">
      <c r="A5" s="1980"/>
      <c r="B5" s="1982"/>
      <c r="C5" s="1983" t="s">
        <v>1213</v>
      </c>
      <c r="D5" s="1983" t="s">
        <v>1213</v>
      </c>
      <c r="E5" s="1983" t="s">
        <v>1213</v>
      </c>
      <c r="F5" s="1983" t="s">
        <v>10</v>
      </c>
    </row>
    <row r="6" spans="1:13" ht="12" customHeight="1">
      <c r="A6" s="1984"/>
      <c r="B6" s="1985" t="s">
        <v>1045</v>
      </c>
      <c r="C6" s="1986" t="str">
        <f>OPEN!N4</f>
        <v>2014-2015</v>
      </c>
      <c r="D6" s="1986" t="str">
        <f>OPEN!O4</f>
        <v>2015-2016</v>
      </c>
      <c r="E6" s="1986" t="str">
        <f>OPEN!P4</f>
        <v>2016-2017</v>
      </c>
      <c r="F6" s="1986" t="s">
        <v>758</v>
      </c>
      <c r="K6" s="1987"/>
      <c r="L6" s="1987"/>
      <c r="M6" s="1987"/>
    </row>
    <row r="7" spans="1:13" ht="12" customHeight="1">
      <c r="A7" s="1984" t="s">
        <v>892</v>
      </c>
      <c r="B7" s="1988">
        <v>68</v>
      </c>
      <c r="C7" s="1989" t="s">
        <v>1139</v>
      </c>
      <c r="D7" s="1989" t="s">
        <v>1139</v>
      </c>
      <c r="E7" s="1989" t="s">
        <v>1215</v>
      </c>
      <c r="F7" s="1989" t="s">
        <v>16</v>
      </c>
    </row>
    <row r="8" spans="1:13" ht="12" customHeight="1">
      <c r="A8" s="1990"/>
      <c r="B8" s="1991" t="s">
        <v>1051</v>
      </c>
      <c r="C8" s="1992">
        <v>1</v>
      </c>
      <c r="D8" s="1992">
        <v>2</v>
      </c>
      <c r="E8" s="1992">
        <v>3</v>
      </c>
      <c r="F8" s="1992">
        <v>4</v>
      </c>
    </row>
    <row r="9" spans="1:13" ht="12" customHeight="1">
      <c r="A9" s="1993" t="s">
        <v>1218</v>
      </c>
      <c r="B9" s="1988">
        <v>1</v>
      </c>
      <c r="C9" s="1994"/>
      <c r="D9" s="1995">
        <f>C39</f>
        <v>0</v>
      </c>
      <c r="E9" s="1995">
        <f>D39</f>
        <v>0</v>
      </c>
      <c r="F9" s="1996">
        <f>E9</f>
        <v>0</v>
      </c>
    </row>
    <row r="10" spans="1:13" ht="12" customHeight="1">
      <c r="A10" s="1997" t="s">
        <v>893</v>
      </c>
      <c r="B10" s="1985"/>
      <c r="C10" s="1998"/>
      <c r="D10" s="1998"/>
      <c r="E10" s="1998"/>
      <c r="F10" s="1998"/>
    </row>
    <row r="11" spans="1:13" ht="12" customHeight="1">
      <c r="A11" s="1993" t="s">
        <v>816</v>
      </c>
      <c r="B11" s="1988"/>
      <c r="C11" s="1999"/>
      <c r="D11" s="1999"/>
      <c r="E11" s="1999"/>
      <c r="F11" s="1999"/>
    </row>
    <row r="12" spans="1:13" ht="12" customHeight="1">
      <c r="A12" s="1993" t="s">
        <v>817</v>
      </c>
      <c r="B12" s="1988"/>
      <c r="C12" s="1999"/>
      <c r="D12" s="1999"/>
      <c r="E12" s="1999"/>
      <c r="F12" s="1999"/>
    </row>
    <row r="13" spans="1:13" ht="12" customHeight="1">
      <c r="A13" s="2000" t="str">
        <f>OPEN!N8</f>
        <v xml:space="preserve">    2013  $</v>
      </c>
      <c r="B13" s="1991">
        <v>5</v>
      </c>
      <c r="C13" s="2001"/>
      <c r="D13" s="1999"/>
      <c r="E13" s="1999"/>
      <c r="F13" s="1999"/>
    </row>
    <row r="14" spans="1:13" ht="12" customHeight="1">
      <c r="A14" s="2002" t="str">
        <f>OPEN!N9</f>
        <v xml:space="preserve">    2014  $</v>
      </c>
      <c r="B14" s="2003">
        <v>10</v>
      </c>
      <c r="C14" s="2004"/>
      <c r="D14" s="2001"/>
      <c r="E14" s="1999"/>
      <c r="F14" s="1999"/>
    </row>
    <row r="15" spans="1:13" ht="12" customHeight="1">
      <c r="A15" s="2000" t="str">
        <f>OPEN!N10</f>
        <v xml:space="preserve">    2015  $</v>
      </c>
      <c r="B15" s="1991">
        <v>15</v>
      </c>
      <c r="C15" s="1998"/>
      <c r="D15" s="1996">
        <f>'C04'!E21</f>
        <v>0</v>
      </c>
      <c r="E15" s="2005">
        <f>'F110'!I130</f>
        <v>0</v>
      </c>
      <c r="F15" s="2005">
        <f>E15</f>
        <v>0</v>
      </c>
    </row>
    <row r="16" spans="1:13" ht="12" customHeight="1">
      <c r="A16" s="2002" t="str">
        <f>OPEN!N11</f>
        <v xml:space="preserve">    2016  $</v>
      </c>
      <c r="B16" s="2003">
        <v>20</v>
      </c>
      <c r="C16" s="1999"/>
      <c r="D16" s="2006"/>
      <c r="E16" s="1996">
        <f>'C04'!L21</f>
        <v>0</v>
      </c>
      <c r="F16" s="1998"/>
    </row>
    <row r="17" spans="1:6" ht="12" customHeight="1">
      <c r="A17" s="2002" t="s">
        <v>818</v>
      </c>
      <c r="B17" s="2003">
        <v>25</v>
      </c>
      <c r="C17" s="2001"/>
      <c r="D17" s="4126"/>
      <c r="E17" s="2005">
        <f>0.667*F17</f>
        <v>0</v>
      </c>
      <c r="F17" s="3365">
        <f>'F110'!I134</f>
        <v>0</v>
      </c>
    </row>
    <row r="18" spans="1:6" ht="12" customHeight="1">
      <c r="A18" s="2002" t="s">
        <v>894</v>
      </c>
      <c r="B18" s="2003">
        <v>30</v>
      </c>
      <c r="C18" s="2004"/>
      <c r="D18" s="5000" t="s">
        <v>1251</v>
      </c>
      <c r="E18" s="4172" t="s">
        <v>1431</v>
      </c>
      <c r="F18" s="4172" t="s">
        <v>1431</v>
      </c>
    </row>
    <row r="19" spans="1:6" ht="12" customHeight="1">
      <c r="A19" s="2002" t="s">
        <v>821</v>
      </c>
      <c r="B19" s="2003">
        <v>40</v>
      </c>
      <c r="C19" s="2001"/>
      <c r="D19" s="2001"/>
      <c r="E19" s="2001"/>
      <c r="F19" s="2007">
        <f>E19</f>
        <v>0</v>
      </c>
    </row>
    <row r="20" spans="1:6" ht="12" customHeight="1">
      <c r="A20" s="2000" t="s">
        <v>820</v>
      </c>
      <c r="B20" s="1991">
        <v>45</v>
      </c>
      <c r="C20" s="1998"/>
      <c r="D20" s="1998"/>
      <c r="E20" s="1998"/>
      <c r="F20" s="2004"/>
    </row>
    <row r="21" spans="1:6" ht="12" customHeight="1">
      <c r="A21" s="1997" t="s">
        <v>822</v>
      </c>
      <c r="B21" s="1985"/>
      <c r="C21" s="1999"/>
      <c r="D21" s="1999"/>
      <c r="E21" s="1999"/>
      <c r="F21" s="2008"/>
    </row>
    <row r="22" spans="1:6" ht="12" customHeight="1">
      <c r="A22" s="2000" t="s">
        <v>1410</v>
      </c>
      <c r="B22" s="1991">
        <v>55</v>
      </c>
      <c r="C22" s="2001"/>
      <c r="D22" s="2001"/>
      <c r="E22" s="2005">
        <f>IF(ISERROR('F194'!$H$82+'F194'!H24+'F194'!$P$82+'F194'!$P$24),0,('F194'!H82+'F194'!H24+'F194'!$P$82+'F194'!$P$24))</f>
        <v>0</v>
      </c>
      <c r="F22" s="2005">
        <f>E22</f>
        <v>0</v>
      </c>
    </row>
    <row r="23" spans="1:6" ht="12" customHeight="1">
      <c r="A23" s="2009" t="s">
        <v>820</v>
      </c>
      <c r="B23" s="2010">
        <v>60</v>
      </c>
      <c r="C23" s="2011"/>
      <c r="D23" s="2011"/>
      <c r="E23" s="2012"/>
      <c r="F23" s="1996">
        <f>F22*0.5</f>
        <v>0</v>
      </c>
    </row>
    <row r="24" spans="1:6" ht="12" customHeight="1">
      <c r="A24" s="2009" t="s">
        <v>31</v>
      </c>
      <c r="B24" s="2010">
        <v>65</v>
      </c>
      <c r="C24" s="3214"/>
      <c r="D24" s="2001"/>
      <c r="E24" s="2005">
        <f>IF(ISERROR('F194'!$L$82+'F194'!$L$24),0,('F194'!$L$82+'F194'!$L$24))</f>
        <v>0</v>
      </c>
      <c r="F24" s="1995">
        <f>E24</f>
        <v>0</v>
      </c>
    </row>
    <row r="25" spans="1:6" ht="12" customHeight="1">
      <c r="A25" s="2009" t="s">
        <v>32</v>
      </c>
      <c r="B25" s="2010">
        <v>66</v>
      </c>
      <c r="C25" s="2013"/>
      <c r="D25" s="2014"/>
      <c r="E25" s="2015"/>
      <c r="F25" s="2007">
        <f>F24*0.5</f>
        <v>0</v>
      </c>
    </row>
    <row r="26" spans="1:6" ht="12" customHeight="1">
      <c r="A26" s="5139" t="s">
        <v>1870</v>
      </c>
      <c r="B26" s="5140">
        <v>67</v>
      </c>
      <c r="C26" s="4999"/>
      <c r="D26" s="4241"/>
      <c r="E26" s="5141">
        <f>IF(ISERROR('F194'!R82+'F194'!R24),0,('F194'!R82+'F194'!R24))</f>
        <v>0</v>
      </c>
      <c r="F26" s="2007">
        <f>E26</f>
        <v>0</v>
      </c>
    </row>
    <row r="27" spans="1:6" ht="12" customHeight="1">
      <c r="A27" s="5139" t="s">
        <v>32</v>
      </c>
      <c r="B27" s="5140">
        <v>68</v>
      </c>
      <c r="C27" s="2013"/>
      <c r="D27" s="2014"/>
      <c r="E27" s="5142"/>
      <c r="F27" s="2007">
        <f>F26*0.5</f>
        <v>0</v>
      </c>
    </row>
    <row r="28" spans="1:6" ht="12" customHeight="1">
      <c r="A28" s="2009" t="s">
        <v>1939</v>
      </c>
      <c r="B28" s="2010">
        <v>70</v>
      </c>
      <c r="C28" s="1994"/>
      <c r="D28" s="1994"/>
      <c r="E28" s="2005">
        <f>IF(ISERROR('F194'!N82+'F194'!N24),0,('F194'!N82+'F194'!N24))</f>
        <v>0</v>
      </c>
      <c r="F28" s="1996">
        <f>E28</f>
        <v>0</v>
      </c>
    </row>
    <row r="29" spans="1:6" ht="12" customHeight="1">
      <c r="A29" s="2018" t="s">
        <v>820</v>
      </c>
      <c r="B29" s="3400">
        <v>75</v>
      </c>
      <c r="C29" s="1998"/>
      <c r="D29" s="3364"/>
      <c r="E29" s="3364"/>
      <c r="F29" s="1996">
        <f>F28*0.5</f>
        <v>0</v>
      </c>
    </row>
    <row r="30" spans="1:6" ht="12" customHeight="1">
      <c r="A30" s="2016" t="s">
        <v>52</v>
      </c>
      <c r="B30" s="3401">
        <v>80</v>
      </c>
      <c r="C30" s="2005">
        <f>SUM(C9:C29)</f>
        <v>0</v>
      </c>
      <c r="D30" s="3365">
        <f>SUM(D9:D29)</f>
        <v>0</v>
      </c>
      <c r="E30" s="3366">
        <f>SUM(E9:E29)</f>
        <v>0</v>
      </c>
      <c r="F30" s="1995">
        <f>SUM(F9:F29)</f>
        <v>0</v>
      </c>
    </row>
    <row r="31" spans="1:6" ht="12" customHeight="1">
      <c r="A31" s="2018" t="s">
        <v>874</v>
      </c>
      <c r="B31" s="1986"/>
      <c r="C31" s="1999"/>
      <c r="D31" s="1999"/>
      <c r="E31" s="1998"/>
      <c r="F31" s="1998"/>
    </row>
    <row r="32" spans="1:6" ht="12" customHeight="1">
      <c r="A32" s="2019" t="s">
        <v>875</v>
      </c>
      <c r="B32" s="2020"/>
      <c r="C32" s="1999"/>
      <c r="D32" s="1999"/>
      <c r="E32" s="1999"/>
      <c r="F32" s="1999"/>
    </row>
    <row r="33" spans="1:9" ht="12" customHeight="1">
      <c r="A33" s="2021" t="s">
        <v>34</v>
      </c>
      <c r="B33" s="2022">
        <v>85</v>
      </c>
      <c r="C33" s="2001"/>
      <c r="D33" s="2001"/>
      <c r="E33" s="2001"/>
      <c r="F33" s="1999"/>
    </row>
    <row r="34" spans="1:9" ht="12" customHeight="1">
      <c r="A34" s="2009" t="s">
        <v>35</v>
      </c>
      <c r="B34" s="2010">
        <v>90</v>
      </c>
      <c r="C34" s="2004"/>
      <c r="D34" s="2004"/>
      <c r="E34" s="2004"/>
      <c r="F34" s="2023"/>
    </row>
    <row r="35" spans="1:9" ht="12" customHeight="1">
      <c r="A35" s="2024" t="s">
        <v>876</v>
      </c>
      <c r="B35" s="2017">
        <v>95</v>
      </c>
      <c r="C35" s="1996">
        <f>SUM(C31:C34)</f>
        <v>0</v>
      </c>
      <c r="D35" s="1996">
        <f>SUM(D31:D34)</f>
        <v>0</v>
      </c>
      <c r="E35" s="1996">
        <f>SUM(E31:E34)</f>
        <v>0</v>
      </c>
      <c r="F35" s="2005">
        <f>E35</f>
        <v>0</v>
      </c>
    </row>
    <row r="36" spans="1:9" ht="12" customHeight="1">
      <c r="A36" s="2021" t="s">
        <v>42</v>
      </c>
      <c r="B36" s="2022">
        <v>100</v>
      </c>
      <c r="C36" s="1998"/>
      <c r="D36" s="1998"/>
      <c r="E36" s="1998"/>
      <c r="F36" s="2004"/>
    </row>
    <row r="37" spans="1:9" ht="12" customHeight="1">
      <c r="A37" s="2009" t="s">
        <v>43</v>
      </c>
      <c r="B37" s="2010">
        <v>105</v>
      </c>
      <c r="C37" s="1999"/>
      <c r="D37" s="1999"/>
      <c r="E37" s="1999"/>
      <c r="F37" s="2004"/>
    </row>
    <row r="38" spans="1:9" ht="12" customHeight="1">
      <c r="A38" s="2009" t="s">
        <v>878</v>
      </c>
      <c r="B38" s="2017">
        <v>185</v>
      </c>
      <c r="C38" s="2025" t="s">
        <v>51</v>
      </c>
      <c r="D38" s="2025" t="s">
        <v>51</v>
      </c>
      <c r="E38" s="2025" t="s">
        <v>1189</v>
      </c>
      <c r="F38" s="1996">
        <f>SUM(F35:F37)</f>
        <v>0</v>
      </c>
    </row>
    <row r="39" spans="1:9" ht="12" customHeight="1">
      <c r="A39" s="2009" t="s">
        <v>879</v>
      </c>
      <c r="B39" s="2010">
        <v>190</v>
      </c>
      <c r="C39" s="2005">
        <f>SUM(C30-C35)</f>
        <v>0</v>
      </c>
      <c r="D39" s="2005">
        <f>SUM(D30-D35)</f>
        <v>0</v>
      </c>
      <c r="E39" s="2005">
        <f>SUM(E30-E35)</f>
        <v>0</v>
      </c>
      <c r="F39" s="3636" t="s">
        <v>1431</v>
      </c>
    </row>
    <row r="40" spans="1:9" ht="12" customHeight="1">
      <c r="A40" s="2026"/>
      <c r="B40" s="2010">
        <v>195</v>
      </c>
      <c r="C40" s="2027" t="s">
        <v>880</v>
      </c>
      <c r="D40" s="2028"/>
      <c r="E40" s="2029"/>
      <c r="F40" s="1996">
        <f>SUM(F38-F30)</f>
        <v>0</v>
      </c>
    </row>
    <row r="41" spans="1:9" ht="12" customHeight="1">
      <c r="A41" s="2026"/>
      <c r="B41" s="2010">
        <v>200</v>
      </c>
      <c r="C41" s="2027" t="s">
        <v>763</v>
      </c>
      <c r="D41" s="2028"/>
      <c r="E41" s="2029"/>
      <c r="F41" s="1996">
        <f>F40*'C01'!$F$119/100</f>
        <v>0</v>
      </c>
    </row>
    <row r="42" spans="1:9" ht="12" customHeight="1">
      <c r="A42" s="2026"/>
      <c r="B42" s="2010">
        <v>205</v>
      </c>
      <c r="C42" s="2027" t="str">
        <f>OPEN!N6</f>
        <v>Amount of 2016 Tax to be Levied</v>
      </c>
      <c r="D42" s="2028"/>
      <c r="E42" s="2030"/>
      <c r="F42" s="1996">
        <f>SUM(F40:F41)</f>
        <v>0</v>
      </c>
      <c r="H42" s="3181" t="s">
        <v>393</v>
      </c>
      <c r="I42" s="3182">
        <f>IF(ISERROR(F42/OPEN!A14*1000),"Check errors below",F42/OPEN!A14*1000)</f>
        <v>0</v>
      </c>
    </row>
    <row r="43" spans="1:9" ht="12" customHeight="1">
      <c r="A43" s="1980"/>
      <c r="B43" s="1983"/>
      <c r="C43" s="1980"/>
      <c r="D43" s="1980"/>
      <c r="E43" s="1980"/>
      <c r="F43" s="1980"/>
      <c r="H43" s="3183" t="str">
        <f>OPEN!N40</f>
        <v/>
      </c>
      <c r="I43" s="1980"/>
    </row>
    <row r="44" spans="1:9" ht="12" customHeight="1">
      <c r="A44" s="1980" t="s">
        <v>895</v>
      </c>
      <c r="B44" s="1983"/>
      <c r="C44" s="1980"/>
      <c r="D44" s="1980"/>
      <c r="E44" s="1980"/>
      <c r="F44" s="1980"/>
    </row>
    <row r="45" spans="1:9" ht="12" customHeight="1">
      <c r="A45" s="1980" t="s">
        <v>896</v>
      </c>
      <c r="B45" s="1983"/>
      <c r="C45" s="1980"/>
      <c r="D45" s="1980"/>
      <c r="E45" s="1980"/>
      <c r="F45" s="1980"/>
    </row>
    <row r="46" spans="1:9" ht="12" customHeight="1">
      <c r="A46" s="1980"/>
      <c r="B46" s="2795" t="s">
        <v>1364</v>
      </c>
      <c r="C46" s="1980"/>
      <c r="D46" s="1980"/>
      <c r="E46" s="1980"/>
      <c r="F46" s="1980"/>
    </row>
    <row r="47" spans="1:9" ht="12" customHeight="1">
      <c r="A47" s="1980"/>
      <c r="B47" s="1983"/>
      <c r="C47" s="1980"/>
      <c r="D47" s="1980"/>
      <c r="E47" s="1980"/>
      <c r="F47" s="1980"/>
    </row>
    <row r="48" spans="1:9" ht="12" customHeight="1">
      <c r="A48" s="1980"/>
      <c r="B48" s="1983"/>
      <c r="C48" s="1980"/>
      <c r="D48" s="1980"/>
      <c r="E48" s="1980"/>
      <c r="F48" s="1980"/>
    </row>
    <row r="49" spans="1:6" ht="12" customHeight="1">
      <c r="A49" s="1980"/>
      <c r="B49" s="1983"/>
      <c r="C49" s="1980"/>
      <c r="D49" s="1980"/>
      <c r="E49" s="1980"/>
      <c r="F49" s="1980"/>
    </row>
    <row r="50" spans="1:6" ht="15" customHeight="1">
      <c r="A50" s="1980"/>
      <c r="B50" s="1983"/>
      <c r="C50" s="1980"/>
      <c r="D50" s="1980"/>
      <c r="E50" s="1980"/>
      <c r="F50" s="1980"/>
    </row>
    <row r="51" spans="1:6" ht="15.75" customHeight="1">
      <c r="A51" s="1980"/>
      <c r="B51" s="1983"/>
      <c r="C51" s="1980"/>
      <c r="D51" s="1980"/>
      <c r="E51" s="1980"/>
      <c r="F51" s="1980"/>
    </row>
    <row r="52" spans="1:6" ht="12" customHeight="1">
      <c r="A52" s="1980"/>
      <c r="B52" s="1983"/>
      <c r="C52" s="1980"/>
      <c r="D52" s="1980"/>
      <c r="E52" s="1980"/>
      <c r="F52" s="1980"/>
    </row>
    <row r="53" spans="1:6" ht="12" customHeight="1">
      <c r="A53" s="1980"/>
      <c r="B53" s="1983"/>
      <c r="C53" s="1980"/>
      <c r="D53" s="1980"/>
      <c r="E53" s="1980"/>
      <c r="F53" s="1980"/>
    </row>
    <row r="54" spans="1:6" ht="12" customHeight="1">
      <c r="A54" s="2031"/>
      <c r="B54" s="2031"/>
      <c r="C54" s="2031"/>
      <c r="D54" s="2031"/>
      <c r="E54" s="2031"/>
      <c r="F54" s="2031"/>
    </row>
    <row r="55" spans="1:6" ht="12" customHeight="1">
      <c r="A55" s="1980"/>
      <c r="B55" s="1983"/>
      <c r="C55" s="2032"/>
      <c r="D55" s="2032"/>
      <c r="E55" s="2032"/>
      <c r="F55" s="2032"/>
    </row>
    <row r="56" spans="1:6" ht="12" customHeight="1">
      <c r="A56" s="1980"/>
      <c r="B56" s="1983"/>
      <c r="C56" s="2032"/>
      <c r="D56" s="2032"/>
      <c r="E56" s="2032"/>
      <c r="F56" s="2032"/>
    </row>
    <row r="57" spans="1:6" ht="12" customHeight="1">
      <c r="A57" s="1980"/>
      <c r="B57" s="1983"/>
      <c r="C57" s="2032"/>
      <c r="D57" s="2032"/>
      <c r="E57" s="2032"/>
      <c r="F57" s="2032"/>
    </row>
    <row r="58" spans="1:6" ht="12" customHeight="1">
      <c r="A58" s="1980"/>
      <c r="B58" s="1983"/>
      <c r="C58" s="2032"/>
      <c r="D58" s="2032"/>
      <c r="E58" s="2032"/>
      <c r="F58" s="2032"/>
    </row>
    <row r="59" spans="1:6" ht="12" customHeight="1">
      <c r="A59" s="1980"/>
      <c r="B59" s="1983"/>
      <c r="C59" s="2032"/>
      <c r="D59" s="2032"/>
      <c r="E59" s="2032"/>
      <c r="F59" s="2032"/>
    </row>
    <row r="60" spans="1:6" ht="12" customHeight="1">
      <c r="A60" s="1980"/>
      <c r="B60" s="1983"/>
      <c r="C60" s="2032"/>
      <c r="D60" s="2032"/>
      <c r="E60" s="2032"/>
      <c r="F60" s="2032"/>
    </row>
    <row r="61" spans="1:6" ht="12" customHeight="1">
      <c r="A61" s="1980"/>
      <c r="B61" s="1983"/>
      <c r="C61" s="2032"/>
      <c r="D61" s="2032"/>
      <c r="E61" s="2032"/>
      <c r="F61" s="2032"/>
    </row>
    <row r="62" spans="1:6" ht="12" customHeight="1">
      <c r="A62" s="1980"/>
      <c r="B62" s="1983"/>
      <c r="C62" s="2032"/>
      <c r="D62" s="2032"/>
      <c r="E62" s="2032"/>
      <c r="F62" s="2032"/>
    </row>
    <row r="63" spans="1:6" ht="12" customHeight="1">
      <c r="A63" s="1980"/>
      <c r="B63" s="1983"/>
      <c r="C63" s="2032"/>
      <c r="D63" s="2032"/>
      <c r="E63" s="2032"/>
      <c r="F63" s="2032"/>
    </row>
    <row r="64" spans="1:6" ht="12" customHeight="1">
      <c r="A64" s="1980"/>
      <c r="B64" s="1983"/>
      <c r="C64" s="2032"/>
      <c r="D64" s="2032"/>
      <c r="E64" s="2032"/>
      <c r="F64" s="2032"/>
    </row>
    <row r="65" spans="1:6" ht="12" customHeight="1">
      <c r="A65" s="1980"/>
      <c r="B65" s="1983"/>
      <c r="C65" s="2032"/>
      <c r="D65" s="2032"/>
      <c r="E65" s="2032"/>
      <c r="F65" s="2032"/>
    </row>
    <row r="66" spans="1:6" ht="12" customHeight="1">
      <c r="A66" s="1980"/>
      <c r="B66" s="1983"/>
      <c r="C66" s="2032"/>
      <c r="D66" s="2032"/>
      <c r="E66" s="2032"/>
      <c r="F66" s="2032"/>
    </row>
    <row r="67" spans="1:6" ht="12" customHeight="1">
      <c r="A67" s="1980"/>
      <c r="B67" s="1983"/>
      <c r="C67" s="2032"/>
      <c r="D67" s="2032"/>
      <c r="E67" s="2032"/>
      <c r="F67" s="2032"/>
    </row>
    <row r="68" spans="1:6" ht="12" customHeight="1">
      <c r="A68" s="1980"/>
      <c r="B68" s="1983"/>
      <c r="C68" s="2032"/>
      <c r="D68" s="2032"/>
      <c r="E68" s="2032"/>
      <c r="F68" s="2032"/>
    </row>
    <row r="69" spans="1:6" ht="12" customHeight="1">
      <c r="A69" s="1980"/>
      <c r="B69" s="1983"/>
      <c r="C69" s="2032"/>
      <c r="D69" s="2032"/>
      <c r="E69" s="2032"/>
      <c r="F69" s="2032"/>
    </row>
    <row r="70" spans="1:6" ht="12" customHeight="1">
      <c r="A70" s="1980"/>
      <c r="B70" s="1983"/>
      <c r="C70" s="2032"/>
      <c r="D70" s="2032"/>
      <c r="E70" s="2032"/>
      <c r="F70" s="2032"/>
    </row>
    <row r="71" spans="1:6" ht="12" customHeight="1">
      <c r="A71" s="1980"/>
      <c r="B71" s="1983"/>
      <c r="C71" s="2032"/>
      <c r="D71" s="2032"/>
      <c r="E71" s="2032"/>
      <c r="F71" s="2032"/>
    </row>
    <row r="72" spans="1:6" ht="12" customHeight="1">
      <c r="A72" s="1980"/>
      <c r="B72" s="1983"/>
      <c r="C72" s="2032"/>
      <c r="D72" s="2032"/>
      <c r="E72" s="2032"/>
      <c r="F72" s="2032"/>
    </row>
    <row r="73" spans="1:6" ht="12" customHeight="1">
      <c r="A73" s="1980"/>
      <c r="B73" s="1983"/>
      <c r="C73" s="2032"/>
      <c r="D73" s="2032"/>
      <c r="E73" s="2032"/>
      <c r="F73" s="2032"/>
    </row>
    <row r="74" spans="1:6" ht="12" customHeight="1">
      <c r="A74" s="1980"/>
      <c r="B74" s="1983"/>
      <c r="C74" s="2032"/>
      <c r="D74" s="2032"/>
      <c r="E74" s="2032"/>
      <c r="F74" s="2032"/>
    </row>
    <row r="75" spans="1:6" ht="12" customHeight="1">
      <c r="A75" s="1980"/>
      <c r="B75" s="1983"/>
      <c r="C75" s="2032"/>
      <c r="D75" s="2032"/>
      <c r="E75" s="2032"/>
      <c r="F75" s="2032"/>
    </row>
    <row r="76" spans="1:6" ht="12" customHeight="1">
      <c r="A76" s="1980"/>
      <c r="B76" s="1983"/>
      <c r="C76" s="2032"/>
      <c r="D76" s="2032"/>
      <c r="E76" s="2032"/>
      <c r="F76" s="2032"/>
    </row>
    <row r="77" spans="1:6" ht="12" customHeight="1">
      <c r="A77" s="1980"/>
      <c r="B77" s="1983"/>
      <c r="C77" s="2032"/>
      <c r="D77" s="2032"/>
      <c r="E77" s="2032"/>
      <c r="F77" s="2032"/>
    </row>
    <row r="78" spans="1:6" ht="12" customHeight="1">
      <c r="A78" s="1980"/>
      <c r="B78" s="1983"/>
      <c r="C78" s="2032"/>
      <c r="D78" s="2032"/>
      <c r="E78" s="2032"/>
      <c r="F78" s="2032"/>
    </row>
    <row r="79" spans="1:6" ht="12" customHeight="1">
      <c r="A79" s="1980"/>
      <c r="B79" s="1983"/>
      <c r="C79" s="2032"/>
      <c r="D79" s="2032"/>
      <c r="E79" s="2032"/>
      <c r="F79" s="2032"/>
    </row>
    <row r="80" spans="1:6" ht="12" customHeight="1">
      <c r="A80" s="1980"/>
      <c r="B80" s="1983"/>
      <c r="C80" s="2032"/>
      <c r="D80" s="2032"/>
      <c r="E80" s="2032"/>
      <c r="F80" s="2032"/>
    </row>
    <row r="81" spans="1:6" ht="12" customHeight="1">
      <c r="A81" s="1980"/>
      <c r="B81" s="1983"/>
      <c r="C81" s="2032"/>
      <c r="D81" s="2032"/>
      <c r="E81" s="2032"/>
      <c r="F81" s="2032"/>
    </row>
    <row r="82" spans="1:6" ht="12" customHeight="1">
      <c r="A82" s="1980"/>
      <c r="B82" s="1983"/>
      <c r="C82" s="2032"/>
      <c r="D82" s="2032"/>
      <c r="E82" s="2032"/>
      <c r="F82" s="2032"/>
    </row>
    <row r="83" spans="1:6" ht="12" customHeight="1">
      <c r="A83" s="1980"/>
      <c r="B83" s="1983"/>
      <c r="C83" s="2032"/>
      <c r="D83" s="2032"/>
      <c r="E83" s="2032"/>
      <c r="F83" s="2032"/>
    </row>
    <row r="84" spans="1:6" ht="12" customHeight="1">
      <c r="A84" s="1980"/>
      <c r="B84" s="1983"/>
      <c r="C84" s="2032"/>
      <c r="D84" s="2032"/>
      <c r="E84" s="2032"/>
      <c r="F84" s="2032"/>
    </row>
    <row r="85" spans="1:6" ht="12" customHeight="1">
      <c r="A85" s="1980"/>
      <c r="B85" s="1983"/>
      <c r="C85" s="2032"/>
      <c r="D85" s="2032"/>
      <c r="E85" s="2032"/>
      <c r="F85" s="2032"/>
    </row>
    <row r="86" spans="1:6" ht="12" customHeight="1">
      <c r="A86" s="1980"/>
      <c r="B86" s="1983"/>
      <c r="C86" s="2032"/>
      <c r="D86" s="2032"/>
      <c r="E86" s="2032"/>
      <c r="F86" s="2032"/>
    </row>
    <row r="87" spans="1:6" ht="12" customHeight="1">
      <c r="A87" s="1980"/>
      <c r="B87" s="1983"/>
      <c r="C87" s="2032"/>
      <c r="D87" s="2032"/>
      <c r="E87" s="2032"/>
      <c r="F87" s="2032"/>
    </row>
    <row r="88" spans="1:6" ht="12" customHeight="1">
      <c r="A88" s="1980"/>
      <c r="B88" s="1983"/>
      <c r="C88" s="2032"/>
      <c r="D88" s="2032"/>
      <c r="E88" s="2032"/>
      <c r="F88" s="2032"/>
    </row>
    <row r="89" spans="1:6" ht="12" customHeight="1">
      <c r="A89" s="1980"/>
      <c r="B89" s="1983"/>
      <c r="C89" s="2032"/>
      <c r="D89" s="2032"/>
      <c r="E89" s="2032"/>
      <c r="F89" s="2032"/>
    </row>
    <row r="90" spans="1:6" ht="12" customHeight="1">
      <c r="A90" s="1980"/>
      <c r="B90" s="1983"/>
      <c r="C90" s="2032"/>
      <c r="D90" s="2032"/>
      <c r="E90" s="2032"/>
      <c r="F90" s="2032"/>
    </row>
    <row r="91" spans="1:6" ht="12" customHeight="1">
      <c r="A91" s="1980"/>
      <c r="B91" s="1983"/>
      <c r="C91" s="2032"/>
      <c r="D91" s="2032"/>
      <c r="E91" s="2032"/>
      <c r="F91" s="2032"/>
    </row>
    <row r="92" spans="1:6" ht="12" customHeight="1">
      <c r="A92" s="1980"/>
      <c r="B92" s="1983"/>
      <c r="C92" s="2032"/>
      <c r="D92" s="2032"/>
      <c r="E92" s="2032"/>
      <c r="F92" s="2032"/>
    </row>
    <row r="93" spans="1:6" ht="12" customHeight="1">
      <c r="A93" s="1980"/>
      <c r="B93" s="1983"/>
      <c r="C93" s="2032"/>
      <c r="D93" s="2032"/>
      <c r="E93" s="2032"/>
      <c r="F93" s="2032"/>
    </row>
    <row r="94" spans="1:6" ht="12" customHeight="1">
      <c r="A94" s="1980"/>
      <c r="B94" s="1983"/>
      <c r="C94" s="2032"/>
      <c r="D94" s="2032"/>
      <c r="E94" s="2032"/>
      <c r="F94" s="2032"/>
    </row>
    <row r="95" spans="1:6" ht="12" customHeight="1">
      <c r="A95" s="1980"/>
      <c r="B95" s="1983"/>
      <c r="C95" s="2032"/>
      <c r="D95" s="2032"/>
      <c r="E95" s="2032"/>
      <c r="F95" s="2032"/>
    </row>
    <row r="96" spans="1:6" ht="12" customHeight="1">
      <c r="A96" s="1980"/>
      <c r="B96" s="1983"/>
      <c r="C96" s="2032"/>
      <c r="D96" s="2032"/>
      <c r="E96" s="2032"/>
      <c r="F96" s="2032"/>
    </row>
    <row r="97" spans="1:6" ht="12" customHeight="1">
      <c r="A97" s="1980"/>
      <c r="B97" s="1983"/>
      <c r="C97" s="2032"/>
      <c r="D97" s="2032"/>
      <c r="E97" s="2032"/>
      <c r="F97" s="2032"/>
    </row>
    <row r="98" spans="1:6" ht="12" customHeight="1">
      <c r="A98" s="1980"/>
      <c r="B98" s="1983"/>
      <c r="C98" s="2032"/>
      <c r="D98" s="2032"/>
      <c r="E98" s="2032"/>
      <c r="F98" s="2032"/>
    </row>
    <row r="99" spans="1:6" ht="12" customHeight="1">
      <c r="A99" s="1980"/>
      <c r="B99" s="1983"/>
      <c r="C99" s="2032"/>
      <c r="D99" s="2032"/>
      <c r="E99" s="2032"/>
      <c r="F99" s="2032"/>
    </row>
    <row r="100" spans="1:6" ht="12" customHeight="1">
      <c r="A100" s="1980"/>
      <c r="B100" s="1983"/>
      <c r="C100" s="2032"/>
      <c r="D100" s="2032"/>
      <c r="E100" s="2032"/>
      <c r="F100" s="2032"/>
    </row>
    <row r="101" spans="1:6" ht="12" customHeight="1">
      <c r="A101" s="1980"/>
      <c r="B101" s="1983"/>
      <c r="C101" s="2032"/>
      <c r="D101" s="2032"/>
      <c r="E101" s="2032"/>
      <c r="F101" s="2032"/>
    </row>
    <row r="102" spans="1:6" ht="12" customHeight="1">
      <c r="A102" s="1980"/>
      <c r="B102" s="1983"/>
      <c r="C102" s="2032"/>
      <c r="D102" s="2032"/>
      <c r="E102" s="2032"/>
      <c r="F102" s="2032"/>
    </row>
    <row r="103" spans="1:6" ht="12" customHeight="1">
      <c r="A103" s="1980"/>
      <c r="B103" s="1983"/>
      <c r="C103" s="2032"/>
      <c r="D103" s="2032"/>
      <c r="E103" s="2032"/>
      <c r="F103" s="2032"/>
    </row>
    <row r="104" spans="1:6" ht="12" customHeight="1">
      <c r="A104" s="1980"/>
      <c r="B104" s="1983"/>
      <c r="C104" s="2032"/>
      <c r="D104" s="2032"/>
      <c r="E104" s="2032"/>
      <c r="F104" s="2032"/>
    </row>
    <row r="105" spans="1:6" ht="12" customHeight="1">
      <c r="A105" s="1980"/>
      <c r="B105" s="1983"/>
      <c r="C105" s="2032"/>
      <c r="D105" s="2032"/>
      <c r="E105" s="2032"/>
      <c r="F105" s="2032"/>
    </row>
    <row r="106" spans="1:6" ht="12" customHeight="1">
      <c r="A106" s="1980"/>
      <c r="B106" s="1983"/>
      <c r="C106" s="2032"/>
      <c r="D106" s="2032"/>
      <c r="E106" s="2032"/>
      <c r="F106" s="2032"/>
    </row>
    <row r="107" spans="1:6" ht="12" customHeight="1">
      <c r="A107" s="1980"/>
      <c r="B107" s="1983"/>
      <c r="C107" s="2032"/>
      <c r="D107" s="2032"/>
      <c r="E107" s="2032"/>
      <c r="F107" s="2032"/>
    </row>
    <row r="108" spans="1:6" ht="12" customHeight="1">
      <c r="A108" s="1980"/>
      <c r="B108" s="1983"/>
      <c r="C108" s="2032"/>
      <c r="D108" s="2032"/>
      <c r="E108" s="2032"/>
      <c r="F108" s="2032"/>
    </row>
    <row r="109" spans="1:6" ht="12" customHeight="1">
      <c r="A109" s="1980"/>
      <c r="B109" s="1983"/>
      <c r="C109" s="2032"/>
      <c r="D109" s="2032"/>
      <c r="E109" s="2032"/>
      <c r="F109" s="2032"/>
    </row>
    <row r="110" spans="1:6" ht="12" customHeight="1">
      <c r="A110" s="1980"/>
      <c r="B110" s="1983"/>
      <c r="C110" s="2032"/>
      <c r="D110" s="2032"/>
      <c r="E110" s="2032"/>
      <c r="F110" s="2032"/>
    </row>
    <row r="111" spans="1:6" ht="12" customHeight="1">
      <c r="A111" s="1980"/>
      <c r="B111" s="1983"/>
      <c r="C111" s="2032"/>
      <c r="D111" s="2032"/>
      <c r="E111" s="2032"/>
      <c r="F111" s="2032"/>
    </row>
    <row r="112" spans="1:6" ht="12" customHeight="1">
      <c r="A112" s="1980"/>
      <c r="B112" s="1983"/>
      <c r="C112" s="2032"/>
      <c r="D112" s="2032"/>
      <c r="E112" s="2032"/>
      <c r="F112" s="2032"/>
    </row>
    <row r="113" spans="1:6" ht="12" customHeight="1">
      <c r="A113" s="1980"/>
      <c r="B113" s="1983"/>
      <c r="C113" s="2032"/>
      <c r="D113" s="2032"/>
      <c r="E113" s="2032"/>
      <c r="F113" s="2032"/>
    </row>
    <row r="114" spans="1:6" ht="12" customHeight="1">
      <c r="A114" s="1980"/>
      <c r="B114" s="1983"/>
      <c r="C114" s="2032"/>
      <c r="D114" s="2032"/>
      <c r="E114" s="2032"/>
      <c r="F114" s="2032"/>
    </row>
    <row r="115" spans="1:6" ht="5.0999999999999996" customHeight="1">
      <c r="A115" s="1980"/>
      <c r="B115" s="1983"/>
      <c r="C115" s="2032"/>
      <c r="D115" s="2032"/>
      <c r="E115" s="2032"/>
      <c r="F115" s="2032"/>
    </row>
    <row r="116" spans="1:6" ht="12" customHeight="1">
      <c r="A116" s="1980"/>
      <c r="B116" s="1983"/>
      <c r="C116" s="2032"/>
      <c r="D116" s="2032"/>
      <c r="E116" s="2032"/>
      <c r="F116" s="2032"/>
    </row>
    <row r="117" spans="1:6" ht="12" customHeight="1">
      <c r="A117" s="1980"/>
      <c r="B117" s="1983"/>
      <c r="C117" s="2032"/>
      <c r="D117" s="2032"/>
      <c r="E117" s="2032"/>
      <c r="F117" s="2032"/>
    </row>
    <row r="118" spans="1:6" ht="12" customHeight="1">
      <c r="A118" s="1980"/>
      <c r="B118" s="1983"/>
      <c r="C118" s="2032"/>
      <c r="D118" s="2032"/>
      <c r="E118" s="2032"/>
      <c r="F118" s="2032"/>
    </row>
    <row r="119" spans="1:6" ht="12" customHeight="1">
      <c r="A119" s="1980"/>
      <c r="B119" s="1983"/>
      <c r="C119" s="2032"/>
      <c r="D119" s="2032"/>
      <c r="E119" s="2032"/>
      <c r="F119" s="2032"/>
    </row>
    <row r="120" spans="1:6" ht="12" customHeight="1">
      <c r="A120" s="1980"/>
      <c r="B120" s="1983"/>
      <c r="C120" s="2032"/>
      <c r="D120" s="2032"/>
      <c r="E120" s="2032"/>
      <c r="F120" s="2032"/>
    </row>
    <row r="121" spans="1:6" ht="12" customHeight="1">
      <c r="A121" s="1980"/>
      <c r="B121" s="1983"/>
      <c r="C121" s="2032"/>
      <c r="D121" s="2032"/>
      <c r="E121" s="2032"/>
      <c r="F121" s="2032"/>
    </row>
    <row r="122" spans="1:6" ht="12" customHeight="1">
      <c r="A122" s="1980"/>
      <c r="B122" s="1983"/>
      <c r="C122" s="2032"/>
      <c r="D122" s="2032"/>
      <c r="E122" s="2032"/>
      <c r="F122" s="2032"/>
    </row>
    <row r="123" spans="1:6" ht="12" customHeight="1">
      <c r="A123" s="1980"/>
      <c r="B123" s="1983"/>
      <c r="C123" s="2032"/>
      <c r="D123" s="2032"/>
      <c r="E123" s="2032"/>
      <c r="F123" s="2032"/>
    </row>
    <row r="124" spans="1:6" ht="12" customHeight="1">
      <c r="A124" s="1980"/>
      <c r="B124" s="1983"/>
      <c r="C124" s="2032"/>
      <c r="D124" s="2032"/>
      <c r="E124" s="2032"/>
      <c r="F124" s="2032"/>
    </row>
    <row r="125" spans="1:6" ht="12" customHeight="1">
      <c r="A125" s="1980"/>
      <c r="B125" s="1983"/>
      <c r="C125" s="2032"/>
      <c r="D125" s="2032"/>
      <c r="E125" s="2032"/>
      <c r="F125" s="2032"/>
    </row>
    <row r="126" spans="1:6" ht="12" customHeight="1">
      <c r="A126" s="1980"/>
      <c r="B126" s="1983"/>
      <c r="C126" s="2032"/>
      <c r="D126" s="2032"/>
      <c r="E126" s="2032"/>
      <c r="F126" s="2032"/>
    </row>
    <row r="127" spans="1:6" ht="12" customHeight="1">
      <c r="A127" s="1980"/>
      <c r="B127" s="1983"/>
      <c r="C127" s="2032"/>
      <c r="D127" s="2032"/>
      <c r="E127" s="2032"/>
      <c r="F127" s="2032"/>
    </row>
    <row r="128" spans="1:6" ht="12" customHeight="1">
      <c r="A128" s="1980"/>
      <c r="B128" s="1983"/>
      <c r="C128" s="2032"/>
      <c r="D128" s="2032"/>
      <c r="E128" s="2032"/>
      <c r="F128" s="2032"/>
    </row>
    <row r="129" spans="1:6" ht="12" customHeight="1">
      <c r="A129" s="1980"/>
      <c r="B129" s="1983"/>
      <c r="C129" s="2032"/>
      <c r="D129" s="2032"/>
      <c r="E129" s="2032"/>
      <c r="F129" s="2032"/>
    </row>
    <row r="130" spans="1:6" ht="12" customHeight="1">
      <c r="A130" s="1980"/>
      <c r="B130" s="1983"/>
      <c r="C130" s="2032"/>
      <c r="D130" s="2032"/>
      <c r="E130" s="2032"/>
      <c r="F130" s="2032"/>
    </row>
    <row r="131" spans="1:6" ht="12" customHeight="1">
      <c r="A131" s="1980"/>
      <c r="B131" s="1983"/>
      <c r="C131" s="2032"/>
      <c r="D131" s="2032"/>
      <c r="E131" s="2032"/>
      <c r="F131" s="2032"/>
    </row>
    <row r="132" spans="1:6" ht="12" customHeight="1">
      <c r="A132" s="1980"/>
      <c r="B132" s="1983"/>
      <c r="C132" s="2032"/>
      <c r="D132" s="2032"/>
      <c r="E132" s="2032"/>
      <c r="F132" s="2032"/>
    </row>
    <row r="133" spans="1:6" ht="12" customHeight="1">
      <c r="A133" s="1980"/>
      <c r="B133" s="1983"/>
      <c r="C133" s="2032"/>
      <c r="D133" s="2032"/>
      <c r="E133" s="2032"/>
      <c r="F133" s="2032"/>
    </row>
    <row r="134" spans="1:6" ht="12" customHeight="1">
      <c r="A134" s="1980"/>
      <c r="B134" s="1983"/>
      <c r="C134" s="2032"/>
      <c r="D134" s="2032"/>
      <c r="E134" s="2032"/>
      <c r="F134" s="2032"/>
    </row>
    <row r="135" spans="1:6" ht="12" customHeight="1">
      <c r="A135" s="1980"/>
      <c r="B135" s="1983"/>
      <c r="C135" s="2032"/>
      <c r="D135" s="2032"/>
      <c r="E135" s="2032"/>
      <c r="F135" s="2032"/>
    </row>
    <row r="136" spans="1:6" ht="12" customHeight="1">
      <c r="A136" s="1980"/>
      <c r="B136" s="1983"/>
      <c r="C136" s="2032"/>
      <c r="D136" s="2032"/>
      <c r="E136" s="2032"/>
      <c r="F136" s="2032"/>
    </row>
    <row r="137" spans="1:6" ht="12" customHeight="1">
      <c r="A137" s="1980"/>
      <c r="B137" s="1983"/>
      <c r="C137" s="2032"/>
      <c r="D137" s="2032"/>
      <c r="E137" s="2032"/>
      <c r="F137" s="2032"/>
    </row>
    <row r="138" spans="1:6" ht="12" customHeight="1">
      <c r="A138" s="1980"/>
      <c r="B138" s="1983"/>
      <c r="C138" s="2032"/>
      <c r="D138" s="2032"/>
      <c r="E138" s="2032"/>
      <c r="F138" s="2032"/>
    </row>
    <row r="139" spans="1:6" ht="12" customHeight="1">
      <c r="A139" s="1980"/>
      <c r="B139" s="1983"/>
      <c r="C139" s="2032"/>
      <c r="D139" s="2032"/>
      <c r="E139" s="2032"/>
      <c r="F139" s="2032"/>
    </row>
    <row r="140" spans="1:6" ht="12" customHeight="1">
      <c r="A140" s="1980"/>
      <c r="B140" s="1983"/>
      <c r="C140" s="2032"/>
      <c r="D140" s="2032"/>
      <c r="E140" s="2032"/>
      <c r="F140" s="2032"/>
    </row>
    <row r="141" spans="1:6" ht="12" customHeight="1">
      <c r="A141" s="1980"/>
      <c r="B141" s="1983"/>
      <c r="C141" s="2032"/>
      <c r="D141" s="2032"/>
      <c r="E141" s="2032"/>
      <c r="F141" s="2032"/>
    </row>
    <row r="142" spans="1:6" ht="12" customHeight="1">
      <c r="A142" s="1980"/>
      <c r="B142" s="1983"/>
      <c r="C142" s="2032"/>
      <c r="D142" s="2032"/>
      <c r="E142" s="2032"/>
      <c r="F142" s="2032"/>
    </row>
    <row r="143" spans="1:6" ht="12" customHeight="1">
      <c r="A143" s="1980"/>
      <c r="B143" s="1983"/>
      <c r="C143" s="2032"/>
      <c r="D143" s="2032"/>
      <c r="E143" s="2032"/>
      <c r="F143" s="2032"/>
    </row>
    <row r="144" spans="1:6" ht="12" customHeight="1">
      <c r="A144" s="1980"/>
      <c r="B144" s="1983"/>
      <c r="C144" s="2032"/>
      <c r="D144" s="2032"/>
      <c r="E144" s="2032"/>
      <c r="F144" s="2032"/>
    </row>
    <row r="145" spans="1:6" ht="12" customHeight="1">
      <c r="A145" s="1980"/>
      <c r="B145" s="1983"/>
      <c r="C145" s="2032"/>
      <c r="D145" s="2032"/>
      <c r="E145" s="2032"/>
      <c r="F145" s="2032"/>
    </row>
    <row r="146" spans="1:6" ht="12" customHeight="1">
      <c r="A146" s="1980"/>
      <c r="B146" s="1983"/>
      <c r="C146" s="2032"/>
      <c r="D146" s="2032"/>
      <c r="E146" s="2032"/>
      <c r="F146" s="2032"/>
    </row>
    <row r="147" spans="1:6" ht="12" customHeight="1">
      <c r="A147" s="1980"/>
      <c r="B147" s="1983"/>
      <c r="C147" s="2032"/>
      <c r="D147" s="2032"/>
      <c r="E147" s="2032"/>
      <c r="F147" s="2032"/>
    </row>
    <row r="148" spans="1:6" ht="12" customHeight="1">
      <c r="A148" s="1980"/>
      <c r="B148" s="1983"/>
      <c r="C148" s="2032"/>
      <c r="D148" s="2032"/>
      <c r="E148" s="2032"/>
      <c r="F148" s="2032"/>
    </row>
    <row r="149" spans="1:6" ht="12" customHeight="1">
      <c r="A149" s="1980"/>
      <c r="B149" s="1983"/>
      <c r="C149" s="2032"/>
      <c r="D149" s="2032"/>
      <c r="E149" s="2032"/>
      <c r="F149" s="2032"/>
    </row>
    <row r="150" spans="1:6" ht="12" customHeight="1">
      <c r="A150" s="1980"/>
      <c r="B150" s="1983"/>
      <c r="C150" s="2032"/>
      <c r="D150" s="2032"/>
      <c r="E150" s="2032"/>
      <c r="F150" s="2032"/>
    </row>
    <row r="151" spans="1:6" ht="12" customHeight="1">
      <c r="A151" s="1980"/>
      <c r="B151" s="1983"/>
      <c r="C151" s="2032"/>
      <c r="D151" s="2032"/>
      <c r="E151" s="2032"/>
      <c r="F151" s="2032"/>
    </row>
    <row r="152" spans="1:6" ht="12" customHeight="1">
      <c r="A152" s="1980"/>
      <c r="B152" s="1983"/>
      <c r="C152" s="2032"/>
      <c r="D152" s="2032"/>
      <c r="E152" s="2032"/>
      <c r="F152" s="2032"/>
    </row>
    <row r="153" spans="1:6" ht="12" customHeight="1">
      <c r="A153" s="1980"/>
      <c r="B153" s="1983"/>
      <c r="C153" s="2032"/>
      <c r="D153" s="2032"/>
      <c r="E153" s="2032"/>
      <c r="F153" s="2032"/>
    </row>
    <row r="154" spans="1:6" ht="12" customHeight="1">
      <c r="A154" s="1980"/>
      <c r="B154" s="1983"/>
      <c r="C154" s="2032"/>
      <c r="D154" s="2032"/>
      <c r="E154" s="2032"/>
      <c r="F154" s="2032"/>
    </row>
    <row r="155" spans="1:6" ht="12" customHeight="1">
      <c r="A155" s="1980"/>
      <c r="B155" s="1983"/>
      <c r="C155" s="2032"/>
      <c r="D155" s="2032"/>
      <c r="E155" s="2032"/>
      <c r="F155" s="2032"/>
    </row>
    <row r="156" spans="1:6" ht="12" customHeight="1">
      <c r="A156" s="1980"/>
      <c r="B156" s="1983"/>
      <c r="C156" s="2032"/>
      <c r="D156" s="2032"/>
      <c r="E156" s="2032"/>
      <c r="F156" s="2032"/>
    </row>
    <row r="157" spans="1:6" ht="12" customHeight="1">
      <c r="A157" s="1980"/>
      <c r="B157" s="1983"/>
      <c r="C157" s="2032"/>
      <c r="D157" s="2032"/>
      <c r="E157" s="2032"/>
      <c r="F157" s="2032"/>
    </row>
    <row r="158" spans="1:6" ht="12" customHeight="1">
      <c r="A158" s="1980"/>
      <c r="B158" s="1983"/>
      <c r="C158" s="2032"/>
      <c r="D158" s="2032"/>
      <c r="E158" s="2032"/>
      <c r="F158" s="2032"/>
    </row>
    <row r="159" spans="1:6" ht="12" customHeight="1">
      <c r="A159" s="1980"/>
      <c r="B159" s="1983"/>
      <c r="C159" s="2032"/>
      <c r="D159" s="2032"/>
      <c r="E159" s="2032"/>
      <c r="F159" s="2032"/>
    </row>
    <row r="160" spans="1:6" ht="12" customHeight="1">
      <c r="A160" s="1980"/>
      <c r="B160" s="1983"/>
      <c r="C160" s="2032"/>
      <c r="D160" s="2032"/>
      <c r="E160" s="2032"/>
      <c r="F160" s="2032"/>
    </row>
    <row r="161" spans="1:6" ht="12" customHeight="1">
      <c r="A161" s="1980"/>
      <c r="B161" s="1983"/>
      <c r="C161" s="2032"/>
      <c r="D161" s="2032"/>
      <c r="E161" s="2032"/>
      <c r="F161" s="2032"/>
    </row>
    <row r="162" spans="1:6" ht="12" customHeight="1">
      <c r="A162" s="1980"/>
      <c r="B162" s="1983"/>
      <c r="C162" s="2032"/>
      <c r="D162" s="2032"/>
      <c r="E162" s="2032"/>
      <c r="F162" s="2032"/>
    </row>
    <row r="163" spans="1:6" ht="12" customHeight="1">
      <c r="A163" s="1980"/>
      <c r="B163" s="1983"/>
      <c r="C163" s="2032"/>
      <c r="D163" s="2032"/>
      <c r="E163" s="2032"/>
      <c r="F163" s="2032"/>
    </row>
    <row r="164" spans="1:6" ht="12" customHeight="1">
      <c r="A164" s="1980"/>
      <c r="B164" s="1983"/>
      <c r="C164" s="2032"/>
      <c r="D164" s="2032"/>
      <c r="E164" s="2032"/>
      <c r="F164" s="2032"/>
    </row>
    <row r="165" spans="1:6" ht="12" customHeight="1">
      <c r="A165" s="1980"/>
      <c r="B165" s="1983"/>
      <c r="C165" s="2032"/>
      <c r="D165" s="2032"/>
      <c r="E165" s="2032"/>
      <c r="F165" s="2032"/>
    </row>
    <row r="166" spans="1:6" ht="12" customHeight="1">
      <c r="A166" s="1980"/>
      <c r="B166" s="1983"/>
      <c r="C166" s="2032"/>
      <c r="D166" s="2032"/>
      <c r="E166" s="2032"/>
      <c r="F166" s="2032"/>
    </row>
    <row r="167" spans="1:6" ht="12" customHeight="1">
      <c r="A167" s="1980"/>
      <c r="B167" s="1983"/>
      <c r="C167" s="2032"/>
      <c r="D167" s="2032"/>
      <c r="E167" s="2032"/>
      <c r="F167" s="2032"/>
    </row>
    <row r="168" spans="1:6" ht="12" customHeight="1">
      <c r="A168" s="1980"/>
      <c r="B168" s="1983"/>
      <c r="C168" s="2032"/>
      <c r="D168" s="2032"/>
      <c r="E168" s="2032"/>
      <c r="F168" s="2032"/>
    </row>
    <row r="169" spans="1:6" ht="12" customHeight="1">
      <c r="A169" s="1980"/>
      <c r="B169" s="1983"/>
      <c r="C169" s="2032"/>
      <c r="D169" s="2032"/>
      <c r="E169" s="2032"/>
      <c r="F169" s="2032"/>
    </row>
    <row r="170" spans="1:6" ht="12" customHeight="1">
      <c r="A170" s="1980"/>
      <c r="B170" s="1983"/>
      <c r="C170" s="2032"/>
      <c r="D170" s="2032"/>
      <c r="E170" s="2032"/>
      <c r="F170" s="2032"/>
    </row>
    <row r="171" spans="1:6" ht="12" customHeight="1">
      <c r="A171" s="1980"/>
      <c r="B171" s="1983"/>
      <c r="C171" s="2032"/>
      <c r="D171" s="2032"/>
      <c r="E171" s="2032"/>
      <c r="F171" s="2032"/>
    </row>
    <row r="172" spans="1:6" ht="12" customHeight="1">
      <c r="A172" s="1980"/>
      <c r="B172" s="1983"/>
      <c r="C172" s="2032"/>
      <c r="D172" s="2032"/>
      <c r="E172" s="2032"/>
      <c r="F172" s="2032"/>
    </row>
    <row r="173" spans="1:6" ht="12" customHeight="1">
      <c r="A173" s="1980"/>
      <c r="B173" s="1983"/>
      <c r="C173" s="2032"/>
      <c r="D173" s="2032"/>
      <c r="E173" s="2032"/>
      <c r="F173" s="2032"/>
    </row>
    <row r="174" spans="1:6" ht="12" customHeight="1">
      <c r="A174" s="1980"/>
      <c r="B174" s="1983"/>
      <c r="C174" s="2032"/>
      <c r="D174" s="2032"/>
      <c r="E174" s="2032"/>
      <c r="F174" s="2032"/>
    </row>
    <row r="175" spans="1:6" ht="12" customHeight="1">
      <c r="A175" s="1980"/>
      <c r="B175" s="1983"/>
      <c r="C175" s="2032"/>
      <c r="D175" s="2032"/>
      <c r="E175" s="2032"/>
      <c r="F175" s="2032"/>
    </row>
    <row r="176" spans="1:6" ht="12" customHeight="1">
      <c r="A176" s="1980"/>
      <c r="B176" s="1983"/>
      <c r="C176" s="2032"/>
      <c r="D176" s="2032"/>
      <c r="E176" s="2032"/>
      <c r="F176" s="2032"/>
    </row>
    <row r="177" spans="1:6" ht="12" customHeight="1">
      <c r="A177" s="1980"/>
      <c r="B177" s="1983"/>
      <c r="C177" s="2032"/>
      <c r="D177" s="2032"/>
      <c r="E177" s="2032"/>
      <c r="F177" s="2032"/>
    </row>
    <row r="178" spans="1:6" ht="12" customHeight="1">
      <c r="A178" s="1980"/>
      <c r="B178" s="1983"/>
      <c r="C178" s="2032"/>
      <c r="D178" s="2032"/>
      <c r="E178" s="2032"/>
      <c r="F178" s="2032"/>
    </row>
    <row r="179" spans="1:6" ht="12" customHeight="1">
      <c r="A179" s="1980"/>
      <c r="B179" s="1983"/>
      <c r="C179" s="2032"/>
      <c r="D179" s="2032"/>
      <c r="E179" s="2032"/>
      <c r="F179" s="2032"/>
    </row>
    <row r="180" spans="1:6" ht="12" customHeight="1">
      <c r="A180" s="1980"/>
      <c r="B180" s="1983"/>
      <c r="C180" s="2032"/>
      <c r="D180" s="2032"/>
      <c r="E180" s="2032"/>
      <c r="F180" s="2032"/>
    </row>
    <row r="181" spans="1:6" ht="12" customHeight="1">
      <c r="A181" s="1980"/>
      <c r="B181" s="1983"/>
      <c r="C181" s="2032"/>
      <c r="D181" s="2032"/>
      <c r="E181" s="2032"/>
      <c r="F181" s="2032"/>
    </row>
    <row r="182" spans="1:6" ht="12" customHeight="1">
      <c r="A182" s="1980"/>
      <c r="B182" s="1983"/>
      <c r="C182" s="2032"/>
      <c r="D182" s="2032"/>
      <c r="E182" s="2032"/>
      <c r="F182" s="2032"/>
    </row>
    <row r="183" spans="1:6" ht="12" customHeight="1">
      <c r="A183" s="1980"/>
      <c r="B183" s="1983"/>
      <c r="C183" s="2032"/>
      <c r="D183" s="2032"/>
      <c r="E183" s="2032"/>
      <c r="F183" s="2032"/>
    </row>
    <row r="184" spans="1:6" ht="12" customHeight="1">
      <c r="A184" s="1980"/>
      <c r="B184" s="1983"/>
      <c r="C184" s="2032"/>
      <c r="D184" s="2032"/>
      <c r="E184" s="2032"/>
      <c r="F184" s="2032"/>
    </row>
    <row r="185" spans="1:6" ht="12" customHeight="1">
      <c r="A185" s="1980"/>
      <c r="B185" s="1983"/>
      <c r="C185" s="2032"/>
      <c r="D185" s="2032"/>
      <c r="E185" s="2032"/>
      <c r="F185" s="2032"/>
    </row>
    <row r="186" spans="1:6" ht="12" customHeight="1">
      <c r="A186" s="1980"/>
      <c r="B186" s="1983"/>
      <c r="C186" s="2032"/>
      <c r="D186" s="2032"/>
      <c r="E186" s="2032"/>
      <c r="F186" s="2032"/>
    </row>
    <row r="187" spans="1:6" ht="12" customHeight="1">
      <c r="A187" s="1980"/>
      <c r="B187" s="1983"/>
      <c r="C187" s="2032"/>
      <c r="D187" s="2032"/>
      <c r="E187" s="2032"/>
      <c r="F187" s="2032"/>
    </row>
    <row r="188" spans="1:6" ht="12" customHeight="1">
      <c r="A188" s="1980"/>
      <c r="B188" s="1983"/>
      <c r="C188" s="2032"/>
      <c r="D188" s="2032"/>
      <c r="E188" s="2032"/>
      <c r="F188" s="2032"/>
    </row>
    <row r="189" spans="1:6" ht="12" customHeight="1">
      <c r="A189" s="1980"/>
      <c r="B189" s="1983"/>
      <c r="C189" s="2032"/>
      <c r="D189" s="2032"/>
      <c r="E189" s="2032"/>
      <c r="F189" s="2032"/>
    </row>
    <row r="190" spans="1:6" ht="12" customHeight="1">
      <c r="A190" s="1980"/>
      <c r="B190" s="1983"/>
      <c r="C190" s="2032"/>
      <c r="D190" s="2032"/>
      <c r="E190" s="2032"/>
      <c r="F190" s="2032"/>
    </row>
    <row r="191" spans="1:6" ht="12" customHeight="1">
      <c r="A191" s="1980"/>
      <c r="B191" s="1983"/>
      <c r="C191" s="2032"/>
      <c r="D191" s="2032"/>
      <c r="E191" s="2032"/>
      <c r="F191" s="2032"/>
    </row>
    <row r="192" spans="1:6" ht="12" customHeight="1">
      <c r="A192" s="1980"/>
      <c r="B192" s="1983"/>
      <c r="C192" s="2032"/>
      <c r="D192" s="2032"/>
      <c r="E192" s="2032"/>
      <c r="F192" s="2032"/>
    </row>
    <row r="193" spans="1:6" ht="12" customHeight="1">
      <c r="A193" s="1980"/>
      <c r="B193" s="1983"/>
      <c r="C193" s="2032"/>
      <c r="D193" s="2032"/>
      <c r="E193" s="2032"/>
      <c r="F193" s="2032"/>
    </row>
    <row r="194" spans="1:6" ht="12" customHeight="1">
      <c r="A194" s="1980"/>
      <c r="B194" s="1983"/>
      <c r="C194" s="2032"/>
      <c r="D194" s="2032"/>
      <c r="E194" s="2032"/>
      <c r="F194" s="2032"/>
    </row>
    <row r="195" spans="1:6" ht="12" customHeight="1">
      <c r="A195" s="1980"/>
      <c r="B195" s="1983"/>
      <c r="C195" s="2032"/>
      <c r="D195" s="2032"/>
      <c r="E195" s="2032"/>
      <c r="F195" s="2032"/>
    </row>
    <row r="196" spans="1:6" ht="12" customHeight="1">
      <c r="A196" s="1980"/>
      <c r="B196" s="1983"/>
      <c r="C196" s="2032"/>
      <c r="D196" s="2032"/>
      <c r="E196" s="2032"/>
      <c r="F196" s="2032"/>
    </row>
    <row r="197" spans="1:6" ht="12" customHeight="1">
      <c r="A197" s="1980"/>
      <c r="B197" s="1983"/>
      <c r="C197" s="2032"/>
      <c r="D197" s="2032"/>
      <c r="E197" s="2032"/>
      <c r="F197" s="2032"/>
    </row>
    <row r="198" spans="1:6" ht="12" customHeight="1">
      <c r="A198" s="1980"/>
      <c r="B198" s="1983"/>
      <c r="C198" s="2032"/>
      <c r="D198" s="2032"/>
      <c r="E198" s="2032"/>
      <c r="F198" s="2032"/>
    </row>
    <row r="199" spans="1:6" ht="12" customHeight="1">
      <c r="A199" s="1980"/>
      <c r="B199" s="1983"/>
      <c r="C199" s="2032"/>
      <c r="D199" s="2032"/>
      <c r="E199" s="2032"/>
      <c r="F199" s="2032"/>
    </row>
    <row r="200" spans="1:6" ht="12" customHeight="1">
      <c r="A200" s="1980"/>
      <c r="B200" s="1983"/>
      <c r="C200" s="2032"/>
      <c r="D200" s="2032"/>
      <c r="E200" s="2032"/>
      <c r="F200" s="2032"/>
    </row>
    <row r="201" spans="1:6" ht="12" customHeight="1">
      <c r="A201" s="1980"/>
      <c r="B201" s="1983"/>
      <c r="C201" s="2032"/>
      <c r="D201" s="2032"/>
      <c r="E201" s="2032"/>
      <c r="F201" s="2032"/>
    </row>
    <row r="202" spans="1:6" ht="12" customHeight="1">
      <c r="A202" s="1980"/>
      <c r="B202" s="1983"/>
      <c r="C202" s="2032"/>
      <c r="D202" s="2032"/>
      <c r="E202" s="2032"/>
      <c r="F202" s="2032"/>
    </row>
    <row r="203" spans="1:6" ht="12" customHeight="1">
      <c r="A203" s="1980"/>
      <c r="B203" s="1983"/>
      <c r="C203" s="2032"/>
      <c r="D203" s="2032"/>
      <c r="E203" s="2032"/>
      <c r="F203" s="2032"/>
    </row>
    <row r="204" spans="1:6" ht="12" customHeight="1">
      <c r="A204" s="1980"/>
      <c r="B204" s="1983"/>
      <c r="C204" s="2032"/>
      <c r="D204" s="2032"/>
      <c r="E204" s="2032"/>
      <c r="F204" s="2032"/>
    </row>
    <row r="205" spans="1:6" ht="12" customHeight="1">
      <c r="A205" s="1980"/>
      <c r="B205" s="1983"/>
      <c r="C205" s="2032"/>
      <c r="D205" s="2032"/>
      <c r="E205" s="2032"/>
      <c r="F205" s="2032"/>
    </row>
    <row r="206" spans="1:6" ht="12" customHeight="1">
      <c r="A206" s="1980"/>
      <c r="B206" s="1983"/>
      <c r="C206" s="2032"/>
      <c r="D206" s="2032"/>
      <c r="E206" s="2032"/>
      <c r="F206" s="2032"/>
    </row>
    <row r="207" spans="1:6" ht="12" customHeight="1">
      <c r="A207" s="1980"/>
      <c r="B207" s="1983"/>
      <c r="C207" s="2032"/>
      <c r="D207" s="2032"/>
      <c r="E207" s="2032"/>
      <c r="F207" s="2032"/>
    </row>
    <row r="208" spans="1:6" ht="12" customHeight="1">
      <c r="A208" s="1980"/>
      <c r="B208" s="1983"/>
      <c r="C208" s="2032"/>
      <c r="D208" s="2032"/>
      <c r="E208" s="2032"/>
      <c r="F208" s="2032"/>
    </row>
    <row r="209" spans="1:6" ht="12" customHeight="1">
      <c r="A209" s="1980"/>
      <c r="B209" s="1983"/>
      <c r="C209" s="2032"/>
      <c r="D209" s="2032"/>
      <c r="E209" s="2032"/>
      <c r="F209" s="2032"/>
    </row>
    <row r="210" spans="1:6" ht="12" customHeight="1">
      <c r="A210" s="1980"/>
      <c r="B210" s="1983"/>
      <c r="C210" s="2032"/>
      <c r="D210" s="2032"/>
      <c r="E210" s="2032"/>
      <c r="F210" s="2032"/>
    </row>
    <row r="211" spans="1:6" ht="12" customHeight="1">
      <c r="A211" s="1980"/>
      <c r="B211" s="1983"/>
      <c r="C211" s="2032"/>
      <c r="D211" s="2032"/>
      <c r="E211" s="2032"/>
      <c r="F211" s="2032"/>
    </row>
    <row r="212" spans="1:6" ht="12" customHeight="1">
      <c r="A212" s="1980"/>
      <c r="B212" s="1983"/>
      <c r="C212" s="2032"/>
      <c r="D212" s="2032"/>
      <c r="E212" s="2032"/>
      <c r="F212" s="2032"/>
    </row>
    <row r="213" spans="1:6" ht="12" customHeight="1">
      <c r="A213" s="1980"/>
      <c r="B213" s="1983"/>
      <c r="C213" s="2032"/>
      <c r="D213" s="2032"/>
      <c r="E213" s="2032"/>
      <c r="F213" s="2032"/>
    </row>
    <row r="214" spans="1:6" ht="12" customHeight="1">
      <c r="A214" s="1980"/>
      <c r="B214" s="1983"/>
      <c r="C214" s="2032"/>
      <c r="D214" s="2032"/>
      <c r="E214" s="2032"/>
      <c r="F214" s="2032"/>
    </row>
    <row r="215" spans="1:6" ht="12" customHeight="1">
      <c r="A215" s="1980"/>
      <c r="B215" s="1983"/>
      <c r="C215" s="2032"/>
      <c r="D215" s="2032"/>
      <c r="E215" s="2032"/>
      <c r="F215" s="2032"/>
    </row>
    <row r="216" spans="1:6" ht="12" customHeight="1">
      <c r="A216" s="1980"/>
      <c r="B216" s="1983"/>
      <c r="C216" s="2032"/>
      <c r="D216" s="2032"/>
      <c r="E216" s="2032"/>
      <c r="F216" s="2032"/>
    </row>
    <row r="217" spans="1:6" ht="12" customHeight="1">
      <c r="A217" s="1980"/>
      <c r="B217" s="1983"/>
      <c r="C217" s="2032"/>
      <c r="D217" s="2032"/>
      <c r="E217" s="2032"/>
      <c r="F217" s="2032"/>
    </row>
    <row r="218" spans="1:6" ht="12" customHeight="1">
      <c r="A218" s="1980"/>
      <c r="B218" s="1983"/>
      <c r="C218" s="2032"/>
      <c r="D218" s="2032"/>
      <c r="E218" s="2032"/>
      <c r="F218" s="2032"/>
    </row>
    <row r="219" spans="1:6" ht="12" customHeight="1">
      <c r="A219" s="1980"/>
      <c r="B219" s="1983"/>
      <c r="C219" s="2032"/>
      <c r="D219" s="2032"/>
      <c r="E219" s="2032"/>
      <c r="F219" s="2032"/>
    </row>
    <row r="220" spans="1:6" ht="12" customHeight="1">
      <c r="A220" s="1980"/>
      <c r="B220" s="1983"/>
      <c r="C220" s="2032"/>
      <c r="D220" s="2032"/>
      <c r="E220" s="2032"/>
      <c r="F220" s="2032"/>
    </row>
    <row r="221" spans="1:6" ht="12" customHeight="1">
      <c r="A221" s="1980"/>
      <c r="B221" s="1983"/>
      <c r="C221" s="2032"/>
      <c r="D221" s="2032"/>
      <c r="E221" s="2032"/>
      <c r="F221" s="2032"/>
    </row>
    <row r="222" spans="1:6" ht="12" customHeight="1">
      <c r="A222" s="1980"/>
      <c r="B222" s="1983"/>
      <c r="C222" s="2032"/>
      <c r="D222" s="2032"/>
      <c r="E222" s="2032"/>
      <c r="F222" s="2032"/>
    </row>
    <row r="223" spans="1:6" ht="12" customHeight="1">
      <c r="A223" s="1980"/>
      <c r="B223" s="1983"/>
      <c r="C223" s="2032"/>
      <c r="D223" s="2032"/>
      <c r="E223" s="2032"/>
      <c r="F223" s="2032"/>
    </row>
    <row r="224" spans="1:6" ht="12" customHeight="1">
      <c r="A224" s="1980"/>
      <c r="B224" s="1983"/>
      <c r="C224" s="2032"/>
      <c r="D224" s="2032"/>
      <c r="E224" s="2032"/>
      <c r="F224" s="2032"/>
    </row>
    <row r="225" spans="1:6" ht="12" customHeight="1">
      <c r="A225" s="1980"/>
      <c r="B225" s="1983"/>
      <c r="C225" s="2032"/>
      <c r="D225" s="2032"/>
      <c r="E225" s="2032"/>
      <c r="F225" s="2032"/>
    </row>
    <row r="226" spans="1:6" ht="12" customHeight="1">
      <c r="A226" s="1980"/>
      <c r="B226" s="1983"/>
      <c r="C226" s="2032"/>
      <c r="D226" s="2032"/>
      <c r="E226" s="2032"/>
      <c r="F226" s="2032"/>
    </row>
    <row r="227" spans="1:6" ht="12" customHeight="1">
      <c r="A227" s="1980"/>
      <c r="B227" s="1983"/>
      <c r="C227" s="2032"/>
      <c r="D227" s="2032"/>
      <c r="E227" s="2032"/>
      <c r="F227" s="2032"/>
    </row>
    <row r="228" spans="1:6" ht="12" customHeight="1">
      <c r="A228" s="1980"/>
      <c r="B228" s="1983"/>
      <c r="C228" s="2032"/>
      <c r="D228" s="2032"/>
      <c r="E228" s="2032"/>
      <c r="F228" s="2032"/>
    </row>
    <row r="229" spans="1:6" ht="12" customHeight="1">
      <c r="A229" s="1980"/>
      <c r="B229" s="1983"/>
      <c r="C229" s="2032"/>
      <c r="D229" s="2032"/>
      <c r="E229" s="2032"/>
      <c r="F229" s="2032"/>
    </row>
    <row r="230" spans="1:6" ht="12" customHeight="1">
      <c r="A230" s="1980"/>
      <c r="B230" s="1983"/>
      <c r="C230" s="2032"/>
      <c r="D230" s="2032"/>
      <c r="E230" s="2032"/>
      <c r="F230" s="2032"/>
    </row>
    <row r="231" spans="1:6" ht="12" customHeight="1">
      <c r="A231" s="1980"/>
      <c r="B231" s="1983"/>
      <c r="C231" s="2032"/>
      <c r="D231" s="2032"/>
      <c r="E231" s="2032"/>
      <c r="F231" s="2032"/>
    </row>
    <row r="232" spans="1:6" ht="12" customHeight="1">
      <c r="A232" s="1980"/>
      <c r="B232" s="1983"/>
      <c r="C232" s="2032"/>
      <c r="D232" s="2032"/>
      <c r="E232" s="2032"/>
      <c r="F232" s="2032"/>
    </row>
    <row r="233" spans="1:6" ht="12" customHeight="1">
      <c r="A233" s="1980"/>
      <c r="B233" s="1983"/>
      <c r="C233" s="2032"/>
      <c r="D233" s="2032"/>
      <c r="E233" s="2032"/>
      <c r="F233" s="2032"/>
    </row>
    <row r="234" spans="1:6" ht="12" customHeight="1">
      <c r="A234" s="1980"/>
      <c r="B234" s="1983"/>
      <c r="C234" s="2032"/>
      <c r="D234" s="2032"/>
      <c r="E234" s="2032"/>
      <c r="F234" s="2032"/>
    </row>
    <row r="235" spans="1:6" ht="12" customHeight="1">
      <c r="A235" s="1980"/>
      <c r="B235" s="1983"/>
      <c r="C235" s="2032"/>
      <c r="D235" s="2032"/>
      <c r="E235" s="2032"/>
      <c r="F235" s="2032"/>
    </row>
    <row r="236" spans="1:6" ht="12" customHeight="1">
      <c r="A236" s="1980"/>
      <c r="B236" s="1983"/>
      <c r="C236" s="2032"/>
      <c r="D236" s="2032"/>
      <c r="E236" s="2032"/>
      <c r="F236" s="2032"/>
    </row>
    <row r="237" spans="1:6" ht="12" customHeight="1">
      <c r="A237" s="1980"/>
      <c r="B237" s="1983"/>
      <c r="C237" s="2032"/>
      <c r="D237" s="2032"/>
      <c r="E237" s="2032"/>
      <c r="F237" s="2032"/>
    </row>
    <row r="238" spans="1:6" ht="12" customHeight="1">
      <c r="A238" s="1980"/>
      <c r="B238" s="1983"/>
      <c r="C238" s="2032"/>
      <c r="D238" s="2032"/>
      <c r="E238" s="2032"/>
      <c r="F238" s="2032"/>
    </row>
    <row r="239" spans="1:6" ht="12" customHeight="1">
      <c r="A239" s="1980"/>
      <c r="B239" s="1983"/>
      <c r="C239" s="2032"/>
      <c r="D239" s="2032"/>
      <c r="E239" s="2032"/>
      <c r="F239" s="2032"/>
    </row>
    <row r="240" spans="1:6" ht="12" customHeight="1">
      <c r="A240" s="1980"/>
      <c r="B240" s="1983"/>
      <c r="C240" s="2032"/>
      <c r="D240" s="2032"/>
      <c r="E240" s="2032"/>
      <c r="F240" s="2032"/>
    </row>
    <row r="241" spans="1:6" ht="12" customHeight="1">
      <c r="A241" s="1980"/>
      <c r="B241" s="1983"/>
      <c r="C241" s="2032"/>
      <c r="D241" s="2032"/>
      <c r="E241" s="2032"/>
      <c r="F241" s="2032"/>
    </row>
    <row r="242" spans="1:6" ht="12" customHeight="1">
      <c r="A242" s="1980"/>
      <c r="B242" s="1983"/>
      <c r="C242" s="2032"/>
      <c r="D242" s="2032"/>
      <c r="E242" s="2032"/>
      <c r="F242" s="2032"/>
    </row>
    <row r="243" spans="1:6" ht="12" customHeight="1">
      <c r="A243" s="1980"/>
      <c r="B243" s="1983"/>
      <c r="C243" s="2032"/>
      <c r="D243" s="2032"/>
      <c r="E243" s="2032"/>
      <c r="F243" s="2032"/>
    </row>
    <row r="244" spans="1:6" ht="12" customHeight="1">
      <c r="A244" s="1980"/>
      <c r="B244" s="1983"/>
      <c r="C244" s="2032"/>
      <c r="D244" s="2032"/>
      <c r="E244" s="2032"/>
      <c r="F244" s="2032"/>
    </row>
    <row r="245" spans="1:6" ht="12" customHeight="1">
      <c r="A245" s="1980"/>
      <c r="B245" s="1983"/>
      <c r="C245" s="2032"/>
      <c r="D245" s="2032"/>
      <c r="E245" s="2032"/>
      <c r="F245" s="2032"/>
    </row>
    <row r="246" spans="1:6" ht="12" customHeight="1">
      <c r="A246" s="1980"/>
      <c r="B246" s="1983"/>
      <c r="C246" s="2032"/>
      <c r="D246" s="2032"/>
      <c r="E246" s="2032"/>
      <c r="F246" s="2032"/>
    </row>
    <row r="247" spans="1:6" ht="12" customHeight="1">
      <c r="A247" s="1980"/>
      <c r="B247" s="1983"/>
      <c r="C247" s="2032"/>
      <c r="D247" s="2032"/>
      <c r="E247" s="2032"/>
      <c r="F247" s="2032"/>
    </row>
    <row r="248" spans="1:6" ht="12" customHeight="1">
      <c r="A248" s="1980"/>
      <c r="B248" s="1983"/>
      <c r="C248" s="2032"/>
      <c r="D248" s="2032"/>
      <c r="E248" s="2032"/>
      <c r="F248" s="2032"/>
    </row>
    <row r="249" spans="1:6" ht="12" customHeight="1">
      <c r="A249" s="1980"/>
      <c r="B249" s="1983"/>
      <c r="C249" s="2032"/>
      <c r="D249" s="2032"/>
      <c r="E249" s="2032"/>
      <c r="F249" s="2032"/>
    </row>
    <row r="250" spans="1:6" ht="12" customHeight="1">
      <c r="A250" s="1980"/>
      <c r="B250" s="1983"/>
      <c r="C250" s="2032"/>
      <c r="D250" s="2032"/>
      <c r="E250" s="2032"/>
      <c r="F250" s="2032"/>
    </row>
    <row r="251" spans="1:6" ht="12" customHeight="1">
      <c r="A251" s="1980"/>
      <c r="B251" s="1983"/>
      <c r="C251" s="2032"/>
      <c r="D251" s="2032"/>
      <c r="E251" s="2032"/>
      <c r="F251" s="2032"/>
    </row>
    <row r="252" spans="1:6" ht="12" customHeight="1">
      <c r="A252" s="1980"/>
      <c r="B252" s="1983"/>
      <c r="C252" s="2032"/>
      <c r="D252" s="2032"/>
      <c r="E252" s="2032"/>
      <c r="F252" s="2032"/>
    </row>
    <row r="253" spans="1:6" ht="12" customHeight="1">
      <c r="A253" s="1980"/>
      <c r="B253" s="1983"/>
      <c r="C253" s="2032"/>
      <c r="D253" s="2032"/>
      <c r="E253" s="2032"/>
      <c r="F253" s="2032"/>
    </row>
    <row r="254" spans="1:6" ht="12" customHeight="1">
      <c r="A254" s="1980"/>
      <c r="B254" s="1983"/>
      <c r="C254" s="2032"/>
      <c r="D254" s="2032"/>
      <c r="E254" s="2032"/>
      <c r="F254" s="2032"/>
    </row>
    <row r="255" spans="1:6" ht="12" customHeight="1">
      <c r="A255" s="1980"/>
      <c r="B255" s="1983"/>
      <c r="C255" s="2032"/>
      <c r="D255" s="2032"/>
      <c r="E255" s="2032"/>
      <c r="F255" s="2032"/>
    </row>
    <row r="256" spans="1:6" ht="12" customHeight="1">
      <c r="A256" s="1980"/>
      <c r="B256" s="1983"/>
      <c r="C256" s="2032"/>
      <c r="D256" s="2032"/>
      <c r="E256" s="2032"/>
      <c r="F256" s="2032"/>
    </row>
    <row r="257" spans="1:6" ht="12" customHeight="1">
      <c r="A257" s="1980"/>
      <c r="B257" s="1983"/>
      <c r="C257" s="2032"/>
      <c r="D257" s="2032"/>
      <c r="E257" s="2032"/>
      <c r="F257" s="2032"/>
    </row>
    <row r="258" spans="1:6" ht="12" customHeight="1">
      <c r="A258" s="1980"/>
      <c r="B258" s="1983"/>
      <c r="C258" s="2032"/>
      <c r="D258" s="2032"/>
      <c r="E258" s="2032"/>
      <c r="F258" s="2032"/>
    </row>
    <row r="259" spans="1:6" ht="12" customHeight="1">
      <c r="A259" s="1980"/>
      <c r="B259" s="1983"/>
      <c r="C259" s="2032"/>
      <c r="D259" s="2032"/>
      <c r="E259" s="2032"/>
      <c r="F259" s="2032"/>
    </row>
    <row r="260" spans="1:6" ht="12" customHeight="1">
      <c r="A260" s="1980"/>
      <c r="B260" s="1983"/>
      <c r="C260" s="2032"/>
      <c r="D260" s="2032"/>
      <c r="E260" s="2032"/>
      <c r="F260" s="2032"/>
    </row>
    <row r="261" spans="1:6" ht="12" customHeight="1">
      <c r="A261" s="1980"/>
      <c r="B261" s="1983"/>
      <c r="C261" s="2032"/>
      <c r="D261" s="2032"/>
      <c r="E261" s="2032"/>
      <c r="F261" s="2032"/>
    </row>
    <row r="262" spans="1:6" ht="12" customHeight="1">
      <c r="A262" s="1980"/>
      <c r="B262" s="1983"/>
      <c r="C262" s="2032"/>
      <c r="D262" s="2032"/>
      <c r="E262" s="2032"/>
      <c r="F262" s="2032"/>
    </row>
    <row r="263" spans="1:6" ht="12" customHeight="1">
      <c r="A263" s="1980"/>
      <c r="B263" s="1983"/>
      <c r="C263" s="2032"/>
      <c r="D263" s="2032"/>
      <c r="E263" s="2032"/>
      <c r="F263" s="2032"/>
    </row>
    <row r="264" spans="1:6" ht="12" customHeight="1">
      <c r="A264" s="1980"/>
      <c r="B264" s="1983"/>
      <c r="C264" s="2032"/>
      <c r="D264" s="2032"/>
      <c r="E264" s="2032"/>
      <c r="F264" s="2032"/>
    </row>
    <row r="265" spans="1:6" ht="12" customHeight="1">
      <c r="A265" s="1980"/>
      <c r="B265" s="1983"/>
      <c r="C265" s="2032"/>
      <c r="D265" s="2032"/>
      <c r="E265" s="2032"/>
      <c r="F265" s="2032"/>
    </row>
    <row r="266" spans="1:6" ht="12" customHeight="1">
      <c r="A266" s="1980"/>
      <c r="B266" s="1983"/>
      <c r="C266" s="2032"/>
      <c r="D266" s="2032"/>
      <c r="E266" s="2032"/>
      <c r="F266" s="2032"/>
    </row>
    <row r="267" spans="1:6" ht="12" customHeight="1">
      <c r="A267" s="1980"/>
      <c r="B267" s="1983"/>
      <c r="C267" s="2032"/>
      <c r="D267" s="2032"/>
      <c r="E267" s="2032"/>
      <c r="F267" s="2032"/>
    </row>
    <row r="268" spans="1:6" ht="12" customHeight="1">
      <c r="A268" s="1980"/>
      <c r="B268" s="1983"/>
      <c r="C268" s="2032"/>
      <c r="D268" s="2032"/>
      <c r="E268" s="2032"/>
      <c r="F268" s="2032"/>
    </row>
    <row r="269" spans="1:6" ht="12" customHeight="1">
      <c r="A269" s="1980"/>
      <c r="B269" s="1983"/>
      <c r="C269" s="2032"/>
      <c r="D269" s="2032"/>
      <c r="E269" s="2032"/>
      <c r="F269" s="2032"/>
    </row>
    <row r="270" spans="1:6" ht="12" customHeight="1">
      <c r="A270" s="1980"/>
      <c r="B270" s="1983"/>
      <c r="C270" s="2032"/>
      <c r="D270" s="2032"/>
      <c r="E270" s="2032"/>
      <c r="F270" s="2032"/>
    </row>
    <row r="271" spans="1:6" ht="12" customHeight="1">
      <c r="A271" s="1980"/>
      <c r="B271" s="1983"/>
      <c r="C271" s="2032"/>
      <c r="D271" s="2032"/>
      <c r="E271" s="2032"/>
      <c r="F271" s="2032"/>
    </row>
    <row r="272" spans="1:6" ht="12" customHeight="1">
      <c r="A272" s="1980"/>
      <c r="B272" s="1983"/>
      <c r="C272" s="2032"/>
      <c r="D272" s="2032"/>
      <c r="E272" s="2032"/>
      <c r="F272" s="2032"/>
    </row>
    <row r="273" spans="1:6" ht="12" customHeight="1">
      <c r="A273" s="1980"/>
      <c r="B273" s="1983"/>
      <c r="C273" s="2032"/>
      <c r="D273" s="2032"/>
      <c r="E273" s="2032"/>
      <c r="F273" s="2032"/>
    </row>
    <row r="274" spans="1:6" ht="12" customHeight="1">
      <c r="A274" s="1980"/>
      <c r="B274" s="1983"/>
      <c r="C274" s="2032"/>
      <c r="D274" s="2032"/>
      <c r="E274" s="2032"/>
      <c r="F274" s="2032"/>
    </row>
    <row r="275" spans="1:6" ht="12" customHeight="1">
      <c r="A275" s="1980"/>
      <c r="B275" s="1983"/>
      <c r="C275" s="2032"/>
      <c r="D275" s="2032"/>
      <c r="E275" s="2032"/>
      <c r="F275" s="2032"/>
    </row>
    <row r="276" spans="1:6" ht="12" customHeight="1">
      <c r="A276" s="1980"/>
      <c r="B276" s="1983"/>
      <c r="C276" s="2032"/>
      <c r="D276" s="2032"/>
      <c r="E276" s="2032"/>
      <c r="F276" s="2032"/>
    </row>
    <row r="277" spans="1:6" ht="12" customHeight="1">
      <c r="A277" s="1980"/>
      <c r="B277" s="1983"/>
      <c r="C277" s="2032"/>
      <c r="D277" s="2032"/>
      <c r="E277" s="2032"/>
      <c r="F277" s="2032"/>
    </row>
    <row r="278" spans="1:6" ht="12" customHeight="1">
      <c r="A278" s="1980"/>
      <c r="B278" s="1983"/>
      <c r="C278" s="2032"/>
      <c r="D278" s="2032"/>
      <c r="E278" s="2032"/>
      <c r="F278" s="2032"/>
    </row>
    <row r="279" spans="1:6" ht="12" customHeight="1">
      <c r="A279" s="1980"/>
      <c r="B279" s="1983"/>
      <c r="C279" s="2032"/>
      <c r="D279" s="2032"/>
      <c r="E279" s="2032"/>
      <c r="F279" s="2032"/>
    </row>
    <row r="280" spans="1:6" ht="12" customHeight="1">
      <c r="A280" s="1980"/>
      <c r="B280" s="1983"/>
      <c r="C280" s="2032"/>
      <c r="D280" s="2032"/>
      <c r="E280" s="2032"/>
      <c r="F280" s="2032"/>
    </row>
    <row r="281" spans="1:6" ht="12" customHeight="1">
      <c r="A281" s="1980"/>
      <c r="B281" s="1983"/>
      <c r="C281" s="2032"/>
      <c r="D281" s="2032"/>
      <c r="E281" s="2032"/>
      <c r="F281" s="2032"/>
    </row>
    <row r="282" spans="1:6" ht="12" customHeight="1">
      <c r="A282" s="1980"/>
      <c r="B282" s="1983"/>
      <c r="C282" s="2032"/>
      <c r="D282" s="2032"/>
      <c r="E282" s="2032"/>
      <c r="F282" s="2032"/>
    </row>
    <row r="283" spans="1:6" ht="12" customHeight="1">
      <c r="A283" s="1980"/>
      <c r="B283" s="1983"/>
      <c r="C283" s="2032"/>
      <c r="D283" s="2032"/>
      <c r="E283" s="2032"/>
      <c r="F283" s="2032"/>
    </row>
    <row r="284" spans="1:6" ht="12" customHeight="1">
      <c r="A284" s="1980"/>
      <c r="B284" s="1983"/>
      <c r="C284" s="2032"/>
      <c r="D284" s="2032"/>
      <c r="E284" s="2032"/>
      <c r="F284" s="2032"/>
    </row>
    <row r="285" spans="1:6" ht="12" customHeight="1">
      <c r="A285" s="1980"/>
      <c r="B285" s="1983"/>
      <c r="C285" s="2032"/>
      <c r="D285" s="2032"/>
      <c r="E285" s="2032"/>
      <c r="F285" s="2032"/>
    </row>
    <row r="286" spans="1:6" ht="12" customHeight="1">
      <c r="A286" s="1980"/>
      <c r="B286" s="1983"/>
      <c r="C286" s="2032"/>
      <c r="D286" s="2032"/>
      <c r="E286" s="2032"/>
      <c r="F286" s="2032"/>
    </row>
    <row r="287" spans="1:6" ht="12" customHeight="1">
      <c r="A287" s="1980"/>
      <c r="B287" s="1983"/>
      <c r="C287" s="2032"/>
      <c r="D287" s="2032"/>
      <c r="E287" s="2032"/>
      <c r="F287" s="2032"/>
    </row>
    <row r="288" spans="1:6" ht="12" customHeight="1">
      <c r="A288" s="1980"/>
      <c r="B288" s="1983"/>
      <c r="C288" s="2032"/>
      <c r="D288" s="2032"/>
      <c r="E288" s="2032"/>
      <c r="F288" s="2032"/>
    </row>
    <row r="289" spans="1:6" ht="12" customHeight="1">
      <c r="A289" s="1980"/>
      <c r="B289" s="1983"/>
      <c r="C289" s="2032"/>
      <c r="D289" s="2032"/>
      <c r="E289" s="2032"/>
      <c r="F289" s="2032"/>
    </row>
    <row r="290" spans="1:6" ht="12" customHeight="1">
      <c r="A290" s="1980"/>
      <c r="B290" s="1983"/>
      <c r="C290" s="2032"/>
      <c r="D290" s="2032"/>
      <c r="E290" s="2032"/>
      <c r="F290" s="2032"/>
    </row>
    <row r="291" spans="1:6" ht="12" customHeight="1">
      <c r="A291" s="1980"/>
      <c r="B291" s="1983"/>
      <c r="C291" s="2032"/>
      <c r="D291" s="2032"/>
      <c r="E291" s="2032"/>
      <c r="F291" s="2032"/>
    </row>
    <row r="292" spans="1:6" ht="12" customHeight="1">
      <c r="A292" s="1980"/>
      <c r="B292" s="1983"/>
      <c r="C292" s="2032"/>
      <c r="D292" s="2032"/>
      <c r="E292" s="2032"/>
      <c r="F292" s="2032"/>
    </row>
    <row r="293" spans="1:6" ht="12" customHeight="1">
      <c r="A293" s="1980"/>
      <c r="B293" s="1983"/>
      <c r="C293" s="2032"/>
      <c r="D293" s="2032"/>
      <c r="E293" s="2032"/>
      <c r="F293" s="2032"/>
    </row>
    <row r="294" spans="1:6" ht="12" customHeight="1">
      <c r="A294" s="1980"/>
      <c r="B294" s="1983"/>
      <c r="C294" s="2032"/>
      <c r="D294" s="2032"/>
      <c r="E294" s="2032"/>
      <c r="F294" s="2032"/>
    </row>
    <row r="295" spans="1:6" ht="12" customHeight="1">
      <c r="A295" s="1980"/>
      <c r="B295" s="1983"/>
      <c r="C295" s="2032"/>
      <c r="D295" s="2032"/>
      <c r="E295" s="2032"/>
      <c r="F295" s="2032"/>
    </row>
    <row r="296" spans="1:6" ht="12" customHeight="1">
      <c r="A296" s="1980"/>
      <c r="B296" s="1983"/>
      <c r="C296" s="2032"/>
      <c r="D296" s="2032"/>
      <c r="E296" s="2032"/>
      <c r="F296" s="2032"/>
    </row>
    <row r="297" spans="1:6" ht="12" customHeight="1">
      <c r="A297" s="1980"/>
      <c r="B297" s="1983"/>
      <c r="C297" s="2032"/>
      <c r="D297" s="2032"/>
      <c r="E297" s="2032"/>
      <c r="F297" s="2032"/>
    </row>
    <row r="298" spans="1:6" ht="12" customHeight="1">
      <c r="A298" s="1980"/>
      <c r="B298" s="1983"/>
      <c r="C298" s="2032"/>
      <c r="D298" s="2032"/>
      <c r="E298" s="2032"/>
      <c r="F298" s="2032"/>
    </row>
    <row r="299" spans="1:6" ht="12" customHeight="1">
      <c r="A299" s="1980"/>
      <c r="B299" s="1983"/>
      <c r="C299" s="2032"/>
      <c r="D299" s="2032"/>
      <c r="E299" s="2032"/>
      <c r="F299" s="2032"/>
    </row>
    <row r="300" spans="1:6" ht="12" customHeight="1">
      <c r="A300" s="1980"/>
      <c r="B300" s="1983"/>
      <c r="C300" s="2032"/>
      <c r="D300" s="2032"/>
      <c r="E300" s="2032"/>
      <c r="F300" s="2032"/>
    </row>
    <row r="301" spans="1:6" ht="12" customHeight="1">
      <c r="A301" s="1980"/>
      <c r="B301" s="1983"/>
      <c r="C301" s="2032"/>
      <c r="D301" s="2032"/>
      <c r="E301" s="2032"/>
      <c r="F301" s="2032"/>
    </row>
    <row r="302" spans="1:6" ht="12" customHeight="1">
      <c r="A302" s="1980"/>
      <c r="B302" s="1983"/>
      <c r="C302" s="2032"/>
      <c r="D302" s="2032"/>
      <c r="E302" s="2032"/>
      <c r="F302" s="2032"/>
    </row>
  </sheetData>
  <sheetProtection algorithmName="SHA-512" hashValue="B0VYk7mKJGHsg+v8rTTXk6eOj6ERYyHq2zWFwyRRgu4D+PAP3YABJXW1qDR8UOnbJ7jY/qVqdtLgpe/d4JJGtQ==" saltValue="roj+uckedmsqJ2/A1n7SkQ==" spinCount="100000" sheet="1" objects="1" scenarios="1"/>
  <phoneticPr fontId="10" type="noConversion"/>
  <dataValidations count="4">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zero." sqref="C13 C14:D14 F36:F37 C33:E34 F20 C19:E19 C22:D22 C17:C18 D17">
      <formula1>0</formula1>
    </dataValidation>
    <dataValidation operator="greaterThanOrEqual" errorTitle="Invalid Data Entry " error="Please enter a positive number or press the delete key or enter zero." sqref="E18:F18"/>
    <dataValidation type="whole" operator="greaterThanOrEqual" allowBlank="1" showInputMessage="1" showErrorMessage="1" errorTitle="Invalid Data Entry" error="Please enter a positive number or press the delete key or enter zero." sqref="C26">
      <formula1>0</formula1>
    </dataValidation>
  </dataValidations>
  <hyperlinks>
    <hyperlink ref="H1" location="Contents!F1" display="Return to Contents page"/>
  </hyperlinks>
  <printOptions horizontalCentered="1"/>
  <pageMargins left="0.25" right="0.25" top="0.19" bottom="0.19" header="0.5" footer="0.5"/>
  <pageSetup orientation="portrait" blackAndWhite="1" r:id="rId1"/>
  <headerFooter alignWithMargins="0">
    <oddFooter>&amp;L&amp;D     &amp;T &amp;CCode No. 68</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4" tint="0.39997558519241921"/>
  </sheetPr>
  <dimension ref="A1:Q261"/>
  <sheetViews>
    <sheetView zoomScaleNormal="100" workbookViewId="0">
      <selection activeCell="C9" sqref="C9"/>
    </sheetView>
  </sheetViews>
  <sheetFormatPr defaultColWidth="10.7109375" defaultRowHeight="12" customHeight="1"/>
  <cols>
    <col min="1" max="1" width="44.5703125" style="2044" customWidth="1"/>
    <col min="2" max="2" width="4.85546875" style="2119" customWidth="1"/>
    <col min="3" max="5" width="15.140625" style="2038" customWidth="1"/>
    <col min="6" max="6" width="3.42578125" style="2038" customWidth="1"/>
    <col min="7" max="7" width="21.140625" style="2038" customWidth="1"/>
    <col min="8" max="16384" width="10.7109375" style="2038"/>
  </cols>
  <sheetData>
    <row r="1" spans="1:17" ht="12" customHeight="1">
      <c r="A1" s="2034" t="s">
        <v>1017</v>
      </c>
      <c r="B1" s="2035">
        <f>OPEN!$B$4</f>
        <v>270</v>
      </c>
      <c r="C1" s="2036"/>
      <c r="D1" s="2036"/>
      <c r="E1" s="2034" t="s">
        <v>1020</v>
      </c>
      <c r="F1" s="2036"/>
      <c r="G1" s="3013" t="s">
        <v>866</v>
      </c>
    </row>
    <row r="2" spans="1:17" ht="12" customHeight="1">
      <c r="A2" s="2036"/>
      <c r="B2" s="2039"/>
      <c r="C2" s="2036"/>
      <c r="D2" s="2036"/>
      <c r="E2" s="2034" t="s">
        <v>1212</v>
      </c>
      <c r="F2" s="2036"/>
      <c r="G2" s="2037"/>
    </row>
    <row r="3" spans="1:17" ht="12" customHeight="1">
      <c r="A3" s="2036"/>
      <c r="B3" s="2039"/>
      <c r="C3" s="2036"/>
      <c r="D3" s="2036"/>
      <c r="E3" s="2034" t="str">
        <f>OPEN!N2</f>
        <v>2016-2017</v>
      </c>
      <c r="F3" s="2036"/>
      <c r="G3" s="2037"/>
    </row>
    <row r="4" spans="1:17" ht="3" hidden="1" customHeight="1">
      <c r="A4" s="2036"/>
      <c r="B4" s="2039"/>
      <c r="C4" s="2036"/>
      <c r="D4" s="2036"/>
      <c r="E4" s="2036"/>
      <c r="F4" s="2036"/>
      <c r="G4" s="2037"/>
    </row>
    <row r="5" spans="1:17" ht="12" customHeight="1">
      <c r="A5" s="2036"/>
      <c r="B5" s="2039"/>
      <c r="C5" s="2040" t="s">
        <v>1213</v>
      </c>
      <c r="D5" s="2040" t="s">
        <v>1213</v>
      </c>
      <c r="E5" s="2040" t="s">
        <v>1213</v>
      </c>
      <c r="F5" s="2036"/>
      <c r="G5" s="2037"/>
    </row>
    <row r="6" spans="1:17" ht="12" customHeight="1">
      <c r="A6" s="2041" t="s">
        <v>897</v>
      </c>
      <c r="B6" s="2042" t="s">
        <v>1045</v>
      </c>
      <c r="C6" s="2043" t="str">
        <f>OPEN!N4</f>
        <v>2014-2015</v>
      </c>
      <c r="D6" s="2043" t="str">
        <f>OPEN!O4</f>
        <v>2015-2016</v>
      </c>
      <c r="E6" s="2043" t="str">
        <f>OPEN!P4</f>
        <v>2016-2017</v>
      </c>
      <c r="F6" s="2036"/>
      <c r="G6" s="2037"/>
      <c r="K6" s="2044"/>
      <c r="L6" s="2044"/>
      <c r="M6" s="2044"/>
      <c r="N6" s="2045"/>
      <c r="O6" s="2044"/>
      <c r="P6" s="2044"/>
      <c r="Q6" s="2044"/>
    </row>
    <row r="7" spans="1:17" ht="12" customHeight="1">
      <c r="A7" s="2041" t="s">
        <v>898</v>
      </c>
      <c r="B7" s="2046">
        <v>78</v>
      </c>
      <c r="C7" s="2047" t="s">
        <v>1139</v>
      </c>
      <c r="D7" s="2047" t="s">
        <v>1139</v>
      </c>
      <c r="E7" s="2047" t="s">
        <v>1215</v>
      </c>
      <c r="F7" s="2036"/>
      <c r="G7" s="2037"/>
      <c r="N7" s="2044"/>
      <c r="O7" s="2048"/>
      <c r="P7" s="2048"/>
      <c r="Q7" s="2048"/>
    </row>
    <row r="8" spans="1:17" ht="11.1" customHeight="1">
      <c r="A8" s="2049"/>
      <c r="B8" s="2050" t="s">
        <v>1051</v>
      </c>
      <c r="C8" s="2051">
        <v>1</v>
      </c>
      <c r="D8" s="2051">
        <v>2</v>
      </c>
      <c r="E8" s="2051">
        <v>3</v>
      </c>
      <c r="F8" s="2036"/>
      <c r="G8" s="2037"/>
      <c r="N8" s="2044"/>
      <c r="O8" s="2048"/>
      <c r="P8" s="2048"/>
      <c r="Q8" s="2048"/>
    </row>
    <row r="9" spans="1:17" ht="12" customHeight="1">
      <c r="A9" s="2052" t="s">
        <v>1402</v>
      </c>
      <c r="B9" s="2053">
        <v>1</v>
      </c>
      <c r="C9" s="2095"/>
      <c r="D9" s="2055">
        <f>C24</f>
        <v>0</v>
      </c>
      <c r="E9" s="2558">
        <f>D24</f>
        <v>0</v>
      </c>
      <c r="F9" s="2037"/>
      <c r="G9" s="2037"/>
      <c r="N9" s="2044"/>
      <c r="O9" s="2048"/>
      <c r="P9" s="2048"/>
      <c r="Q9" s="2048"/>
    </row>
    <row r="10" spans="1:17" ht="12" customHeight="1">
      <c r="A10" s="2056" t="s">
        <v>1403</v>
      </c>
      <c r="B10" s="2057">
        <v>3</v>
      </c>
      <c r="C10" s="2557"/>
      <c r="D10" s="2058"/>
      <c r="E10" s="2087"/>
      <c r="F10" s="2037"/>
      <c r="G10" s="2037"/>
      <c r="N10" s="2044"/>
      <c r="O10" s="2048"/>
      <c r="P10" s="2048"/>
      <c r="Q10" s="2048"/>
    </row>
    <row r="11" spans="1:17" ht="12" customHeight="1">
      <c r="A11" s="2059" t="s">
        <v>19</v>
      </c>
      <c r="B11" s="2060"/>
      <c r="C11" s="2067"/>
      <c r="D11" s="2061"/>
      <c r="E11" s="2087"/>
      <c r="F11" s="2036"/>
      <c r="G11" s="2037"/>
      <c r="N11" s="2044"/>
      <c r="O11" s="2048"/>
      <c r="P11" s="2048"/>
      <c r="Q11" s="2048"/>
    </row>
    <row r="12" spans="1:17" ht="12" customHeight="1">
      <c r="A12" s="2056" t="s">
        <v>20</v>
      </c>
      <c r="B12" s="2057"/>
      <c r="C12" s="2087"/>
      <c r="D12" s="2062"/>
      <c r="E12" s="2087"/>
      <c r="F12" s="2036"/>
      <c r="G12" s="2037"/>
      <c r="N12" s="2044"/>
      <c r="O12" s="2048"/>
      <c r="P12" s="2048"/>
      <c r="Q12" s="2048"/>
    </row>
    <row r="13" spans="1:17" ht="12" customHeight="1">
      <c r="A13" s="2052" t="s">
        <v>44</v>
      </c>
      <c r="B13" s="2053">
        <v>5</v>
      </c>
      <c r="C13" s="2068"/>
      <c r="D13" s="2054"/>
      <c r="E13" s="2068"/>
      <c r="F13" s="2037"/>
      <c r="G13" s="2037"/>
      <c r="N13" s="2044"/>
      <c r="O13" s="2044"/>
      <c r="P13" s="2044"/>
      <c r="Q13" s="2044"/>
    </row>
    <row r="14" spans="1:17" ht="12" customHeight="1">
      <c r="A14" s="2063" t="s">
        <v>95</v>
      </c>
      <c r="B14" s="2064">
        <v>15</v>
      </c>
      <c r="C14" s="2095"/>
      <c r="D14" s="2065"/>
      <c r="E14" s="2095"/>
      <c r="F14" s="2037"/>
      <c r="G14" s="2037"/>
      <c r="N14" s="2045"/>
      <c r="O14" s="2044"/>
      <c r="P14" s="2044"/>
      <c r="Q14" s="2044"/>
    </row>
    <row r="15" spans="1:17" ht="12" customHeight="1">
      <c r="A15" s="2052" t="s">
        <v>25</v>
      </c>
      <c r="B15" s="2053">
        <v>25</v>
      </c>
      <c r="C15" s="2068"/>
      <c r="D15" s="2054"/>
      <c r="E15" s="2557"/>
      <c r="F15" s="2037"/>
      <c r="G15" s="2037"/>
      <c r="N15" s="2044"/>
      <c r="O15" s="2066"/>
      <c r="P15" s="2066"/>
      <c r="Q15" s="2066"/>
    </row>
    <row r="16" spans="1:17" ht="12" customHeight="1">
      <c r="A16" s="2059" t="s">
        <v>33</v>
      </c>
      <c r="B16" s="2060"/>
      <c r="C16" s="2067"/>
      <c r="D16" s="2061"/>
      <c r="E16" s="2067"/>
      <c r="F16" s="2036"/>
      <c r="G16" s="2037"/>
      <c r="N16" s="2044"/>
      <c r="O16" s="2066"/>
      <c r="P16" s="2066"/>
      <c r="Q16" s="2066"/>
    </row>
    <row r="17" spans="1:17" ht="12" customHeight="1">
      <c r="A17" s="2052" t="s">
        <v>340</v>
      </c>
      <c r="B17" s="2053">
        <v>45</v>
      </c>
      <c r="C17" s="2068"/>
      <c r="D17" s="2054"/>
      <c r="E17" s="2068"/>
      <c r="F17" s="2037"/>
      <c r="G17" s="2037"/>
      <c r="N17" s="2044"/>
      <c r="O17" s="2066"/>
      <c r="P17" s="2066"/>
      <c r="Q17" s="2066"/>
    </row>
    <row r="18" spans="1:17" ht="12" customHeight="1">
      <c r="A18" s="2059" t="s">
        <v>46</v>
      </c>
      <c r="B18" s="2060"/>
      <c r="C18" s="2067"/>
      <c r="D18" s="2061"/>
      <c r="E18" s="2087"/>
      <c r="F18" s="2037"/>
      <c r="G18" s="2037"/>
      <c r="N18" s="2044"/>
      <c r="O18" s="2066"/>
      <c r="P18" s="2066"/>
      <c r="Q18" s="2066"/>
    </row>
    <row r="19" spans="1:17" ht="13.5" customHeight="1">
      <c r="A19" s="2052" t="s">
        <v>2650</v>
      </c>
      <c r="B19" s="2053">
        <v>55</v>
      </c>
      <c r="C19" s="2068"/>
      <c r="D19" s="2054"/>
      <c r="E19" s="2068"/>
      <c r="F19" s="2037"/>
      <c r="G19" s="2037"/>
      <c r="N19" s="2044"/>
      <c r="O19" s="2066"/>
      <c r="P19" s="2066"/>
      <c r="Q19" s="2066"/>
    </row>
    <row r="20" spans="1:17" ht="12" customHeight="1">
      <c r="A20" s="2052" t="s">
        <v>688</v>
      </c>
      <c r="B20" s="2053">
        <v>60</v>
      </c>
      <c r="C20" s="2068"/>
      <c r="D20" s="2054"/>
      <c r="E20" s="2068"/>
      <c r="F20" s="2037"/>
      <c r="G20" s="2037"/>
    </row>
    <row r="21" spans="1:17" ht="12" customHeight="1">
      <c r="A21" s="2052" t="s">
        <v>689</v>
      </c>
      <c r="B21" s="2053">
        <v>65</v>
      </c>
      <c r="C21" s="2068"/>
      <c r="D21" s="2054"/>
      <c r="E21" s="2068"/>
      <c r="F21" s="2037"/>
      <c r="G21" s="2037"/>
    </row>
    <row r="22" spans="1:17" ht="12" customHeight="1">
      <c r="A22" s="2069" t="s">
        <v>52</v>
      </c>
      <c r="B22" s="2070">
        <v>170</v>
      </c>
      <c r="C22" s="2558">
        <f>SUM(C9:C21)</f>
        <v>0</v>
      </c>
      <c r="D22" s="2071">
        <f>SUM(D9:D21)</f>
        <v>0</v>
      </c>
      <c r="E22" s="2558">
        <f>SUM(E9:E21)</f>
        <v>0</v>
      </c>
      <c r="F22" s="2037"/>
      <c r="G22" s="2037"/>
    </row>
    <row r="23" spans="1:17" ht="12" customHeight="1">
      <c r="A23" s="2052" t="s">
        <v>53</v>
      </c>
      <c r="B23" s="2064">
        <v>175</v>
      </c>
      <c r="C23" s="2558">
        <f>C252</f>
        <v>0</v>
      </c>
      <c r="D23" s="2071">
        <f>D252</f>
        <v>0</v>
      </c>
      <c r="E23" s="2558">
        <f>IF(E252&lt;=E22,E252,"ERROR")</f>
        <v>0</v>
      </c>
      <c r="F23" s="2037"/>
      <c r="G23" s="3107" t="str">
        <f>IF(E23="ERROR","Expenditures must be less than or equal to the Resources Available","")</f>
        <v/>
      </c>
      <c r="H23" s="2073"/>
    </row>
    <row r="24" spans="1:17" ht="12" customHeight="1">
      <c r="A24" s="2063" t="s">
        <v>290</v>
      </c>
      <c r="B24" s="2064">
        <v>190</v>
      </c>
      <c r="C24" s="2558">
        <f>SUM(C22-C23)</f>
        <v>0</v>
      </c>
      <c r="D24" s="2071">
        <f>SUM(D22-D23)</f>
        <v>0</v>
      </c>
      <c r="E24" s="2622">
        <f>IF(ISERROR(E22-E23),"NEGATIVE",E22-E23)</f>
        <v>0</v>
      </c>
      <c r="F24" s="2037"/>
      <c r="G24" s="2072"/>
      <c r="H24" s="2073"/>
    </row>
    <row r="25" spans="1:17" ht="13.5" customHeight="1">
      <c r="A25" s="5237" t="s">
        <v>2651</v>
      </c>
      <c r="B25" s="2074"/>
      <c r="C25" s="2074"/>
      <c r="D25" s="2074"/>
      <c r="E25" s="2074"/>
      <c r="F25" s="2037"/>
      <c r="G25" s="2037"/>
    </row>
    <row r="26" spans="1:17" ht="13.5" customHeight="1">
      <c r="A26" s="3299"/>
      <c r="B26" s="2074"/>
      <c r="C26" s="2074"/>
      <c r="D26" s="2074"/>
      <c r="E26" s="2074"/>
      <c r="F26" s="2037"/>
      <c r="G26" s="2037"/>
    </row>
    <row r="27" spans="1:17" ht="13.5" customHeight="1">
      <c r="A27" s="3299"/>
      <c r="B27" s="2074"/>
      <c r="C27" s="2074"/>
      <c r="D27" s="2074"/>
      <c r="E27" s="2074"/>
      <c r="F27" s="2037"/>
      <c r="G27" s="2037"/>
    </row>
    <row r="28" spans="1:17" ht="11.1" customHeight="1">
      <c r="A28" s="2075"/>
      <c r="B28" s="2076"/>
      <c r="C28" s="2075" t="s">
        <v>1213</v>
      </c>
      <c r="D28" s="2075" t="s">
        <v>1213</v>
      </c>
      <c r="E28" s="2075" t="s">
        <v>1213</v>
      </c>
      <c r="F28" s="2037"/>
      <c r="G28" s="2037"/>
    </row>
    <row r="29" spans="1:17" ht="12" customHeight="1">
      <c r="A29" s="2077" t="s">
        <v>899</v>
      </c>
      <c r="B29" s="2078" t="s">
        <v>1045</v>
      </c>
      <c r="C29" s="2079" t="str">
        <f>C6</f>
        <v>2014-2015</v>
      </c>
      <c r="D29" s="2079" t="str">
        <f>D6</f>
        <v>2015-2016</v>
      </c>
      <c r="E29" s="2079" t="str">
        <f>E6</f>
        <v>2016-2017</v>
      </c>
      <c r="F29" s="2037"/>
      <c r="G29" s="2037"/>
    </row>
    <row r="30" spans="1:17" ht="13.5" customHeight="1">
      <c r="A30" s="2077" t="s">
        <v>898</v>
      </c>
      <c r="B30" s="2080">
        <v>78</v>
      </c>
      <c r="C30" s="2081" t="s">
        <v>1139</v>
      </c>
      <c r="D30" s="2081" t="s">
        <v>1139</v>
      </c>
      <c r="E30" s="2081" t="s">
        <v>1215</v>
      </c>
      <c r="F30" s="2037"/>
      <c r="G30" s="2037"/>
    </row>
    <row r="31" spans="1:17" ht="12" customHeight="1">
      <c r="A31" s="2082"/>
      <c r="B31" s="2083" t="s">
        <v>1051</v>
      </c>
      <c r="C31" s="2084">
        <v>1</v>
      </c>
      <c r="D31" s="2084">
        <v>2</v>
      </c>
      <c r="E31" s="2084">
        <v>3</v>
      </c>
      <c r="F31" s="2037"/>
      <c r="G31" s="2037"/>
    </row>
    <row r="32" spans="1:17" ht="12" customHeight="1">
      <c r="A32" s="2059" t="s">
        <v>82</v>
      </c>
      <c r="B32" s="2060"/>
      <c r="C32" s="2067"/>
      <c r="D32" s="2061"/>
      <c r="E32" s="2067"/>
      <c r="F32" s="2037"/>
      <c r="G32" s="2037"/>
    </row>
    <row r="33" spans="1:7" ht="12" customHeight="1">
      <c r="A33" s="2085" t="s">
        <v>1309</v>
      </c>
      <c r="B33" s="2086"/>
      <c r="C33" s="2087"/>
      <c r="D33" s="2062"/>
      <c r="E33" s="2087"/>
      <c r="F33" s="2037"/>
      <c r="G33" s="2037"/>
    </row>
    <row r="34" spans="1:7" ht="12" customHeight="1">
      <c r="A34" s="2088" t="s">
        <v>1347</v>
      </c>
      <c r="B34" s="2089">
        <v>210</v>
      </c>
      <c r="C34" s="2068"/>
      <c r="D34" s="2054"/>
      <c r="E34" s="2068"/>
      <c r="F34" s="2037"/>
      <c r="G34" s="2037"/>
    </row>
    <row r="35" spans="1:7" ht="12" customHeight="1">
      <c r="A35" s="2088" t="s">
        <v>1270</v>
      </c>
      <c r="B35" s="2089">
        <v>215</v>
      </c>
      <c r="C35" s="2068"/>
      <c r="D35" s="2054"/>
      <c r="E35" s="2068"/>
      <c r="F35" s="2037"/>
      <c r="G35" s="2037"/>
    </row>
    <row r="36" spans="1:7" ht="12" customHeight="1">
      <c r="A36" s="2090" t="s">
        <v>1310</v>
      </c>
      <c r="B36" s="2091"/>
      <c r="C36" s="2067"/>
      <c r="D36" s="2061"/>
      <c r="E36" s="2067"/>
      <c r="F36" s="2037"/>
      <c r="G36" s="2037"/>
    </row>
    <row r="37" spans="1:7" ht="12" customHeight="1">
      <c r="A37" s="2088" t="s">
        <v>1311</v>
      </c>
      <c r="B37" s="2089">
        <v>220</v>
      </c>
      <c r="C37" s="2068"/>
      <c r="D37" s="2054"/>
      <c r="E37" s="2068"/>
      <c r="F37" s="2037"/>
      <c r="G37" s="2037"/>
    </row>
    <row r="38" spans="1:7" ht="12" customHeight="1">
      <c r="A38" s="2088" t="s">
        <v>1314</v>
      </c>
      <c r="B38" s="2089">
        <v>225</v>
      </c>
      <c r="C38" s="2068"/>
      <c r="D38" s="2054"/>
      <c r="E38" s="2068"/>
      <c r="F38" s="2037"/>
      <c r="G38" s="2037"/>
    </row>
    <row r="39" spans="1:7" ht="12" customHeight="1">
      <c r="A39" s="2092" t="s">
        <v>1315</v>
      </c>
      <c r="B39" s="2093">
        <v>230</v>
      </c>
      <c r="C39" s="2095"/>
      <c r="D39" s="2065"/>
      <c r="E39" s="2095"/>
      <c r="F39" s="2037"/>
      <c r="G39" s="2037"/>
    </row>
    <row r="40" spans="1:7" ht="12" customHeight="1">
      <c r="A40" s="2090" t="s">
        <v>1439</v>
      </c>
      <c r="B40" s="2091">
        <v>235</v>
      </c>
      <c r="C40" s="2559"/>
      <c r="D40" s="2094"/>
      <c r="E40" s="2559"/>
      <c r="F40" s="2037"/>
      <c r="G40" s="2037"/>
    </row>
    <row r="41" spans="1:7" ht="12" customHeight="1">
      <c r="A41" s="2967" t="s">
        <v>711</v>
      </c>
      <c r="B41" s="2968">
        <v>237</v>
      </c>
      <c r="C41" s="2559"/>
      <c r="D41" s="2094"/>
      <c r="E41" s="2559"/>
      <c r="F41" s="2037"/>
      <c r="G41" s="2037"/>
    </row>
    <row r="42" spans="1:7" ht="12" customHeight="1">
      <c r="A42" s="2090" t="s">
        <v>1327</v>
      </c>
      <c r="B42" s="2091"/>
      <c r="C42" s="2067"/>
      <c r="D42" s="2061"/>
      <c r="E42" s="2067"/>
      <c r="F42" s="2037"/>
      <c r="G42" s="2037"/>
    </row>
    <row r="43" spans="1:7" ht="12" customHeight="1">
      <c r="A43" s="2085" t="s">
        <v>83</v>
      </c>
      <c r="B43" s="2086"/>
      <c r="C43" s="2087"/>
      <c r="D43" s="2062"/>
      <c r="E43" s="2087"/>
      <c r="F43" s="2037"/>
      <c r="G43" s="2037"/>
    </row>
    <row r="44" spans="1:7" ht="12" customHeight="1">
      <c r="A44" s="2088" t="s">
        <v>99</v>
      </c>
      <c r="B44" s="2089">
        <v>240</v>
      </c>
      <c r="C44" s="2068"/>
      <c r="D44" s="2054"/>
      <c r="E44" s="2068"/>
      <c r="F44" s="2037"/>
      <c r="G44" s="2037"/>
    </row>
    <row r="45" spans="1:7" ht="12" customHeight="1">
      <c r="A45" s="2092" t="s">
        <v>306</v>
      </c>
      <c r="B45" s="2093">
        <v>245</v>
      </c>
      <c r="C45" s="2095"/>
      <c r="D45" s="2065"/>
      <c r="E45" s="2095"/>
      <c r="F45" s="2037"/>
      <c r="G45" s="2037"/>
    </row>
    <row r="46" spans="1:7" ht="12" customHeight="1">
      <c r="A46" s="2092" t="s">
        <v>1336</v>
      </c>
      <c r="B46" s="2093">
        <v>250</v>
      </c>
      <c r="C46" s="2095"/>
      <c r="D46" s="2065"/>
      <c r="E46" s="2095"/>
      <c r="F46" s="2037"/>
      <c r="G46" s="2037"/>
    </row>
    <row r="47" spans="1:7" ht="12" customHeight="1">
      <c r="A47" s="2090" t="s">
        <v>1337</v>
      </c>
      <c r="B47" s="2091"/>
      <c r="C47" s="2067"/>
      <c r="D47" s="2061"/>
      <c r="E47" s="2067"/>
      <c r="F47" s="2037"/>
      <c r="G47" s="2037"/>
    </row>
    <row r="48" spans="1:7" ht="12" customHeight="1">
      <c r="A48" s="2088" t="s">
        <v>900</v>
      </c>
      <c r="B48" s="2089">
        <v>255</v>
      </c>
      <c r="C48" s="2068"/>
      <c r="D48" s="2054"/>
      <c r="E48" s="2068"/>
      <c r="F48" s="2037"/>
      <c r="G48" s="2037"/>
    </row>
    <row r="49" spans="1:7" ht="12" customHeight="1">
      <c r="A49" s="2092" t="s">
        <v>87</v>
      </c>
      <c r="B49" s="2093">
        <v>260</v>
      </c>
      <c r="C49" s="2095"/>
      <c r="D49" s="2065"/>
      <c r="E49" s="2095"/>
      <c r="F49" s="2037"/>
      <c r="G49" s="2037"/>
    </row>
    <row r="50" spans="1:7" ht="12" customHeight="1">
      <c r="A50" s="2969" t="s">
        <v>1256</v>
      </c>
      <c r="B50" s="2970">
        <v>263</v>
      </c>
      <c r="C50" s="2068"/>
      <c r="D50" s="2054"/>
      <c r="E50" s="2068"/>
      <c r="F50" s="2037"/>
      <c r="G50" s="2037"/>
    </row>
    <row r="51" spans="1:7" ht="12" customHeight="1">
      <c r="A51" s="2088" t="s">
        <v>1344</v>
      </c>
      <c r="B51" s="2089">
        <v>265</v>
      </c>
      <c r="C51" s="2068"/>
      <c r="D51" s="2054"/>
      <c r="E51" s="2068"/>
      <c r="F51" s="2037"/>
      <c r="G51" s="2037"/>
    </row>
    <row r="52" spans="1:7" ht="12" customHeight="1">
      <c r="A52" s="2092" t="s">
        <v>1345</v>
      </c>
      <c r="B52" s="2093">
        <v>270</v>
      </c>
      <c r="C52" s="2095"/>
      <c r="D52" s="2065"/>
      <c r="E52" s="2095"/>
      <c r="F52" s="2037"/>
      <c r="G52" s="2037"/>
    </row>
    <row r="53" spans="1:7" ht="12" customHeight="1">
      <c r="A53" s="2092" t="s">
        <v>1346</v>
      </c>
      <c r="B53" s="2093">
        <v>275</v>
      </c>
      <c r="C53" s="2095"/>
      <c r="D53" s="2065"/>
      <c r="E53" s="2095"/>
      <c r="F53" s="2037"/>
      <c r="G53" s="2037"/>
    </row>
    <row r="54" spans="1:7" ht="12" customHeight="1">
      <c r="A54" s="2090" t="s">
        <v>88</v>
      </c>
      <c r="B54" s="2091"/>
      <c r="C54" s="2067"/>
      <c r="D54" s="2061"/>
      <c r="E54" s="2067"/>
      <c r="F54" s="2037"/>
      <c r="G54" s="2037"/>
    </row>
    <row r="55" spans="1:7" ht="12" customHeight="1">
      <c r="A55" s="2085" t="s">
        <v>89</v>
      </c>
      <c r="B55" s="2086"/>
      <c r="C55" s="2087"/>
      <c r="D55" s="2062"/>
      <c r="E55" s="2087"/>
      <c r="F55" s="2037"/>
      <c r="G55" s="2037"/>
    </row>
    <row r="56" spans="1:7" ht="12" customHeight="1">
      <c r="A56" s="2085" t="s">
        <v>1309</v>
      </c>
      <c r="B56" s="2086"/>
      <c r="C56" s="2087"/>
      <c r="D56" s="2062"/>
      <c r="E56" s="2087"/>
      <c r="F56" s="2037"/>
      <c r="G56" s="2037"/>
    </row>
    <row r="57" spans="1:7" ht="12" customHeight="1">
      <c r="A57" s="2088" t="s">
        <v>1347</v>
      </c>
      <c r="B57" s="2089">
        <v>280</v>
      </c>
      <c r="C57" s="2068"/>
      <c r="D57" s="2054"/>
      <c r="E57" s="2068"/>
      <c r="F57" s="2037"/>
      <c r="G57" s="2037"/>
    </row>
    <row r="58" spans="1:7" ht="12" customHeight="1">
      <c r="A58" s="2092" t="s">
        <v>1270</v>
      </c>
      <c r="B58" s="2093">
        <v>285</v>
      </c>
      <c r="C58" s="2095"/>
      <c r="D58" s="2065"/>
      <c r="E58" s="2095"/>
      <c r="F58" s="2037"/>
      <c r="G58" s="2037"/>
    </row>
    <row r="59" spans="1:7" ht="12" customHeight="1">
      <c r="A59" s="2090" t="s">
        <v>1310</v>
      </c>
      <c r="B59" s="2091"/>
      <c r="C59" s="2067"/>
      <c r="D59" s="2061"/>
      <c r="E59" s="2067"/>
      <c r="F59" s="2037"/>
      <c r="G59" s="2037"/>
    </row>
    <row r="60" spans="1:7" ht="12" customHeight="1">
      <c r="A60" s="2088" t="s">
        <v>1311</v>
      </c>
      <c r="B60" s="2089">
        <v>290</v>
      </c>
      <c r="C60" s="2068"/>
      <c r="D60" s="2054"/>
      <c r="E60" s="2068"/>
      <c r="F60" s="2037"/>
      <c r="G60" s="2037"/>
    </row>
    <row r="61" spans="1:7" ht="12" customHeight="1">
      <c r="A61" s="2092" t="s">
        <v>1314</v>
      </c>
      <c r="B61" s="2093">
        <v>295</v>
      </c>
      <c r="C61" s="2095"/>
      <c r="D61" s="2065"/>
      <c r="E61" s="2095"/>
      <c r="F61" s="2037"/>
      <c r="G61" s="2037"/>
    </row>
    <row r="62" spans="1:7" ht="12" customHeight="1">
      <c r="A62" s="2092" t="s">
        <v>1315</v>
      </c>
      <c r="B62" s="2093">
        <v>300</v>
      </c>
      <c r="C62" s="2095"/>
      <c r="D62" s="2065"/>
      <c r="E62" s="2095"/>
      <c r="F62" s="2037"/>
      <c r="G62" s="2037"/>
    </row>
    <row r="63" spans="1:7" ht="12" customHeight="1">
      <c r="A63" s="2092" t="s">
        <v>1439</v>
      </c>
      <c r="B63" s="2093">
        <v>305</v>
      </c>
      <c r="C63" s="2095"/>
      <c r="D63" s="2065"/>
      <c r="E63" s="2095"/>
      <c r="F63" s="2037"/>
      <c r="G63" s="2037"/>
    </row>
    <row r="64" spans="1:7" ht="12" customHeight="1">
      <c r="A64" s="2971" t="s">
        <v>711</v>
      </c>
      <c r="B64" s="2972">
        <v>307</v>
      </c>
      <c r="C64" s="2095"/>
      <c r="D64" s="2065"/>
      <c r="E64" s="2095"/>
      <c r="F64" s="2037"/>
      <c r="G64" s="2037"/>
    </row>
    <row r="65" spans="1:7" ht="12" customHeight="1">
      <c r="A65" s="2096" t="s">
        <v>1327</v>
      </c>
      <c r="B65" s="2097">
        <v>310</v>
      </c>
      <c r="C65" s="2095"/>
      <c r="D65" s="2065"/>
      <c r="E65" s="2095"/>
      <c r="F65" s="2037"/>
      <c r="G65" s="2037"/>
    </row>
    <row r="66" spans="1:7" ht="11.1" customHeight="1">
      <c r="A66" s="2098"/>
      <c r="B66" s="2040"/>
      <c r="C66" s="2040"/>
      <c r="D66" s="2040"/>
      <c r="E66" s="2040"/>
      <c r="F66" s="2036"/>
      <c r="G66" s="2037"/>
    </row>
    <row r="67" spans="1:7" ht="11.1" customHeight="1">
      <c r="A67" s="2099"/>
      <c r="B67" s="2099"/>
      <c r="C67" s="2099"/>
      <c r="D67" s="2099"/>
      <c r="E67" s="2099"/>
      <c r="F67" s="2099"/>
      <c r="G67" s="2037"/>
    </row>
    <row r="68" spans="1:7" ht="12" customHeight="1">
      <c r="A68" s="2034" t="s">
        <v>1017</v>
      </c>
      <c r="B68" s="2035">
        <f>B1</f>
        <v>270</v>
      </c>
      <c r="C68" s="2036"/>
      <c r="D68" s="2036"/>
      <c r="E68" s="2034" t="s">
        <v>1020</v>
      </c>
      <c r="F68" s="2036"/>
      <c r="G68" s="2037"/>
    </row>
    <row r="69" spans="1:7" ht="12" customHeight="1">
      <c r="A69" s="2036"/>
      <c r="B69" s="2040"/>
      <c r="C69" s="2036"/>
      <c r="D69" s="2036"/>
      <c r="E69" s="2034" t="s">
        <v>1212</v>
      </c>
      <c r="F69" s="2036"/>
      <c r="G69" s="2037"/>
    </row>
    <row r="70" spans="1:7" ht="12" customHeight="1">
      <c r="A70" s="2036"/>
      <c r="B70" s="2040"/>
      <c r="C70" s="2036"/>
      <c r="D70" s="2036"/>
      <c r="E70" s="2034" t="str">
        <f>E3</f>
        <v>2016-2017</v>
      </c>
      <c r="F70" s="2036"/>
      <c r="G70" s="2037"/>
    </row>
    <row r="71" spans="1:7" ht="3.95" customHeight="1">
      <c r="A71" s="2036"/>
      <c r="B71" s="2040"/>
      <c r="C71" s="2036"/>
      <c r="D71" s="2036"/>
      <c r="E71" s="2036"/>
      <c r="F71" s="2036"/>
      <c r="G71" s="2037"/>
    </row>
    <row r="72" spans="1:7" ht="12" customHeight="1">
      <c r="A72" s="2036"/>
      <c r="B72" s="2039"/>
      <c r="C72" s="2040" t="s">
        <v>1213</v>
      </c>
      <c r="D72" s="2040" t="s">
        <v>1213</v>
      </c>
      <c r="E72" s="2040" t="s">
        <v>1213</v>
      </c>
      <c r="F72" s="2036"/>
      <c r="G72" s="2037"/>
    </row>
    <row r="73" spans="1:7" ht="12" customHeight="1">
      <c r="A73" s="2041" t="s">
        <v>899</v>
      </c>
      <c r="B73" s="2042" t="s">
        <v>1045</v>
      </c>
      <c r="C73" s="2043" t="str">
        <f>C6</f>
        <v>2014-2015</v>
      </c>
      <c r="D73" s="2043" t="str">
        <f>D6</f>
        <v>2015-2016</v>
      </c>
      <c r="E73" s="2043" t="str">
        <f>E6</f>
        <v>2016-2017</v>
      </c>
      <c r="F73" s="2036"/>
      <c r="G73" s="2037"/>
    </row>
    <row r="74" spans="1:7" ht="12" customHeight="1">
      <c r="A74" s="2041" t="s">
        <v>898</v>
      </c>
      <c r="B74" s="2046">
        <v>78</v>
      </c>
      <c r="C74" s="2047" t="s">
        <v>1139</v>
      </c>
      <c r="D74" s="2047" t="s">
        <v>1139</v>
      </c>
      <c r="E74" s="2047" t="s">
        <v>1215</v>
      </c>
      <c r="F74" s="2036"/>
      <c r="G74" s="2037"/>
    </row>
    <row r="75" spans="1:7" ht="12" customHeight="1">
      <c r="A75" s="2049"/>
      <c r="B75" s="2050" t="s">
        <v>1051</v>
      </c>
      <c r="C75" s="2051">
        <v>1</v>
      </c>
      <c r="D75" s="2051">
        <v>2</v>
      </c>
      <c r="E75" s="2051">
        <v>3</v>
      </c>
      <c r="F75" s="2036"/>
      <c r="G75" s="2037"/>
    </row>
    <row r="76" spans="1:7" ht="12" customHeight="1">
      <c r="A76" s="2096" t="s">
        <v>1337</v>
      </c>
      <c r="B76" s="2097">
        <v>315</v>
      </c>
      <c r="C76" s="2112"/>
      <c r="D76" s="2100"/>
      <c r="E76" s="2112"/>
      <c r="F76" s="2037"/>
      <c r="G76" s="2037"/>
    </row>
    <row r="77" spans="1:7" ht="12" customHeight="1">
      <c r="A77" s="2101" t="s">
        <v>1345</v>
      </c>
      <c r="B77" s="2102">
        <v>320</v>
      </c>
      <c r="C77" s="2560"/>
      <c r="D77" s="2103"/>
      <c r="E77" s="2560"/>
      <c r="F77" s="2037"/>
      <c r="G77" s="2037"/>
    </row>
    <row r="78" spans="1:7" ht="12" customHeight="1">
      <c r="A78" s="2104" t="s">
        <v>1346</v>
      </c>
      <c r="B78" s="2105">
        <v>325</v>
      </c>
      <c r="C78" s="2112"/>
      <c r="D78" s="2100"/>
      <c r="E78" s="2112"/>
      <c r="F78" s="2037"/>
      <c r="G78" s="2037"/>
    </row>
    <row r="79" spans="1:7" ht="12" customHeight="1">
      <c r="A79" s="2106" t="s">
        <v>307</v>
      </c>
      <c r="B79" s="2107"/>
      <c r="C79" s="2561"/>
      <c r="D79" s="2108"/>
      <c r="E79" s="2561"/>
      <c r="F79" s="2037"/>
      <c r="G79" s="2037"/>
    </row>
    <row r="80" spans="1:7" ht="12" customHeight="1">
      <c r="A80" s="2109" t="s">
        <v>1309</v>
      </c>
      <c r="B80" s="2110"/>
      <c r="C80" s="2562"/>
      <c r="D80" s="2111"/>
      <c r="E80" s="2562"/>
      <c r="F80" s="2037"/>
      <c r="G80" s="2037"/>
    </row>
    <row r="81" spans="1:7" ht="12" customHeight="1">
      <c r="A81" s="2101" t="s">
        <v>1347</v>
      </c>
      <c r="B81" s="2102">
        <v>330</v>
      </c>
      <c r="C81" s="2560"/>
      <c r="D81" s="2103"/>
      <c r="E81" s="2560"/>
      <c r="F81" s="2037"/>
      <c r="G81" s="2037"/>
    </row>
    <row r="82" spans="1:7" ht="12" customHeight="1">
      <c r="A82" s="2104" t="s">
        <v>1270</v>
      </c>
      <c r="B82" s="2105">
        <v>335</v>
      </c>
      <c r="C82" s="2112"/>
      <c r="D82" s="2100"/>
      <c r="E82" s="2112"/>
      <c r="F82" s="2037"/>
      <c r="G82" s="2037"/>
    </row>
    <row r="83" spans="1:7" ht="12" customHeight="1">
      <c r="A83" s="2106" t="s">
        <v>1310</v>
      </c>
      <c r="B83" s="2107"/>
      <c r="C83" s="2561"/>
      <c r="D83" s="2108"/>
      <c r="E83" s="2561"/>
      <c r="F83" s="2037"/>
      <c r="G83" s="2037"/>
    </row>
    <row r="84" spans="1:7" ht="12" customHeight="1">
      <c r="A84" s="2101" t="s">
        <v>1311</v>
      </c>
      <c r="B84" s="2102">
        <v>340</v>
      </c>
      <c r="C84" s="2560"/>
      <c r="D84" s="2103"/>
      <c r="E84" s="2560"/>
      <c r="F84" s="2037"/>
      <c r="G84" s="2037"/>
    </row>
    <row r="85" spans="1:7" ht="12" customHeight="1">
      <c r="A85" s="2104" t="s">
        <v>1314</v>
      </c>
      <c r="B85" s="2105">
        <v>345</v>
      </c>
      <c r="C85" s="2112"/>
      <c r="D85" s="2100"/>
      <c r="E85" s="2112"/>
      <c r="F85" s="2037"/>
      <c r="G85" s="2037"/>
    </row>
    <row r="86" spans="1:7" ht="12" customHeight="1">
      <c r="A86" s="2104" t="s">
        <v>1315</v>
      </c>
      <c r="B86" s="2105">
        <v>350</v>
      </c>
      <c r="C86" s="2112"/>
      <c r="D86" s="2100"/>
      <c r="E86" s="2112"/>
      <c r="F86" s="2037"/>
      <c r="G86" s="2037"/>
    </row>
    <row r="87" spans="1:7" ht="12" customHeight="1">
      <c r="A87" s="2104" t="s">
        <v>1</v>
      </c>
      <c r="B87" s="2105">
        <v>355</v>
      </c>
      <c r="C87" s="2112"/>
      <c r="D87" s="2100"/>
      <c r="E87" s="2112"/>
      <c r="F87" s="2037"/>
      <c r="G87" s="2037"/>
    </row>
    <row r="88" spans="1:7" ht="12" customHeight="1">
      <c r="A88" s="2973" t="s">
        <v>1318</v>
      </c>
      <c r="B88" s="2974">
        <v>357</v>
      </c>
      <c r="C88" s="2112"/>
      <c r="D88" s="2100"/>
      <c r="E88" s="2112"/>
      <c r="F88" s="2037"/>
      <c r="G88" s="2037"/>
    </row>
    <row r="89" spans="1:7" ht="12" customHeight="1">
      <c r="A89" s="2104" t="s">
        <v>1327</v>
      </c>
      <c r="B89" s="2105">
        <v>360</v>
      </c>
      <c r="C89" s="2112"/>
      <c r="D89" s="2100"/>
      <c r="E89" s="2112"/>
      <c r="F89" s="2037"/>
      <c r="G89" s="2037"/>
    </row>
    <row r="90" spans="1:7" ht="12" customHeight="1">
      <c r="A90" s="2106" t="s">
        <v>1337</v>
      </c>
      <c r="B90" s="2107"/>
      <c r="C90" s="2561"/>
      <c r="D90" s="2108"/>
      <c r="E90" s="2561"/>
      <c r="F90" s="2037"/>
      <c r="G90" s="2037"/>
    </row>
    <row r="91" spans="1:7" ht="12" customHeight="1">
      <c r="A91" s="2109" t="s">
        <v>901</v>
      </c>
      <c r="B91" s="2110">
        <v>365</v>
      </c>
      <c r="C91" s="2563"/>
      <c r="D91" s="2113"/>
      <c r="E91" s="2563"/>
      <c r="F91" s="2037"/>
      <c r="G91" s="2037"/>
    </row>
    <row r="92" spans="1:7" ht="12" customHeight="1">
      <c r="A92" s="2106" t="s">
        <v>798</v>
      </c>
      <c r="B92" s="2107">
        <v>370</v>
      </c>
      <c r="C92" s="2564"/>
      <c r="D92" s="2114"/>
      <c r="E92" s="2564"/>
      <c r="F92" s="2037"/>
      <c r="G92" s="2037"/>
    </row>
    <row r="93" spans="1:7" ht="12" customHeight="1">
      <c r="A93" s="2104" t="s">
        <v>1344</v>
      </c>
      <c r="B93" s="2105">
        <v>375</v>
      </c>
      <c r="C93" s="2112"/>
      <c r="D93" s="2100"/>
      <c r="E93" s="2112"/>
      <c r="F93" s="2037"/>
      <c r="G93" s="2037"/>
    </row>
    <row r="94" spans="1:7" ht="12" customHeight="1">
      <c r="A94" s="2104" t="s">
        <v>1345</v>
      </c>
      <c r="B94" s="2105">
        <v>380</v>
      </c>
      <c r="C94" s="2112"/>
      <c r="D94" s="2100"/>
      <c r="E94" s="2112"/>
      <c r="F94" s="2037"/>
      <c r="G94" s="2037"/>
    </row>
    <row r="95" spans="1:7" ht="12" customHeight="1">
      <c r="A95" s="2104" t="s">
        <v>1346</v>
      </c>
      <c r="B95" s="2105">
        <v>385</v>
      </c>
      <c r="C95" s="2112"/>
      <c r="D95" s="2100"/>
      <c r="E95" s="2112"/>
      <c r="F95" s="2037"/>
      <c r="G95" s="2037"/>
    </row>
    <row r="96" spans="1:7" ht="12" customHeight="1">
      <c r="A96" s="2106" t="s">
        <v>91</v>
      </c>
      <c r="B96" s="2107"/>
      <c r="C96" s="2561"/>
      <c r="D96" s="2108"/>
      <c r="E96" s="2561"/>
      <c r="F96" s="2037"/>
      <c r="G96" s="2037"/>
    </row>
    <row r="97" spans="1:7" ht="12" customHeight="1">
      <c r="A97" s="2109" t="s">
        <v>693</v>
      </c>
      <c r="B97" s="2110"/>
      <c r="C97" s="2562"/>
      <c r="D97" s="2111"/>
      <c r="E97" s="2562"/>
      <c r="F97" s="2037"/>
      <c r="G97" s="2037"/>
    </row>
    <row r="98" spans="1:7" ht="12" customHeight="1">
      <c r="A98" s="2109" t="s">
        <v>1309</v>
      </c>
      <c r="B98" s="2110"/>
      <c r="C98" s="2562"/>
      <c r="D98" s="2111"/>
      <c r="E98" s="2562"/>
      <c r="F98" s="2037"/>
      <c r="G98" s="2037"/>
    </row>
    <row r="99" spans="1:7" ht="12" customHeight="1">
      <c r="A99" s="2101" t="s">
        <v>1347</v>
      </c>
      <c r="B99" s="2102">
        <v>390</v>
      </c>
      <c r="C99" s="2560"/>
      <c r="D99" s="2103"/>
      <c r="E99" s="2560"/>
      <c r="F99" s="2037"/>
      <c r="G99" s="2037"/>
    </row>
    <row r="100" spans="1:7" ht="12" customHeight="1">
      <c r="A100" s="2104" t="s">
        <v>1270</v>
      </c>
      <c r="B100" s="2105">
        <v>395</v>
      </c>
      <c r="C100" s="2112"/>
      <c r="D100" s="2100"/>
      <c r="E100" s="2112"/>
      <c r="F100" s="2037"/>
      <c r="G100" s="2037"/>
    </row>
    <row r="101" spans="1:7" ht="12" customHeight="1">
      <c r="A101" s="2106" t="s">
        <v>1310</v>
      </c>
      <c r="B101" s="2107"/>
      <c r="C101" s="2561"/>
      <c r="D101" s="2108"/>
      <c r="E101" s="2561"/>
      <c r="F101" s="2037"/>
      <c r="G101" s="2037"/>
    </row>
    <row r="102" spans="1:7" ht="12" customHeight="1">
      <c r="A102" s="2101" t="s">
        <v>1311</v>
      </c>
      <c r="B102" s="2102">
        <v>400</v>
      </c>
      <c r="C102" s="2560"/>
      <c r="D102" s="2103"/>
      <c r="E102" s="2560"/>
      <c r="F102" s="2037"/>
      <c r="G102" s="2037"/>
    </row>
    <row r="103" spans="1:7" ht="12" customHeight="1">
      <c r="A103" s="2104" t="s">
        <v>1314</v>
      </c>
      <c r="B103" s="2105">
        <v>405</v>
      </c>
      <c r="C103" s="2112"/>
      <c r="D103" s="2100"/>
      <c r="E103" s="2112"/>
      <c r="F103" s="2037"/>
      <c r="G103" s="2037"/>
    </row>
    <row r="104" spans="1:7" ht="12" customHeight="1">
      <c r="A104" s="2104" t="s">
        <v>1315</v>
      </c>
      <c r="B104" s="2105">
        <v>410</v>
      </c>
      <c r="C104" s="2112"/>
      <c r="D104" s="2100"/>
      <c r="E104" s="2112"/>
      <c r="F104" s="2037"/>
      <c r="G104" s="2037"/>
    </row>
    <row r="105" spans="1:7" ht="12" customHeight="1">
      <c r="A105" s="2104" t="s">
        <v>1</v>
      </c>
      <c r="B105" s="2105">
        <v>415</v>
      </c>
      <c r="C105" s="2112"/>
      <c r="D105" s="2100"/>
      <c r="E105" s="2112"/>
      <c r="F105" s="2037"/>
      <c r="G105" s="2037"/>
    </row>
    <row r="106" spans="1:7" ht="12" customHeight="1">
      <c r="A106" s="2104" t="s">
        <v>1318</v>
      </c>
      <c r="B106" s="2105">
        <v>420</v>
      </c>
      <c r="C106" s="2112"/>
      <c r="D106" s="2100"/>
      <c r="E106" s="2112"/>
      <c r="F106" s="2037"/>
      <c r="G106" s="2037"/>
    </row>
    <row r="107" spans="1:7" ht="12" customHeight="1">
      <c r="A107" s="2104" t="s">
        <v>1327</v>
      </c>
      <c r="B107" s="2105">
        <v>425</v>
      </c>
      <c r="C107" s="2112"/>
      <c r="D107" s="2100"/>
      <c r="E107" s="2112"/>
      <c r="F107" s="2037"/>
      <c r="G107" s="2037"/>
    </row>
    <row r="108" spans="1:7" ht="12" customHeight="1">
      <c r="A108" s="2104" t="s">
        <v>1337</v>
      </c>
      <c r="B108" s="2105">
        <v>430</v>
      </c>
      <c r="C108" s="2112"/>
      <c r="D108" s="2100"/>
      <c r="E108" s="2112"/>
      <c r="F108" s="2037"/>
      <c r="G108" s="2037"/>
    </row>
    <row r="109" spans="1:7" ht="12" customHeight="1">
      <c r="A109" s="2104" t="s">
        <v>1345</v>
      </c>
      <c r="B109" s="2105">
        <v>435</v>
      </c>
      <c r="C109" s="2112"/>
      <c r="D109" s="2100"/>
      <c r="E109" s="2112"/>
      <c r="F109" s="2037"/>
      <c r="G109" s="2037"/>
    </row>
    <row r="110" spans="1:7" ht="12" customHeight="1">
      <c r="A110" s="2104" t="s">
        <v>1346</v>
      </c>
      <c r="B110" s="2105">
        <v>440</v>
      </c>
      <c r="C110" s="2112"/>
      <c r="D110" s="2100"/>
      <c r="E110" s="2112"/>
      <c r="F110" s="2037"/>
      <c r="G110" s="2037"/>
    </row>
    <row r="111" spans="1:7" ht="12" customHeight="1">
      <c r="A111" s="2106" t="s">
        <v>102</v>
      </c>
      <c r="B111" s="2107"/>
      <c r="C111" s="2561"/>
      <c r="D111" s="2108"/>
      <c r="E111" s="2561"/>
      <c r="F111" s="2037"/>
      <c r="G111" s="2037"/>
    </row>
    <row r="112" spans="1:7" ht="12" customHeight="1">
      <c r="A112" s="2109" t="s">
        <v>1309</v>
      </c>
      <c r="B112" s="2110"/>
      <c r="C112" s="2562"/>
      <c r="D112" s="2111"/>
      <c r="E112" s="2562"/>
      <c r="F112" s="2037"/>
      <c r="G112" s="2037"/>
    </row>
    <row r="113" spans="1:7" ht="12" customHeight="1">
      <c r="A113" s="2101" t="s">
        <v>1347</v>
      </c>
      <c r="B113" s="2102">
        <v>445</v>
      </c>
      <c r="C113" s="2560"/>
      <c r="D113" s="2103"/>
      <c r="E113" s="2560"/>
      <c r="F113" s="2037"/>
      <c r="G113" s="2037"/>
    </row>
    <row r="114" spans="1:7" ht="12" customHeight="1">
      <c r="A114" s="2104" t="s">
        <v>1270</v>
      </c>
      <c r="B114" s="2105">
        <v>450</v>
      </c>
      <c r="C114" s="2112"/>
      <c r="D114" s="2100"/>
      <c r="E114" s="2112"/>
      <c r="F114" s="2037"/>
      <c r="G114" s="2037"/>
    </row>
    <row r="115" spans="1:7" ht="12" customHeight="1">
      <c r="A115" s="2106" t="s">
        <v>1310</v>
      </c>
      <c r="B115" s="2107"/>
      <c r="C115" s="2561"/>
      <c r="D115" s="2108"/>
      <c r="E115" s="2561"/>
      <c r="F115" s="2037"/>
      <c r="G115" s="2037"/>
    </row>
    <row r="116" spans="1:7" ht="12" customHeight="1">
      <c r="A116" s="2101" t="s">
        <v>1311</v>
      </c>
      <c r="B116" s="2102">
        <v>455</v>
      </c>
      <c r="C116" s="2560"/>
      <c r="D116" s="2103"/>
      <c r="E116" s="2560"/>
      <c r="F116" s="2037"/>
      <c r="G116" s="2037"/>
    </row>
    <row r="117" spans="1:7" ht="12" customHeight="1">
      <c r="A117" s="2104" t="s">
        <v>1314</v>
      </c>
      <c r="B117" s="2105">
        <v>460</v>
      </c>
      <c r="C117" s="2112"/>
      <c r="D117" s="2100"/>
      <c r="E117" s="2112"/>
      <c r="F117" s="2037"/>
      <c r="G117" s="2037"/>
    </row>
    <row r="118" spans="1:7" ht="12" customHeight="1">
      <c r="A118" s="2104" t="s">
        <v>1315</v>
      </c>
      <c r="B118" s="2105">
        <v>465</v>
      </c>
      <c r="C118" s="2112"/>
      <c r="D118" s="2100"/>
      <c r="E118" s="2112"/>
      <c r="F118" s="2037"/>
      <c r="G118" s="2037"/>
    </row>
    <row r="119" spans="1:7" ht="12" customHeight="1">
      <c r="A119" s="2104" t="s">
        <v>1</v>
      </c>
      <c r="B119" s="2105">
        <v>470</v>
      </c>
      <c r="C119" s="2112"/>
      <c r="D119" s="2100"/>
      <c r="E119" s="2112"/>
      <c r="F119" s="2037"/>
      <c r="G119" s="2037"/>
    </row>
    <row r="120" spans="1:7" ht="12" customHeight="1">
      <c r="A120" s="2104" t="s">
        <v>1327</v>
      </c>
      <c r="B120" s="2105">
        <v>475</v>
      </c>
      <c r="C120" s="2112"/>
      <c r="D120" s="2100"/>
      <c r="E120" s="2112"/>
      <c r="F120" s="2037"/>
      <c r="G120" s="2037"/>
    </row>
    <row r="121" spans="1:7" ht="12" customHeight="1">
      <c r="A121" s="2104" t="s">
        <v>1337</v>
      </c>
      <c r="B121" s="2105">
        <v>480</v>
      </c>
      <c r="C121" s="2112"/>
      <c r="D121" s="2100"/>
      <c r="E121" s="2112"/>
      <c r="F121" s="2037"/>
      <c r="G121" s="2037"/>
    </row>
    <row r="122" spans="1:7" ht="12" customHeight="1">
      <c r="A122" s="2104" t="s">
        <v>1345</v>
      </c>
      <c r="B122" s="2105">
        <v>485</v>
      </c>
      <c r="C122" s="2112"/>
      <c r="D122" s="2100"/>
      <c r="E122" s="2112"/>
      <c r="F122" s="2037"/>
      <c r="G122" s="2037"/>
    </row>
    <row r="123" spans="1:7" ht="12" customHeight="1">
      <c r="A123" s="2104" t="s">
        <v>1346</v>
      </c>
      <c r="B123" s="2105">
        <v>490</v>
      </c>
      <c r="C123" s="2112"/>
      <c r="D123" s="2100"/>
      <c r="E123" s="2112"/>
      <c r="F123" s="2037"/>
      <c r="G123" s="2037"/>
    </row>
    <row r="124" spans="1:7" ht="5.0999999999999996" customHeight="1">
      <c r="A124" s="2098"/>
      <c r="B124" s="2040"/>
      <c r="C124" s="2115"/>
      <c r="D124" s="2115"/>
      <c r="E124" s="2115"/>
      <c r="F124" s="2037"/>
      <c r="G124" s="2037"/>
    </row>
    <row r="125" spans="1:7" ht="12" customHeight="1">
      <c r="A125" s="2099"/>
      <c r="B125" s="2099"/>
      <c r="C125" s="2116"/>
      <c r="D125" s="2116"/>
      <c r="E125" s="2116"/>
      <c r="F125" s="2117"/>
      <c r="G125" s="2037"/>
    </row>
    <row r="126" spans="1:7" ht="12" customHeight="1">
      <c r="A126" s="2034" t="s">
        <v>1017</v>
      </c>
      <c r="B126" s="2035">
        <f>B1</f>
        <v>270</v>
      </c>
      <c r="C126" s="2036"/>
      <c r="D126" s="2036"/>
      <c r="E126" s="2034" t="s">
        <v>1020</v>
      </c>
      <c r="F126" s="2037"/>
      <c r="G126" s="2037"/>
    </row>
    <row r="127" spans="1:7" ht="12" customHeight="1">
      <c r="A127" s="2036"/>
      <c r="B127" s="2040"/>
      <c r="C127" s="2036"/>
      <c r="D127" s="2036"/>
      <c r="E127" s="2034" t="s">
        <v>1212</v>
      </c>
      <c r="F127" s="2037"/>
      <c r="G127" s="2037"/>
    </row>
    <row r="128" spans="1:7" ht="12" customHeight="1">
      <c r="A128" s="2036"/>
      <c r="B128" s="2040"/>
      <c r="C128" s="2036"/>
      <c r="D128" s="2036"/>
      <c r="E128" s="2034" t="str">
        <f>E3</f>
        <v>2016-2017</v>
      </c>
      <c r="F128" s="2037"/>
      <c r="G128" s="2037"/>
    </row>
    <row r="129" spans="1:7" ht="5.0999999999999996" customHeight="1">
      <c r="A129" s="2036"/>
      <c r="B129" s="2040"/>
      <c r="C129" s="2036"/>
      <c r="D129" s="2036"/>
      <c r="E129" s="2036"/>
      <c r="F129" s="2037"/>
      <c r="G129" s="2037"/>
    </row>
    <row r="130" spans="1:7" ht="12" customHeight="1">
      <c r="A130" s="2036"/>
      <c r="B130" s="2039"/>
      <c r="C130" s="2040" t="s">
        <v>1213</v>
      </c>
      <c r="D130" s="2040" t="s">
        <v>1213</v>
      </c>
      <c r="E130" s="2040" t="s">
        <v>1213</v>
      </c>
      <c r="F130" s="2037"/>
      <c r="G130" s="2037"/>
    </row>
    <row r="131" spans="1:7" ht="12" customHeight="1">
      <c r="A131" s="2041" t="s">
        <v>899</v>
      </c>
      <c r="B131" s="2042" t="s">
        <v>1045</v>
      </c>
      <c r="C131" s="2043" t="str">
        <f>C6</f>
        <v>2014-2015</v>
      </c>
      <c r="D131" s="2043" t="str">
        <f>D6</f>
        <v>2015-2016</v>
      </c>
      <c r="E131" s="2043" t="str">
        <f>E6</f>
        <v>2016-2017</v>
      </c>
      <c r="F131" s="2037"/>
      <c r="G131" s="2037"/>
    </row>
    <row r="132" spans="1:7" ht="12" customHeight="1">
      <c r="A132" s="2041" t="s">
        <v>898</v>
      </c>
      <c r="B132" s="2046">
        <v>78</v>
      </c>
      <c r="C132" s="2047" t="s">
        <v>1139</v>
      </c>
      <c r="D132" s="2047" t="s">
        <v>1139</v>
      </c>
      <c r="E132" s="2047" t="s">
        <v>1215</v>
      </c>
      <c r="F132" s="2037"/>
      <c r="G132" s="2037"/>
    </row>
    <row r="133" spans="1:7" ht="11.1" customHeight="1">
      <c r="A133" s="2049"/>
      <c r="B133" s="2050" t="s">
        <v>1051</v>
      </c>
      <c r="C133" s="2051">
        <v>1</v>
      </c>
      <c r="D133" s="2051">
        <v>2</v>
      </c>
      <c r="E133" s="2051">
        <v>3</v>
      </c>
      <c r="F133" s="2037"/>
      <c r="G133" s="2037"/>
    </row>
    <row r="134" spans="1:7" ht="12" customHeight="1">
      <c r="A134" s="1151" t="s">
        <v>1745</v>
      </c>
      <c r="B134" s="1152"/>
      <c r="C134" s="1142"/>
      <c r="D134" s="1153"/>
      <c r="E134" s="1142"/>
      <c r="F134" s="2037"/>
      <c r="G134" s="2037"/>
    </row>
    <row r="135" spans="1:7" ht="12" customHeight="1">
      <c r="A135" s="1146" t="s">
        <v>1268</v>
      </c>
      <c r="B135" s="1147"/>
      <c r="C135" s="1145"/>
      <c r="D135" s="1163"/>
      <c r="E135" s="1145"/>
      <c r="F135" s="2037"/>
      <c r="G135" s="2037"/>
    </row>
    <row r="136" spans="1:7" ht="12" customHeight="1">
      <c r="A136" s="1148" t="s">
        <v>1269</v>
      </c>
      <c r="B136" s="3994">
        <v>795</v>
      </c>
      <c r="C136" s="1150"/>
      <c r="D136" s="1154"/>
      <c r="E136" s="1150"/>
      <c r="F136" s="2037"/>
      <c r="G136" s="2037"/>
    </row>
    <row r="137" spans="1:7" ht="12" customHeight="1">
      <c r="A137" s="1148" t="s">
        <v>375</v>
      </c>
      <c r="B137" s="3994">
        <v>800</v>
      </c>
      <c r="C137" s="1150"/>
      <c r="D137" s="1154"/>
      <c r="E137" s="1150"/>
      <c r="F137" s="2037"/>
      <c r="G137" s="2037"/>
    </row>
    <row r="138" spans="1:7" ht="12" customHeight="1">
      <c r="A138" s="1151" t="s">
        <v>1271</v>
      </c>
      <c r="B138" s="2994"/>
      <c r="C138" s="1142"/>
      <c r="D138" s="1153"/>
      <c r="E138" s="1142"/>
      <c r="F138" s="2037"/>
      <c r="G138" s="2037"/>
    </row>
    <row r="139" spans="1:7" ht="12" customHeight="1">
      <c r="A139" s="1148" t="s">
        <v>353</v>
      </c>
      <c r="B139" s="3994">
        <v>805</v>
      </c>
      <c r="C139" s="1150"/>
      <c r="D139" s="1154"/>
      <c r="E139" s="1150"/>
      <c r="F139" s="2037"/>
      <c r="G139" s="2037"/>
    </row>
    <row r="140" spans="1:7" ht="12" customHeight="1">
      <c r="A140" s="1155" t="s">
        <v>1273</v>
      </c>
      <c r="B140" s="3995">
        <v>810</v>
      </c>
      <c r="C140" s="1162"/>
      <c r="D140" s="1157"/>
      <c r="E140" s="1162"/>
      <c r="F140" s="2037"/>
      <c r="G140" s="2037"/>
    </row>
    <row r="141" spans="1:7" ht="12" customHeight="1">
      <c r="A141" s="1155" t="s">
        <v>1276</v>
      </c>
      <c r="B141" s="3995">
        <v>815</v>
      </c>
      <c r="C141" s="1162"/>
      <c r="D141" s="1157"/>
      <c r="E141" s="1162"/>
      <c r="F141" s="2037"/>
      <c r="G141" s="2037"/>
    </row>
    <row r="142" spans="1:7" ht="12" customHeight="1">
      <c r="A142" s="1151" t="s">
        <v>1753</v>
      </c>
      <c r="B142" s="2994">
        <v>820</v>
      </c>
      <c r="C142" s="2512"/>
      <c r="D142" s="1158"/>
      <c r="E142" s="2512"/>
      <c r="F142" s="2037"/>
      <c r="G142" s="2037"/>
    </row>
    <row r="143" spans="1:7" ht="12" customHeight="1">
      <c r="A143" s="1155" t="s">
        <v>1303</v>
      </c>
      <c r="B143" s="3995">
        <v>825</v>
      </c>
      <c r="C143" s="1162"/>
      <c r="D143" s="1157"/>
      <c r="E143" s="1162"/>
      <c r="F143" s="2037"/>
      <c r="G143" s="2037"/>
    </row>
    <row r="144" spans="1:7" ht="12" customHeight="1">
      <c r="A144" s="1155" t="s">
        <v>1282</v>
      </c>
      <c r="B144" s="3995">
        <v>830</v>
      </c>
      <c r="C144" s="1162"/>
      <c r="D144" s="1157"/>
      <c r="E144" s="1162"/>
      <c r="F144" s="2037"/>
      <c r="G144" s="2037"/>
    </row>
    <row r="145" spans="1:7" ht="12" customHeight="1">
      <c r="A145" s="1155" t="s">
        <v>1288</v>
      </c>
      <c r="B145" s="3995">
        <v>835</v>
      </c>
      <c r="C145" s="1162"/>
      <c r="D145" s="1157"/>
      <c r="E145" s="1162"/>
      <c r="F145" s="2037"/>
      <c r="G145" s="2037"/>
    </row>
    <row r="146" spans="1:7" ht="12" customHeight="1">
      <c r="A146" s="1155" t="s">
        <v>1292</v>
      </c>
      <c r="B146" s="3995">
        <v>840</v>
      </c>
      <c r="C146" s="1162"/>
      <c r="D146" s="1157"/>
      <c r="E146" s="1162"/>
      <c r="F146" s="2037"/>
      <c r="G146" s="2037"/>
    </row>
    <row r="147" spans="1:7" ht="12" customHeight="1">
      <c r="A147" s="1155" t="s">
        <v>1293</v>
      </c>
      <c r="B147" s="3995">
        <v>845</v>
      </c>
      <c r="C147" s="1162"/>
      <c r="D147" s="1157"/>
      <c r="E147" s="1162"/>
      <c r="F147" s="2037"/>
      <c r="G147" s="2037"/>
    </row>
    <row r="148" spans="1:7" ht="12" customHeight="1">
      <c r="A148" s="2090" t="s">
        <v>342</v>
      </c>
      <c r="B148" s="2091"/>
      <c r="C148" s="2067"/>
      <c r="D148" s="2061"/>
      <c r="E148" s="2067"/>
      <c r="F148" s="2037"/>
      <c r="G148" s="2037"/>
    </row>
    <row r="149" spans="1:7" ht="12" customHeight="1">
      <c r="A149" s="2085" t="s">
        <v>1268</v>
      </c>
      <c r="B149" s="2086"/>
      <c r="C149" s="2087"/>
      <c r="D149" s="2062"/>
      <c r="E149" s="2087"/>
      <c r="F149" s="2037"/>
      <c r="G149" s="2037"/>
    </row>
    <row r="150" spans="1:7" ht="12" customHeight="1">
      <c r="A150" s="2088" t="s">
        <v>58</v>
      </c>
      <c r="B150" s="2089">
        <v>495</v>
      </c>
      <c r="C150" s="2068"/>
      <c r="D150" s="2054"/>
      <c r="E150" s="2068"/>
      <c r="F150" s="2037"/>
      <c r="G150" s="2037"/>
    </row>
    <row r="151" spans="1:7" ht="12" customHeight="1">
      <c r="A151" s="2090" t="s">
        <v>1271</v>
      </c>
      <c r="B151" s="2091"/>
      <c r="C151" s="2067"/>
      <c r="D151" s="2061"/>
      <c r="E151" s="2067"/>
      <c r="F151" s="2037"/>
      <c r="G151" s="2037"/>
    </row>
    <row r="152" spans="1:7" ht="12" customHeight="1">
      <c r="A152" s="2088" t="s">
        <v>1272</v>
      </c>
      <c r="B152" s="2089">
        <v>500</v>
      </c>
      <c r="C152" s="2068"/>
      <c r="D152" s="2054"/>
      <c r="E152" s="2068"/>
      <c r="F152" s="2037"/>
      <c r="G152" s="2037"/>
    </row>
    <row r="153" spans="1:7" ht="12" customHeight="1">
      <c r="A153" s="2092" t="s">
        <v>1273</v>
      </c>
      <c r="B153" s="2093">
        <v>505</v>
      </c>
      <c r="C153" s="2095"/>
      <c r="D153" s="2065"/>
      <c r="E153" s="2095"/>
      <c r="F153" s="2037"/>
      <c r="G153" s="2037"/>
    </row>
    <row r="154" spans="1:7" ht="12" customHeight="1">
      <c r="A154" s="2092" t="s">
        <v>1276</v>
      </c>
      <c r="B154" s="2093">
        <v>510</v>
      </c>
      <c r="C154" s="2095"/>
      <c r="D154" s="2065"/>
      <c r="E154" s="2095"/>
      <c r="F154" s="2037"/>
      <c r="G154" s="2037"/>
    </row>
    <row r="155" spans="1:7" ht="12" customHeight="1">
      <c r="A155" s="2090" t="s">
        <v>370</v>
      </c>
      <c r="B155" s="2091">
        <v>515</v>
      </c>
      <c r="C155" s="2559"/>
      <c r="D155" s="2094"/>
      <c r="E155" s="2559"/>
      <c r="F155" s="2037"/>
      <c r="G155" s="2037"/>
    </row>
    <row r="156" spans="1:7" ht="12" customHeight="1">
      <c r="A156" s="2090" t="s">
        <v>1303</v>
      </c>
      <c r="B156" s="2091"/>
      <c r="C156" s="2067"/>
      <c r="D156" s="2061"/>
      <c r="E156" s="2067"/>
      <c r="F156" s="2037"/>
      <c r="G156" s="2037"/>
    </row>
    <row r="157" spans="1:7" ht="12" customHeight="1">
      <c r="A157" s="2088" t="s">
        <v>344</v>
      </c>
      <c r="B157" s="2089">
        <v>520</v>
      </c>
      <c r="C157" s="2068"/>
      <c r="D157" s="2054"/>
      <c r="E157" s="2068"/>
      <c r="F157" s="2037"/>
      <c r="G157" s="2037"/>
    </row>
    <row r="158" spans="1:7" ht="12" customHeight="1">
      <c r="A158" s="2092" t="s">
        <v>678</v>
      </c>
      <c r="B158" s="2093">
        <v>525</v>
      </c>
      <c r="C158" s="2095"/>
      <c r="D158" s="2065"/>
      <c r="E158" s="2095"/>
      <c r="F158" s="2037"/>
      <c r="G158" s="2037"/>
    </row>
    <row r="159" spans="1:7" ht="12" customHeight="1">
      <c r="A159" s="2092" t="s">
        <v>679</v>
      </c>
      <c r="B159" s="2093">
        <v>530</v>
      </c>
      <c r="C159" s="2095"/>
      <c r="D159" s="2065"/>
      <c r="E159" s="2095"/>
      <c r="F159" s="2037"/>
      <c r="G159" s="2037"/>
    </row>
    <row r="160" spans="1:7" ht="12" customHeight="1">
      <c r="A160" s="2092" t="s">
        <v>680</v>
      </c>
      <c r="B160" s="2093">
        <v>535</v>
      </c>
      <c r="C160" s="2095"/>
      <c r="D160" s="2065"/>
      <c r="E160" s="2095"/>
      <c r="F160" s="2037"/>
      <c r="G160" s="2037"/>
    </row>
    <row r="161" spans="1:7" ht="12" customHeight="1">
      <c r="A161" s="2092" t="s">
        <v>345</v>
      </c>
      <c r="B161" s="2093">
        <v>540</v>
      </c>
      <c r="C161" s="2095"/>
      <c r="D161" s="2065"/>
      <c r="E161" s="2095"/>
      <c r="F161" s="2037"/>
      <c r="G161" s="2037"/>
    </row>
    <row r="162" spans="1:7" ht="12" customHeight="1">
      <c r="A162" s="2092" t="s">
        <v>1282</v>
      </c>
      <c r="B162" s="2093">
        <v>545</v>
      </c>
      <c r="C162" s="2095"/>
      <c r="D162" s="2065"/>
      <c r="E162" s="2095"/>
      <c r="F162" s="2037"/>
      <c r="G162" s="2037"/>
    </row>
    <row r="163" spans="1:7" ht="12" customHeight="1">
      <c r="A163" s="2090" t="s">
        <v>1288</v>
      </c>
      <c r="B163" s="2091"/>
      <c r="C163" s="2067"/>
      <c r="D163" s="2061"/>
      <c r="E163" s="2067"/>
      <c r="F163" s="2037"/>
      <c r="G163" s="2037"/>
    </row>
    <row r="164" spans="1:7" ht="12" customHeight="1">
      <c r="A164" s="2088" t="s">
        <v>346</v>
      </c>
      <c r="B164" s="2089">
        <v>550</v>
      </c>
      <c r="C164" s="2068"/>
      <c r="D164" s="2054"/>
      <c r="E164" s="2068"/>
      <c r="F164" s="2037"/>
      <c r="G164" s="2037"/>
    </row>
    <row r="165" spans="1:7" ht="12" customHeight="1">
      <c r="A165" s="2090" t="s">
        <v>347</v>
      </c>
      <c r="B165" s="2091"/>
      <c r="C165" s="2067"/>
      <c r="D165" s="2061"/>
      <c r="E165" s="2067"/>
      <c r="F165" s="2037"/>
      <c r="G165" s="2037"/>
    </row>
    <row r="166" spans="1:7" ht="12" customHeight="1">
      <c r="A166" s="2088" t="s">
        <v>348</v>
      </c>
      <c r="B166" s="2089">
        <v>555</v>
      </c>
      <c r="C166" s="2068"/>
      <c r="D166" s="2054"/>
      <c r="E166" s="2068"/>
      <c r="F166" s="2037"/>
      <c r="G166" s="2037"/>
    </row>
    <row r="167" spans="1:7" ht="12" customHeight="1">
      <c r="A167" s="2092" t="s">
        <v>349</v>
      </c>
      <c r="B167" s="2093">
        <v>560</v>
      </c>
      <c r="C167" s="2095"/>
      <c r="D167" s="2065"/>
      <c r="E167" s="2095"/>
      <c r="F167" s="2037"/>
      <c r="G167" s="2037"/>
    </row>
    <row r="168" spans="1:7" ht="12" customHeight="1">
      <c r="A168" s="2092" t="s">
        <v>69</v>
      </c>
      <c r="B168" s="2093">
        <v>565</v>
      </c>
      <c r="C168" s="2095"/>
      <c r="D168" s="2065"/>
      <c r="E168" s="2095"/>
      <c r="F168" s="2037"/>
      <c r="G168" s="2037"/>
    </row>
    <row r="169" spans="1:7" ht="12" customHeight="1">
      <c r="A169" s="2092" t="s">
        <v>350</v>
      </c>
      <c r="B169" s="2093">
        <v>570</v>
      </c>
      <c r="C169" s="2095"/>
      <c r="D169" s="2065"/>
      <c r="E169" s="2095"/>
      <c r="F169" s="2037"/>
      <c r="G169" s="2037"/>
    </row>
    <row r="170" spans="1:7" ht="12" customHeight="1">
      <c r="A170" s="2092" t="s">
        <v>1291</v>
      </c>
      <c r="B170" s="2093">
        <v>575</v>
      </c>
      <c r="C170" s="2095"/>
      <c r="D170" s="2065"/>
      <c r="E170" s="2095"/>
      <c r="F170" s="2037"/>
      <c r="G170" s="2037"/>
    </row>
    <row r="171" spans="1:7" ht="12" customHeight="1">
      <c r="A171" s="2092" t="s">
        <v>1292</v>
      </c>
      <c r="B171" s="2093">
        <v>580</v>
      </c>
      <c r="C171" s="2095"/>
      <c r="D171" s="2065"/>
      <c r="E171" s="2095"/>
      <c r="F171" s="2037"/>
      <c r="G171" s="2037"/>
    </row>
    <row r="172" spans="1:7" ht="12" customHeight="1">
      <c r="A172" s="2092" t="s">
        <v>1293</v>
      </c>
      <c r="B172" s="2093">
        <v>585</v>
      </c>
      <c r="C172" s="2095"/>
      <c r="D172" s="2065"/>
      <c r="E172" s="2095"/>
      <c r="F172" s="2037"/>
      <c r="G172" s="2037"/>
    </row>
    <row r="173" spans="1:7" ht="12" customHeight="1">
      <c r="A173" s="2090" t="s">
        <v>694</v>
      </c>
      <c r="B173" s="2091"/>
      <c r="C173" s="2067"/>
      <c r="D173" s="2061"/>
      <c r="E173" s="2067"/>
      <c r="F173" s="2037"/>
      <c r="G173" s="2037"/>
    </row>
    <row r="174" spans="1:7" ht="12" customHeight="1">
      <c r="A174" s="2085" t="s">
        <v>791</v>
      </c>
      <c r="B174" s="2086"/>
      <c r="C174" s="2087"/>
      <c r="D174" s="2062"/>
      <c r="E174" s="2087"/>
      <c r="F174" s="2037"/>
      <c r="G174" s="2037"/>
    </row>
    <row r="175" spans="1:7" ht="12" customHeight="1">
      <c r="A175" s="2085" t="s">
        <v>1268</v>
      </c>
      <c r="B175" s="2086"/>
      <c r="C175" s="2087"/>
      <c r="D175" s="2062"/>
      <c r="E175" s="2087"/>
      <c r="F175" s="2037"/>
      <c r="G175" s="2037"/>
    </row>
    <row r="176" spans="1:7" ht="12" customHeight="1">
      <c r="A176" s="2088" t="s">
        <v>358</v>
      </c>
      <c r="B176" s="2089">
        <v>590</v>
      </c>
      <c r="C176" s="2068"/>
      <c r="D176" s="2054"/>
      <c r="E176" s="2068"/>
      <c r="F176" s="2037"/>
      <c r="G176" s="2037"/>
    </row>
    <row r="177" spans="1:7" ht="12" customHeight="1">
      <c r="A177" s="2090" t="s">
        <v>1271</v>
      </c>
      <c r="B177" s="2091"/>
      <c r="C177" s="2067"/>
      <c r="D177" s="2061"/>
      <c r="E177" s="2067"/>
      <c r="F177" s="2037"/>
      <c r="G177" s="2037"/>
    </row>
    <row r="178" spans="1:7" ht="12" customHeight="1">
      <c r="A178" s="2088" t="s">
        <v>353</v>
      </c>
      <c r="B178" s="2089">
        <v>595</v>
      </c>
      <c r="C178" s="2068"/>
      <c r="D178" s="2054"/>
      <c r="E178" s="2068"/>
      <c r="F178" s="2037"/>
      <c r="G178" s="2037"/>
    </row>
    <row r="179" spans="1:7" ht="12" customHeight="1">
      <c r="A179" s="2092" t="s">
        <v>1273</v>
      </c>
      <c r="B179" s="2093">
        <v>600</v>
      </c>
      <c r="C179" s="2095"/>
      <c r="D179" s="2065"/>
      <c r="E179" s="2095"/>
      <c r="F179" s="2037"/>
      <c r="G179" s="2037"/>
    </row>
    <row r="180" spans="1:7" ht="12" customHeight="1">
      <c r="A180" s="2092" t="s">
        <v>1276</v>
      </c>
      <c r="B180" s="2093">
        <v>605</v>
      </c>
      <c r="C180" s="2095"/>
      <c r="D180" s="2065"/>
      <c r="E180" s="2095"/>
      <c r="F180" s="2037"/>
      <c r="G180" s="2037"/>
    </row>
    <row r="181" spans="1:7" ht="12" customHeight="1">
      <c r="A181" s="2092" t="s">
        <v>1303</v>
      </c>
      <c r="B181" s="2093">
        <v>610</v>
      </c>
      <c r="C181" s="2095"/>
      <c r="D181" s="2065"/>
      <c r="E181" s="2095"/>
      <c r="F181" s="2037"/>
      <c r="G181" s="2037"/>
    </row>
    <row r="182" spans="1:7" ht="12" customHeight="1">
      <c r="A182" s="2092" t="s">
        <v>1288</v>
      </c>
      <c r="B182" s="2093">
        <v>615</v>
      </c>
      <c r="C182" s="2095"/>
      <c r="D182" s="2065"/>
      <c r="E182" s="2095"/>
      <c r="F182" s="2037"/>
      <c r="G182" s="2037"/>
    </row>
    <row r="183" spans="1:7" ht="12" customHeight="1">
      <c r="A183" s="2092" t="s">
        <v>1292</v>
      </c>
      <c r="B183" s="2093">
        <v>620</v>
      </c>
      <c r="C183" s="2095"/>
      <c r="D183" s="2065"/>
      <c r="E183" s="2095"/>
      <c r="F183" s="2037"/>
      <c r="G183" s="2037"/>
    </row>
    <row r="184" spans="1:7" ht="12" customHeight="1">
      <c r="A184" s="2092" t="s">
        <v>1293</v>
      </c>
      <c r="B184" s="2093">
        <v>625</v>
      </c>
      <c r="C184" s="2095"/>
      <c r="D184" s="2065"/>
      <c r="E184" s="2095"/>
      <c r="F184" s="2037"/>
      <c r="G184" s="2037"/>
    </row>
    <row r="185" spans="1:7" ht="12" customHeight="1">
      <c r="A185" s="2090" t="s">
        <v>792</v>
      </c>
      <c r="B185" s="2091"/>
      <c r="C185" s="2067"/>
      <c r="D185" s="2061"/>
      <c r="E185" s="2067"/>
      <c r="F185" s="2037"/>
      <c r="G185" s="2037"/>
    </row>
    <row r="186" spans="1:7" ht="12" customHeight="1">
      <c r="A186" s="2085" t="s">
        <v>1268</v>
      </c>
      <c r="B186" s="2086"/>
      <c r="C186" s="2087"/>
      <c r="D186" s="2062"/>
      <c r="E186" s="2087"/>
      <c r="F186" s="2037"/>
      <c r="G186" s="2037"/>
    </row>
    <row r="187" spans="1:7" ht="12" customHeight="1">
      <c r="A187" s="2088" t="s">
        <v>674</v>
      </c>
      <c r="B187" s="2089">
        <v>630</v>
      </c>
      <c r="C187" s="2068"/>
      <c r="D187" s="2054"/>
      <c r="E187" s="2068"/>
      <c r="F187" s="2037"/>
      <c r="G187" s="2037"/>
    </row>
    <row r="188" spans="1:7" ht="12" customHeight="1">
      <c r="A188" s="2090" t="s">
        <v>1271</v>
      </c>
      <c r="B188" s="2091"/>
      <c r="C188" s="2067"/>
      <c r="D188" s="2061"/>
      <c r="E188" s="2067"/>
      <c r="F188" s="2037"/>
      <c r="G188" s="2037"/>
    </row>
    <row r="189" spans="1:7" ht="12" customHeight="1">
      <c r="A189" s="2088" t="s">
        <v>353</v>
      </c>
      <c r="B189" s="2089">
        <v>635</v>
      </c>
      <c r="C189" s="2068"/>
      <c r="D189" s="2054"/>
      <c r="E189" s="2068"/>
      <c r="F189" s="2037"/>
      <c r="G189" s="2037"/>
    </row>
    <row r="190" spans="1:7" ht="12" customHeight="1">
      <c r="A190" s="2092" t="s">
        <v>1273</v>
      </c>
      <c r="B190" s="2093">
        <v>640</v>
      </c>
      <c r="C190" s="2095"/>
      <c r="D190" s="2065"/>
      <c r="E190" s="2095"/>
      <c r="F190" s="2037"/>
      <c r="G190" s="2037"/>
    </row>
    <row r="191" spans="1:7" ht="12" customHeight="1">
      <c r="A191" s="2092" t="s">
        <v>1276</v>
      </c>
      <c r="B191" s="2093">
        <v>645</v>
      </c>
      <c r="C191" s="2095"/>
      <c r="D191" s="2065"/>
      <c r="E191" s="2095"/>
      <c r="F191" s="2037"/>
      <c r="G191" s="2037"/>
    </row>
    <row r="192" spans="1:7" ht="12" customHeight="1">
      <c r="A192" s="2034" t="s">
        <v>1017</v>
      </c>
      <c r="B192" s="2035">
        <f>B1</f>
        <v>270</v>
      </c>
      <c r="C192" s="3910"/>
      <c r="D192" s="2036"/>
      <c r="E192" s="2034" t="s">
        <v>1020</v>
      </c>
      <c r="F192" s="2037"/>
      <c r="G192" s="2037"/>
    </row>
    <row r="193" spans="1:7" ht="12" customHeight="1">
      <c r="A193" s="2036"/>
      <c r="B193" s="2040"/>
      <c r="C193" s="2036"/>
      <c r="D193" s="2036"/>
      <c r="E193" s="2034" t="s">
        <v>1212</v>
      </c>
      <c r="F193" s="2037"/>
      <c r="G193" s="2037"/>
    </row>
    <row r="194" spans="1:7" ht="12" customHeight="1">
      <c r="A194" s="2036"/>
      <c r="B194" s="2040"/>
      <c r="C194" s="2036"/>
      <c r="D194" s="2036"/>
      <c r="E194" s="2034" t="str">
        <f>E3</f>
        <v>2016-2017</v>
      </c>
      <c r="F194" s="2037"/>
      <c r="G194" s="2037"/>
    </row>
    <row r="195" spans="1:7" ht="12" customHeight="1">
      <c r="A195" s="2036"/>
      <c r="B195" s="2040"/>
      <c r="C195" s="2036"/>
      <c r="D195" s="2036"/>
      <c r="E195" s="2036"/>
      <c r="F195" s="2037"/>
      <c r="G195" s="2037"/>
    </row>
    <row r="196" spans="1:7" ht="12" customHeight="1">
      <c r="A196" s="2036"/>
      <c r="B196" s="2039"/>
      <c r="C196" s="2040" t="s">
        <v>1213</v>
      </c>
      <c r="D196" s="2040" t="s">
        <v>1213</v>
      </c>
      <c r="E196" s="2040" t="s">
        <v>1213</v>
      </c>
      <c r="F196" s="2037"/>
      <c r="G196" s="2037"/>
    </row>
    <row r="197" spans="1:7" ht="12" customHeight="1">
      <c r="A197" s="2041" t="s">
        <v>899</v>
      </c>
      <c r="B197" s="2042" t="s">
        <v>1045</v>
      </c>
      <c r="C197" s="2043" t="str">
        <f>C6</f>
        <v>2014-2015</v>
      </c>
      <c r="D197" s="2043" t="str">
        <f t="shared" ref="D197:E197" si="0">D6</f>
        <v>2015-2016</v>
      </c>
      <c r="E197" s="2043" t="str">
        <f t="shared" si="0"/>
        <v>2016-2017</v>
      </c>
      <c r="F197" s="2037"/>
      <c r="G197" s="2037"/>
    </row>
    <row r="198" spans="1:7" ht="12" customHeight="1">
      <c r="A198" s="2041" t="s">
        <v>898</v>
      </c>
      <c r="B198" s="2046">
        <v>78</v>
      </c>
      <c r="C198" s="2047" t="s">
        <v>1139</v>
      </c>
      <c r="D198" s="2047" t="s">
        <v>1139</v>
      </c>
      <c r="E198" s="2047" t="s">
        <v>1215</v>
      </c>
      <c r="F198" s="2037"/>
      <c r="G198" s="2037"/>
    </row>
    <row r="199" spans="1:7" ht="12" customHeight="1">
      <c r="A199" s="2049"/>
      <c r="B199" s="2050" t="s">
        <v>1051</v>
      </c>
      <c r="C199" s="2051">
        <v>1</v>
      </c>
      <c r="D199" s="2051">
        <v>2</v>
      </c>
      <c r="E199" s="2051">
        <v>3</v>
      </c>
      <c r="F199" s="2037"/>
      <c r="G199" s="2037"/>
    </row>
    <row r="200" spans="1:7" ht="12" customHeight="1">
      <c r="A200" s="2090" t="s">
        <v>1303</v>
      </c>
      <c r="B200" s="2091"/>
      <c r="C200" s="2067"/>
      <c r="D200" s="2061"/>
      <c r="E200" s="2067"/>
      <c r="F200" s="2037"/>
      <c r="G200" s="2037"/>
    </row>
    <row r="201" spans="1:7" ht="12" customHeight="1">
      <c r="A201" s="2088" t="s">
        <v>695</v>
      </c>
      <c r="B201" s="2089">
        <v>650</v>
      </c>
      <c r="C201" s="2068"/>
      <c r="D201" s="2054"/>
      <c r="E201" s="2068"/>
      <c r="F201" s="2037"/>
      <c r="G201" s="2037"/>
    </row>
    <row r="202" spans="1:7" ht="12" customHeight="1">
      <c r="A202" s="2092" t="s">
        <v>345</v>
      </c>
      <c r="B202" s="2093">
        <v>655</v>
      </c>
      <c r="C202" s="2095"/>
      <c r="D202" s="2065"/>
      <c r="E202" s="2095"/>
      <c r="F202" s="2037"/>
      <c r="G202" s="2037"/>
    </row>
    <row r="203" spans="1:7" ht="12" customHeight="1">
      <c r="A203" s="2090" t="s">
        <v>1282</v>
      </c>
      <c r="B203" s="2091"/>
      <c r="C203" s="2067"/>
      <c r="D203" s="2061"/>
      <c r="E203" s="2067"/>
      <c r="F203" s="2037"/>
      <c r="G203" s="2037"/>
    </row>
    <row r="204" spans="1:7" ht="12" customHeight="1">
      <c r="A204" s="2088" t="s">
        <v>1389</v>
      </c>
      <c r="B204" s="2089">
        <v>660</v>
      </c>
      <c r="C204" s="2068"/>
      <c r="D204" s="2054"/>
      <c r="E204" s="2068"/>
      <c r="F204" s="2037"/>
      <c r="G204" s="2037"/>
    </row>
    <row r="205" spans="1:7" ht="12" customHeight="1">
      <c r="A205" s="2092" t="s">
        <v>1390</v>
      </c>
      <c r="B205" s="2093">
        <v>665</v>
      </c>
      <c r="C205" s="2095"/>
      <c r="D205" s="2065"/>
      <c r="E205" s="2095"/>
      <c r="F205" s="2037"/>
      <c r="G205" s="2037"/>
    </row>
    <row r="206" spans="1:7" ht="12" customHeight="1">
      <c r="A206" s="2092" t="s">
        <v>1304</v>
      </c>
      <c r="B206" s="2093">
        <v>670</v>
      </c>
      <c r="C206" s="2095"/>
      <c r="D206" s="2065"/>
      <c r="E206" s="2095"/>
      <c r="F206" s="2037"/>
      <c r="G206" s="2037"/>
    </row>
    <row r="207" spans="1:7" ht="12" customHeight="1">
      <c r="A207" s="2092" t="s">
        <v>1397</v>
      </c>
      <c r="B207" s="2093">
        <v>675</v>
      </c>
      <c r="C207" s="2095"/>
      <c r="D207" s="2065"/>
      <c r="E207" s="2095"/>
      <c r="F207" s="2037"/>
      <c r="G207" s="2037"/>
    </row>
    <row r="208" spans="1:7" ht="12" customHeight="1">
      <c r="A208" s="2106" t="s">
        <v>1288</v>
      </c>
      <c r="B208" s="2107"/>
      <c r="C208" s="2561"/>
      <c r="D208" s="2108"/>
      <c r="E208" s="2561"/>
      <c r="F208" s="2037"/>
      <c r="G208" s="2037"/>
    </row>
    <row r="209" spans="1:7" ht="12" customHeight="1">
      <c r="A209" s="2101" t="s">
        <v>696</v>
      </c>
      <c r="B209" s="2102">
        <v>680</v>
      </c>
      <c r="C209" s="2560"/>
      <c r="D209" s="2103"/>
      <c r="E209" s="2560"/>
      <c r="F209" s="2037"/>
      <c r="G209" s="2037"/>
    </row>
    <row r="210" spans="1:7" ht="12" customHeight="1">
      <c r="A210" s="2104" t="s">
        <v>1291</v>
      </c>
      <c r="B210" s="2105">
        <v>685</v>
      </c>
      <c r="C210" s="2112"/>
      <c r="D210" s="2100"/>
      <c r="E210" s="2112"/>
      <c r="F210" s="2037"/>
      <c r="G210" s="2037"/>
    </row>
    <row r="211" spans="1:7" ht="12" customHeight="1">
      <c r="A211" s="2104" t="s">
        <v>697</v>
      </c>
      <c r="B211" s="2105">
        <v>690</v>
      </c>
      <c r="C211" s="2112"/>
      <c r="D211" s="2100"/>
      <c r="E211" s="2112"/>
      <c r="F211" s="2037"/>
      <c r="G211" s="2037"/>
    </row>
    <row r="212" spans="1:7" ht="12" customHeight="1">
      <c r="A212" s="2104" t="s">
        <v>1293</v>
      </c>
      <c r="B212" s="2105">
        <v>695</v>
      </c>
      <c r="C212" s="2112"/>
      <c r="D212" s="2100"/>
      <c r="E212" s="2112"/>
      <c r="F212" s="2037"/>
      <c r="G212" s="2037"/>
    </row>
    <row r="213" spans="1:7" ht="12" customHeight="1">
      <c r="A213" s="2106" t="s">
        <v>793</v>
      </c>
      <c r="B213" s="2107"/>
      <c r="C213" s="2561"/>
      <c r="D213" s="2108"/>
      <c r="E213" s="2561"/>
      <c r="F213" s="2037"/>
      <c r="G213" s="2037"/>
    </row>
    <row r="214" spans="1:7" ht="12" customHeight="1">
      <c r="A214" s="2109" t="s">
        <v>1268</v>
      </c>
      <c r="B214" s="2110"/>
      <c r="C214" s="2562"/>
      <c r="D214" s="2111"/>
      <c r="E214" s="2562"/>
      <c r="F214" s="2037"/>
      <c r="G214" s="2037"/>
    </row>
    <row r="215" spans="1:7" ht="12" customHeight="1">
      <c r="A215" s="2101" t="s">
        <v>902</v>
      </c>
      <c r="B215" s="2102">
        <v>700</v>
      </c>
      <c r="C215" s="2560"/>
      <c r="D215" s="2103"/>
      <c r="E215" s="2560"/>
      <c r="F215" s="2037"/>
      <c r="G215" s="2037"/>
    </row>
    <row r="216" spans="1:7" ht="12" customHeight="1">
      <c r="A216" s="2106" t="s">
        <v>1271</v>
      </c>
      <c r="B216" s="2107"/>
      <c r="C216" s="2561"/>
      <c r="D216" s="2108"/>
      <c r="E216" s="2561"/>
      <c r="F216" s="2037"/>
      <c r="G216" s="2037"/>
    </row>
    <row r="217" spans="1:7" ht="12" customHeight="1">
      <c r="A217" s="2101" t="s">
        <v>353</v>
      </c>
      <c r="B217" s="2102">
        <v>705</v>
      </c>
      <c r="C217" s="2560"/>
      <c r="D217" s="2103"/>
      <c r="E217" s="2560"/>
      <c r="F217" s="2037"/>
      <c r="G217" s="2037"/>
    </row>
    <row r="218" spans="1:7" ht="12" customHeight="1">
      <c r="A218" s="2104" t="s">
        <v>1273</v>
      </c>
      <c r="B218" s="2105">
        <v>710</v>
      </c>
      <c r="C218" s="2112"/>
      <c r="D218" s="2100"/>
      <c r="E218" s="2112"/>
      <c r="F218" s="2037"/>
      <c r="G218" s="2037"/>
    </row>
    <row r="219" spans="1:7" ht="12" customHeight="1">
      <c r="A219" s="2104" t="s">
        <v>1276</v>
      </c>
      <c r="B219" s="2105">
        <v>715</v>
      </c>
      <c r="C219" s="2112"/>
      <c r="D219" s="2100"/>
      <c r="E219" s="2112"/>
      <c r="F219" s="2037"/>
      <c r="G219" s="2037"/>
    </row>
    <row r="220" spans="1:7" ht="12" customHeight="1">
      <c r="A220" s="2106" t="s">
        <v>1</v>
      </c>
      <c r="B220" s="2107">
        <v>720</v>
      </c>
      <c r="C220" s="2564"/>
      <c r="D220" s="2114"/>
      <c r="E220" s="2564"/>
      <c r="F220" s="2037"/>
      <c r="G220" s="2037"/>
    </row>
    <row r="221" spans="1:7" ht="12" customHeight="1">
      <c r="A221" s="2104" t="s">
        <v>1303</v>
      </c>
      <c r="B221" s="2105">
        <v>725</v>
      </c>
      <c r="C221" s="2112"/>
      <c r="D221" s="2100"/>
      <c r="E221" s="2112"/>
      <c r="F221" s="2037"/>
      <c r="G221" s="2037"/>
    </row>
    <row r="222" spans="1:7" ht="12" customHeight="1">
      <c r="A222" s="2104" t="s">
        <v>1282</v>
      </c>
      <c r="B222" s="2105">
        <v>730</v>
      </c>
      <c r="C222" s="2112"/>
      <c r="D222" s="2100"/>
      <c r="E222" s="2112"/>
      <c r="F222" s="2037"/>
      <c r="G222" s="2037"/>
    </row>
    <row r="223" spans="1:7" ht="12" customHeight="1">
      <c r="A223" s="2104" t="s">
        <v>1292</v>
      </c>
      <c r="B223" s="2105">
        <v>735</v>
      </c>
      <c r="C223" s="2112"/>
      <c r="D223" s="2100"/>
      <c r="E223" s="2112"/>
      <c r="F223" s="2037"/>
      <c r="G223" s="2037"/>
    </row>
    <row r="224" spans="1:7" ht="12" customHeight="1">
      <c r="A224" s="2104" t="s">
        <v>1293</v>
      </c>
      <c r="B224" s="2105">
        <v>740</v>
      </c>
      <c r="C224" s="2112"/>
      <c r="D224" s="2100"/>
      <c r="E224" s="2112"/>
      <c r="F224" s="2037"/>
      <c r="G224" s="2037"/>
    </row>
    <row r="225" spans="1:7" ht="12" customHeight="1">
      <c r="A225" s="2106" t="s">
        <v>903</v>
      </c>
      <c r="B225" s="2107"/>
      <c r="C225" s="2561"/>
      <c r="D225" s="2108"/>
      <c r="E225" s="2561"/>
      <c r="F225" s="2037"/>
      <c r="G225" s="2037"/>
    </row>
    <row r="226" spans="1:7" ht="12" customHeight="1">
      <c r="A226" s="2109" t="s">
        <v>1268</v>
      </c>
      <c r="B226" s="2110"/>
      <c r="C226" s="2562"/>
      <c r="D226" s="2111"/>
      <c r="E226" s="2562"/>
      <c r="F226" s="2037"/>
      <c r="G226" s="2037"/>
    </row>
    <row r="227" spans="1:7" ht="12" customHeight="1">
      <c r="A227" s="2101" t="s">
        <v>358</v>
      </c>
      <c r="B227" s="2102">
        <v>745</v>
      </c>
      <c r="C227" s="2560"/>
      <c r="D227" s="2103"/>
      <c r="E227" s="2560"/>
      <c r="F227" s="2037"/>
      <c r="G227" s="2037"/>
    </row>
    <row r="228" spans="1:7" ht="12" customHeight="1">
      <c r="A228" s="2106" t="s">
        <v>1271</v>
      </c>
      <c r="B228" s="2107"/>
      <c r="C228" s="2561"/>
      <c r="D228" s="2108"/>
      <c r="E228" s="2561"/>
      <c r="F228" s="2037"/>
      <c r="G228" s="2037"/>
    </row>
    <row r="229" spans="1:7" ht="12" customHeight="1">
      <c r="A229" s="2101" t="s">
        <v>353</v>
      </c>
      <c r="B229" s="2102">
        <v>750</v>
      </c>
      <c r="C229" s="2560"/>
      <c r="D229" s="2103"/>
      <c r="E229" s="2560"/>
      <c r="F229" s="2037"/>
      <c r="G229" s="2037"/>
    </row>
    <row r="230" spans="1:7" ht="12" customHeight="1">
      <c r="A230" s="2104" t="s">
        <v>1273</v>
      </c>
      <c r="B230" s="2105">
        <v>755</v>
      </c>
      <c r="C230" s="2112"/>
      <c r="D230" s="2100"/>
      <c r="E230" s="2112"/>
      <c r="F230" s="2037"/>
      <c r="G230" s="2037"/>
    </row>
    <row r="231" spans="1:7" ht="12" customHeight="1">
      <c r="A231" s="2104" t="s">
        <v>1276</v>
      </c>
      <c r="B231" s="2105">
        <v>760</v>
      </c>
      <c r="C231" s="2112"/>
      <c r="D231" s="2100"/>
      <c r="E231" s="2112"/>
      <c r="F231" s="2037"/>
      <c r="G231" s="2037"/>
    </row>
    <row r="232" spans="1:7" ht="12" customHeight="1">
      <c r="A232" s="2101" t="s">
        <v>1280</v>
      </c>
      <c r="B232" s="2102">
        <v>765</v>
      </c>
      <c r="C232" s="2560"/>
      <c r="D232" s="2103"/>
      <c r="E232" s="2560"/>
      <c r="F232" s="2037"/>
      <c r="G232" s="2037"/>
    </row>
    <row r="233" spans="1:7" ht="12" customHeight="1">
      <c r="A233" s="2104" t="s">
        <v>1303</v>
      </c>
      <c r="B233" s="2105">
        <v>770</v>
      </c>
      <c r="C233" s="2112"/>
      <c r="D233" s="2100"/>
      <c r="E233" s="2112"/>
      <c r="F233" s="2037"/>
      <c r="G233" s="2037"/>
    </row>
    <row r="234" spans="1:7" ht="12" customHeight="1">
      <c r="A234" s="2104" t="s">
        <v>1282</v>
      </c>
      <c r="B234" s="2105">
        <v>775</v>
      </c>
      <c r="C234" s="2112"/>
      <c r="D234" s="2100"/>
      <c r="E234" s="2112"/>
      <c r="F234" s="2037"/>
      <c r="G234" s="2037"/>
    </row>
    <row r="235" spans="1:7" ht="12" customHeight="1">
      <c r="A235" s="2104" t="s">
        <v>1288</v>
      </c>
      <c r="B235" s="2105">
        <v>780</v>
      </c>
      <c r="C235" s="2112"/>
      <c r="D235" s="2100"/>
      <c r="E235" s="2112"/>
      <c r="F235" s="2037"/>
      <c r="G235" s="2037"/>
    </row>
    <row r="236" spans="1:7" ht="12" customHeight="1">
      <c r="A236" s="2104" t="s">
        <v>1292</v>
      </c>
      <c r="B236" s="2105">
        <v>785</v>
      </c>
      <c r="C236" s="2112"/>
      <c r="D236" s="2100"/>
      <c r="E236" s="2112"/>
      <c r="F236" s="2037"/>
      <c r="G236" s="2037"/>
    </row>
    <row r="237" spans="1:7" ht="12" customHeight="1">
      <c r="A237" s="2104" t="s">
        <v>1293</v>
      </c>
      <c r="B237" s="2105">
        <v>790</v>
      </c>
      <c r="C237" s="2564"/>
      <c r="D237" s="2100"/>
      <c r="E237" s="2112"/>
      <c r="F237" s="2037"/>
      <c r="G237" s="2037"/>
    </row>
    <row r="238" spans="1:7" ht="12" customHeight="1">
      <c r="A238" s="2106" t="s">
        <v>1750</v>
      </c>
      <c r="B238" s="2107"/>
      <c r="C238" s="3912"/>
      <c r="D238" s="2108"/>
      <c r="E238" s="2561"/>
      <c r="F238" s="2037"/>
      <c r="G238" s="2037"/>
    </row>
    <row r="239" spans="1:7" ht="12" customHeight="1">
      <c r="A239" s="2109" t="s">
        <v>1268</v>
      </c>
      <c r="B239" s="2110"/>
      <c r="C239" s="3913"/>
      <c r="D239" s="2111"/>
      <c r="E239" s="2562"/>
      <c r="F239" s="2037"/>
      <c r="G239" s="2037"/>
    </row>
    <row r="240" spans="1:7" ht="12" customHeight="1">
      <c r="A240" s="2101" t="s">
        <v>1269</v>
      </c>
      <c r="B240" s="4005">
        <v>850</v>
      </c>
      <c r="C240" s="4033"/>
      <c r="D240" s="2103"/>
      <c r="E240" s="2560"/>
      <c r="F240" s="2037"/>
      <c r="G240" s="2037"/>
    </row>
    <row r="241" spans="1:7" ht="12" customHeight="1">
      <c r="A241" s="2104" t="s">
        <v>360</v>
      </c>
      <c r="B241" s="2974">
        <v>855</v>
      </c>
      <c r="C241" s="4033"/>
      <c r="D241" s="2100"/>
      <c r="E241" s="2112"/>
      <c r="F241" s="2037"/>
      <c r="G241" s="2037"/>
    </row>
    <row r="242" spans="1:7" ht="12" customHeight="1">
      <c r="A242" s="2106" t="s">
        <v>1271</v>
      </c>
      <c r="B242" s="4006"/>
      <c r="C242" s="3913"/>
      <c r="D242" s="2108"/>
      <c r="E242" s="2561"/>
      <c r="F242" s="2037"/>
      <c r="G242" s="2037"/>
    </row>
    <row r="243" spans="1:7" ht="12" customHeight="1">
      <c r="A243" s="2101" t="s">
        <v>353</v>
      </c>
      <c r="B243" s="4005">
        <v>860</v>
      </c>
      <c r="C243" s="4033"/>
      <c r="D243" s="2103"/>
      <c r="E243" s="2560"/>
      <c r="F243" s="2037"/>
      <c r="G243" s="2037"/>
    </row>
    <row r="244" spans="1:7" ht="12" customHeight="1">
      <c r="A244" s="2104" t="s">
        <v>1273</v>
      </c>
      <c r="B244" s="2974">
        <v>865</v>
      </c>
      <c r="C244" s="4033"/>
      <c r="D244" s="2100"/>
      <c r="E244" s="2112"/>
      <c r="F244" s="2037"/>
      <c r="G244" s="2037"/>
    </row>
    <row r="245" spans="1:7" ht="12" customHeight="1">
      <c r="A245" s="2104" t="s">
        <v>1276</v>
      </c>
      <c r="B245" s="2974">
        <v>870</v>
      </c>
      <c r="C245" s="4033"/>
      <c r="D245" s="2100"/>
      <c r="E245" s="2112"/>
      <c r="F245" s="2037"/>
      <c r="G245" s="2037"/>
    </row>
    <row r="246" spans="1:7" ht="12" customHeight="1">
      <c r="A246" s="2106" t="s">
        <v>1</v>
      </c>
      <c r="B246" s="4006">
        <v>875</v>
      </c>
      <c r="C246" s="4033"/>
      <c r="D246" s="2114"/>
      <c r="E246" s="2564"/>
      <c r="F246" s="2037"/>
      <c r="G246" s="2037"/>
    </row>
    <row r="247" spans="1:7" ht="12" customHeight="1">
      <c r="A247" s="2104" t="s">
        <v>1303</v>
      </c>
      <c r="B247" s="2974">
        <v>880</v>
      </c>
      <c r="C247" s="4033"/>
      <c r="D247" s="2100"/>
      <c r="E247" s="2112"/>
      <c r="F247" s="2037"/>
      <c r="G247" s="2037"/>
    </row>
    <row r="248" spans="1:7" ht="12" customHeight="1">
      <c r="A248" s="2104" t="s">
        <v>1282</v>
      </c>
      <c r="B248" s="2974">
        <v>885</v>
      </c>
      <c r="C248" s="4033"/>
      <c r="D248" s="2100"/>
      <c r="E248" s="2112"/>
      <c r="F248" s="2037"/>
      <c r="G248" s="2037"/>
    </row>
    <row r="249" spans="1:7" ht="12" customHeight="1">
      <c r="A249" s="2104" t="s">
        <v>1288</v>
      </c>
      <c r="B249" s="2974">
        <v>890</v>
      </c>
      <c r="C249" s="4033"/>
      <c r="D249" s="2100"/>
      <c r="E249" s="2112"/>
      <c r="F249" s="2037"/>
      <c r="G249" s="2037"/>
    </row>
    <row r="250" spans="1:7" ht="12" customHeight="1">
      <c r="A250" s="2104" t="s">
        <v>1292</v>
      </c>
      <c r="B250" s="2974">
        <v>895</v>
      </c>
      <c r="C250" s="4033"/>
      <c r="D250" s="2100"/>
      <c r="E250" s="2112"/>
      <c r="F250" s="2037"/>
      <c r="G250" s="2037"/>
    </row>
    <row r="251" spans="1:7" ht="12" customHeight="1">
      <c r="A251" s="2104" t="s">
        <v>1293</v>
      </c>
      <c r="B251" s="2974">
        <v>900</v>
      </c>
      <c r="C251" s="4033"/>
      <c r="D251" s="2100"/>
      <c r="E251" s="2112"/>
      <c r="F251" s="2037"/>
      <c r="G251" s="2037"/>
    </row>
    <row r="252" spans="1:7" ht="12" customHeight="1">
      <c r="A252" s="2104" t="s">
        <v>1363</v>
      </c>
      <c r="B252" s="2118" t="s">
        <v>92</v>
      </c>
      <c r="C252" s="3911">
        <f>SUM(C200:C251,C134:C191,C76:C123,C32:C65)</f>
        <v>0</v>
      </c>
      <c r="D252" s="2565">
        <f>SUM(D200:D251,D134:D191,D76:D123,D32:D65)</f>
        <v>0</v>
      </c>
      <c r="E252" s="2565">
        <f>SUM(E200:E251,E134:E191,E76:E123,E32:E65)</f>
        <v>0</v>
      </c>
      <c r="F252" s="2037"/>
      <c r="G252" s="2037"/>
    </row>
    <row r="253" spans="1:7" ht="12" customHeight="1">
      <c r="A253" s="2036"/>
      <c r="B253" s="2040"/>
      <c r="C253" s="2036"/>
      <c r="D253" s="2036"/>
      <c r="E253" s="2036"/>
      <c r="F253" s="2037"/>
      <c r="G253" s="2037"/>
    </row>
    <row r="254" spans="1:7" ht="12" customHeight="1">
      <c r="A254" s="2036" t="s">
        <v>904</v>
      </c>
      <c r="B254" s="2040"/>
      <c r="C254" s="2036"/>
      <c r="D254" s="2036"/>
      <c r="E254" s="2036"/>
      <c r="F254" s="2037"/>
      <c r="G254" s="2037"/>
    </row>
    <row r="255" spans="1:7" ht="11.25" customHeight="1">
      <c r="A255" s="2036"/>
      <c r="B255" s="2040"/>
      <c r="C255" s="2036"/>
      <c r="D255" s="2036"/>
      <c r="E255" s="2036"/>
      <c r="F255" s="2037"/>
      <c r="G255" s="2037"/>
    </row>
    <row r="256" spans="1:7" ht="12" customHeight="1">
      <c r="A256" s="2099"/>
      <c r="B256" s="2099"/>
      <c r="C256" s="2099"/>
      <c r="D256" s="2099"/>
      <c r="E256" s="2099"/>
      <c r="F256" s="2117"/>
      <c r="G256" s="2037"/>
    </row>
    <row r="257" spans="1:7" ht="12" customHeight="1">
      <c r="A257" s="2036"/>
      <c r="B257" s="2040"/>
      <c r="C257" s="2037"/>
      <c r="D257" s="2037"/>
      <c r="E257" s="2037"/>
      <c r="F257" s="2037"/>
      <c r="G257" s="2037"/>
    </row>
    <row r="258" spans="1:7" ht="12" customHeight="1">
      <c r="A258" s="2036"/>
      <c r="B258" s="2040"/>
      <c r="C258" s="2037"/>
      <c r="D258" s="2037"/>
      <c r="E258" s="2037"/>
      <c r="F258" s="2037"/>
      <c r="G258" s="2037"/>
    </row>
    <row r="259" spans="1:7" ht="12" customHeight="1">
      <c r="A259" s="2036"/>
      <c r="B259" s="2040"/>
      <c r="C259" s="2037"/>
      <c r="D259" s="2037"/>
      <c r="E259" s="2037"/>
      <c r="F259" s="2037"/>
      <c r="G259" s="2037"/>
    </row>
    <row r="260" spans="1:7" ht="12" customHeight="1">
      <c r="A260" s="2036"/>
      <c r="B260" s="2040"/>
      <c r="C260" s="2037"/>
      <c r="D260" s="2037"/>
      <c r="E260" s="2037"/>
      <c r="F260" s="2037"/>
      <c r="G260" s="2037"/>
    </row>
    <row r="261" spans="1:7" ht="12" customHeight="1">
      <c r="A261" s="2036"/>
      <c r="B261" s="2040"/>
      <c r="C261" s="2037"/>
      <c r="D261" s="2037"/>
      <c r="E261" s="2037"/>
      <c r="F261" s="2037"/>
      <c r="G261" s="2037"/>
    </row>
  </sheetData>
  <sheetProtection algorithmName="SHA-512" hashValue="OJs7KvBrzSjb9Z2xao02YkQ/149FDmo00L3f2lm3xB2ekYPll+EGMsuSxsecYy2Pae9h6FIEGI5UA+lp4NwIQQ==" saltValue="JGC+ISlEzDJnu4MZJXQh9A==" spinCount="100000" sheet="1" objects="1" scenarios="1"/>
  <phoneticPr fontId="10" type="noConversion"/>
  <dataValidations count="2">
    <dataValidation type="whole" operator="greaterThanOrEqual" showInputMessage="1" showErrorMessage="1" errorTitle="Invalid Data Entry" error="Please enter a positive number or press the delete key or enter zero." sqref="C240:E241 C243:E251 C229:E237 C217:E224 C227:E227 C209:E212 C204:E207 C201:E202 C139:E147 C215:E215 C178:E184 C187:E187 C166:E172 C164:E164 C176:E176 C116:E123 C150:E155 C112:E114 C102:E110 C99:E100 C91:E95 C84:E89 C81:E82 C76:E78 C60:E65 C57:E58 C48:E53 C44:E46 C37:E41 C34:E35 C10:D10 C13:E15 C17:D17 C19:E21 C136:E137 C189:E191 C157:E162">
      <formula1>0</formula1>
    </dataValidation>
    <dataValidation type="whole" operator="greaterThanOrEqual" showInputMessage="1" showErrorMessage="1" errorTitle="Invalid beginning cash balance" error="Please enter a number or press the delete key or enter zero." sqref="C9">
      <formula1>-1000000000</formula1>
    </dataValidation>
  </dataValidations>
  <hyperlinks>
    <hyperlink ref="G1" location="Contents!F1" display="Return to Contents page"/>
  </hyperlinks>
  <printOptions horizontalCentered="1"/>
  <pageMargins left="0.25" right="0.25" top="0.19" bottom="0.19" header="0.5" footer="0.5"/>
  <pageSetup scale="90" fitToHeight="4" orientation="portrait" blackAndWhite="1" r:id="rId1"/>
  <headerFooter alignWithMargins="0">
    <oddFooter>&amp;L&amp;D     &amp;T&amp;CCode No. 78&amp;RPage &amp;P</oddFooter>
  </headerFooter>
  <rowBreaks count="3" manualBreakCount="3">
    <brk id="67" max="5" man="1"/>
    <brk id="125" max="5" man="1"/>
    <brk id="191" max="5"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4" tint="0.39997558519241921"/>
    <pageSetUpPr fitToPage="1"/>
  </sheetPr>
  <dimension ref="A1:M308"/>
  <sheetViews>
    <sheetView workbookViewId="0">
      <selection activeCell="R37" sqref="R37:R38"/>
    </sheetView>
  </sheetViews>
  <sheetFormatPr defaultColWidth="10.7109375" defaultRowHeight="12" customHeight="1"/>
  <cols>
    <col min="1" max="1" width="40.7109375" style="2129" customWidth="1"/>
    <col min="2" max="2" width="5.28515625" style="2166" customWidth="1"/>
    <col min="3" max="3" width="14.28515625" style="2123" customWidth="1"/>
    <col min="4" max="5" width="14" style="2123" customWidth="1"/>
    <col min="6" max="6" width="13.85546875" style="2123" customWidth="1"/>
    <col min="7" max="7" width="3" style="2123" customWidth="1"/>
    <col min="8" max="8" width="20.7109375" style="2123" customWidth="1"/>
    <col min="9" max="16384" width="10.7109375" style="2123"/>
  </cols>
  <sheetData>
    <row r="1" spans="1:13" ht="12" customHeight="1">
      <c r="A1" s="2120" t="s">
        <v>1019</v>
      </c>
      <c r="B1" s="2121">
        <f>OPEN!$B$4</f>
        <v>270</v>
      </c>
      <c r="C1" s="2122"/>
      <c r="D1" s="2122"/>
      <c r="E1" s="2122"/>
      <c r="F1" s="2120" t="s">
        <v>1020</v>
      </c>
      <c r="H1" s="3013" t="s">
        <v>866</v>
      </c>
    </row>
    <row r="2" spans="1:13" ht="12" customHeight="1">
      <c r="A2" s="2122"/>
      <c r="B2" s="2124"/>
      <c r="C2" s="2122"/>
      <c r="D2" s="2122"/>
      <c r="E2" s="2122"/>
      <c r="F2" s="2120" t="s">
        <v>1212</v>
      </c>
    </row>
    <row r="3" spans="1:13" ht="12" customHeight="1">
      <c r="A3" s="2122"/>
      <c r="B3" s="2124"/>
      <c r="C3" s="2122"/>
      <c r="D3" s="2122"/>
      <c r="E3" s="2122"/>
      <c r="F3" s="2120" t="str">
        <f>OPEN!N2</f>
        <v>2016-2017</v>
      </c>
    </row>
    <row r="4" spans="1:13" ht="12" customHeight="1">
      <c r="A4" s="2122"/>
      <c r="B4" s="2124"/>
      <c r="C4" s="2122"/>
      <c r="D4" s="2122"/>
      <c r="E4" s="2122"/>
      <c r="F4" s="2122"/>
    </row>
    <row r="5" spans="1:13" ht="12" customHeight="1">
      <c r="A5" s="2122"/>
      <c r="B5" s="2124"/>
      <c r="C5" s="2125" t="s">
        <v>1213</v>
      </c>
      <c r="D5" s="2125" t="s">
        <v>1213</v>
      </c>
      <c r="E5" s="2125" t="s">
        <v>1213</v>
      </c>
      <c r="F5" s="2125" t="s">
        <v>10</v>
      </c>
    </row>
    <row r="6" spans="1:13" ht="12" customHeight="1">
      <c r="A6" s="2126"/>
      <c r="B6" s="2127" t="s">
        <v>1045</v>
      </c>
      <c r="C6" s="2128" t="str">
        <f>OPEN!N4</f>
        <v>2014-2015</v>
      </c>
      <c r="D6" s="2128" t="str">
        <f>OPEN!O4</f>
        <v>2015-2016</v>
      </c>
      <c r="E6" s="2128" t="str">
        <f>OPEN!P4</f>
        <v>2016-2017</v>
      </c>
      <c r="F6" s="2128" t="s">
        <v>758</v>
      </c>
      <c r="K6" s="2129"/>
      <c r="L6" s="2129"/>
      <c r="M6" s="2129"/>
    </row>
    <row r="7" spans="1:13" ht="12" customHeight="1">
      <c r="A7" s="2126" t="s">
        <v>906</v>
      </c>
      <c r="B7" s="2130">
        <v>80</v>
      </c>
      <c r="C7" s="2131" t="s">
        <v>1139</v>
      </c>
      <c r="D7" s="2131" t="s">
        <v>1139</v>
      </c>
      <c r="E7" s="2131" t="s">
        <v>1215</v>
      </c>
      <c r="F7" s="2131" t="s">
        <v>16</v>
      </c>
    </row>
    <row r="8" spans="1:13" ht="12" customHeight="1">
      <c r="A8" s="2132"/>
      <c r="B8" s="2133" t="s">
        <v>1051</v>
      </c>
      <c r="C8" s="2134">
        <v>1</v>
      </c>
      <c r="D8" s="2134">
        <v>2</v>
      </c>
      <c r="E8" s="2134">
        <v>3</v>
      </c>
      <c r="F8" s="2134">
        <v>4</v>
      </c>
    </row>
    <row r="9" spans="1:13" ht="12" customHeight="1">
      <c r="A9" s="2135" t="s">
        <v>1402</v>
      </c>
      <c r="B9" s="2133">
        <v>1</v>
      </c>
      <c r="C9" s="2136"/>
      <c r="D9" s="2137">
        <f>C36</f>
        <v>0</v>
      </c>
      <c r="E9" s="2137">
        <f>D36</f>
        <v>0</v>
      </c>
      <c r="F9" s="2138">
        <f>E9</f>
        <v>0</v>
      </c>
    </row>
    <row r="10" spans="1:13" ht="12" customHeight="1">
      <c r="A10" s="2139" t="s">
        <v>1403</v>
      </c>
      <c r="B10" s="2130">
        <v>3</v>
      </c>
      <c r="C10" s="2140"/>
      <c r="D10" s="2140"/>
      <c r="E10" s="2141"/>
      <c r="F10" s="2141"/>
    </row>
    <row r="11" spans="1:13" ht="12.75" customHeight="1">
      <c r="A11" s="2142" t="s">
        <v>19</v>
      </c>
      <c r="B11" s="2127"/>
      <c r="C11" s="2143"/>
      <c r="D11" s="2143"/>
      <c r="E11" s="2141"/>
      <c r="F11" s="2141"/>
    </row>
    <row r="12" spans="1:13" ht="12" customHeight="1">
      <c r="A12" s="2139" t="s">
        <v>20</v>
      </c>
      <c r="B12" s="2130"/>
      <c r="C12" s="2141"/>
      <c r="D12" s="2141"/>
      <c r="E12" s="2141"/>
      <c r="F12" s="2141"/>
    </row>
    <row r="13" spans="1:13" ht="12" customHeight="1">
      <c r="A13" s="2139" t="s">
        <v>21</v>
      </c>
      <c r="B13" s="2130"/>
      <c r="C13" s="2141"/>
      <c r="D13" s="2141"/>
      <c r="E13" s="2141"/>
      <c r="F13" s="2141"/>
    </row>
    <row r="14" spans="1:13" ht="12" customHeight="1">
      <c r="A14" s="2135" t="str">
        <f>OPEN!N8</f>
        <v xml:space="preserve">    2013  $</v>
      </c>
      <c r="B14" s="2133">
        <v>5</v>
      </c>
      <c r="C14" s="2136"/>
      <c r="D14" s="2141"/>
      <c r="E14" s="2141"/>
      <c r="F14" s="2141"/>
    </row>
    <row r="15" spans="1:13" ht="12" customHeight="1">
      <c r="A15" s="2144" t="str">
        <f>OPEN!N9</f>
        <v xml:space="preserve">    2014  $</v>
      </c>
      <c r="B15" s="2145">
        <v>10</v>
      </c>
      <c r="C15" s="2146"/>
      <c r="D15" s="2136"/>
      <c r="E15" s="2141"/>
      <c r="F15" s="2141"/>
    </row>
    <row r="16" spans="1:13" ht="12" customHeight="1">
      <c r="A16" s="2135" t="str">
        <f>OPEN!N10</f>
        <v xml:space="preserve">    2015  $</v>
      </c>
      <c r="B16" s="2133">
        <v>15</v>
      </c>
      <c r="C16" s="2143"/>
      <c r="D16" s="2137">
        <f>'C04'!E28</f>
        <v>0</v>
      </c>
      <c r="E16" s="2137">
        <f>'F110'!K130</f>
        <v>0</v>
      </c>
      <c r="F16" s="2137">
        <f>E16</f>
        <v>0</v>
      </c>
    </row>
    <row r="17" spans="1:8" ht="12" customHeight="1">
      <c r="A17" s="2144" t="str">
        <f>OPEN!N11</f>
        <v xml:space="preserve">    2016  $</v>
      </c>
      <c r="B17" s="2145">
        <v>20</v>
      </c>
      <c r="C17" s="2141"/>
      <c r="D17" s="2143"/>
      <c r="E17" s="2138">
        <f>'C04'!L28</f>
        <v>0</v>
      </c>
      <c r="F17" s="2143"/>
    </row>
    <row r="18" spans="1:8" ht="12" customHeight="1">
      <c r="A18" s="2144" t="s">
        <v>1875</v>
      </c>
      <c r="B18" s="2145">
        <v>25</v>
      </c>
      <c r="C18" s="2136"/>
      <c r="D18" s="4127"/>
      <c r="E18" s="2137">
        <f>0.667*F18</f>
        <v>0</v>
      </c>
      <c r="F18" s="3368">
        <f>'F110'!K134</f>
        <v>0</v>
      </c>
    </row>
    <row r="19" spans="1:8" ht="12" customHeight="1">
      <c r="A19" s="2144" t="s">
        <v>25</v>
      </c>
      <c r="B19" s="2145">
        <v>30</v>
      </c>
      <c r="C19" s="2146"/>
      <c r="D19" s="2146"/>
      <c r="E19" s="2136"/>
      <c r="F19" s="2138">
        <f>E19</f>
        <v>0</v>
      </c>
    </row>
    <row r="20" spans="1:8" ht="12" customHeight="1">
      <c r="A20" s="2135" t="s">
        <v>30</v>
      </c>
      <c r="B20" s="2133">
        <v>35</v>
      </c>
      <c r="C20" s="2143"/>
      <c r="D20" s="2143"/>
      <c r="E20" s="2143"/>
      <c r="F20" s="2136"/>
    </row>
    <row r="21" spans="1:8" ht="12" customHeight="1">
      <c r="A21" s="2142" t="s">
        <v>28</v>
      </c>
      <c r="B21" s="2127"/>
      <c r="C21" s="2141"/>
      <c r="D21" s="2141"/>
      <c r="E21" s="2141"/>
      <c r="F21" s="2143"/>
    </row>
    <row r="22" spans="1:8" ht="12" customHeight="1">
      <c r="A22" s="2135" t="s">
        <v>283</v>
      </c>
      <c r="B22" s="2133">
        <v>45</v>
      </c>
      <c r="C22" s="2136"/>
      <c r="D22" s="2136"/>
      <c r="E22" s="2137">
        <f>IF(ISERROR('F194'!H30+'F194'!H88+'F194'!$P$30+'F194'!$P$88),0,('F194'!H30+'F194'!H88+'F194'!$P$30+'F194'!$P$88))</f>
        <v>0</v>
      </c>
      <c r="F22" s="2137">
        <f>E22</f>
        <v>0</v>
      </c>
    </row>
    <row r="23" spans="1:8" ht="12" customHeight="1">
      <c r="A23" s="2144" t="s">
        <v>30</v>
      </c>
      <c r="B23" s="2145">
        <v>50</v>
      </c>
      <c r="C23" s="2147"/>
      <c r="D23" s="2143"/>
      <c r="E23" s="2143"/>
      <c r="F23" s="2138">
        <f>F22*0.5</f>
        <v>0</v>
      </c>
    </row>
    <row r="24" spans="1:8" ht="12" customHeight="1">
      <c r="A24" s="2135" t="s">
        <v>31</v>
      </c>
      <c r="B24" s="2133">
        <v>55</v>
      </c>
      <c r="C24" s="2136"/>
      <c r="D24" s="2136"/>
      <c r="E24" s="2137">
        <f>IF(ISERROR('F194'!$L$88+'F194'!$L$30),0,('F194'!$L$88+'F194'!$L$30))</f>
        <v>0</v>
      </c>
      <c r="F24" s="2138">
        <f>E24</f>
        <v>0</v>
      </c>
    </row>
    <row r="25" spans="1:8" ht="12.75" customHeight="1">
      <c r="A25" s="2135" t="s">
        <v>32</v>
      </c>
      <c r="B25" s="2133">
        <v>56</v>
      </c>
      <c r="C25" s="2148"/>
      <c r="D25" s="2148"/>
      <c r="E25" s="2141"/>
      <c r="F25" s="2138">
        <f>F24*0.5</f>
        <v>0</v>
      </c>
    </row>
    <row r="26" spans="1:8" ht="12.75" customHeight="1">
      <c r="A26" s="5143" t="s">
        <v>1870</v>
      </c>
      <c r="B26" s="5144">
        <v>57</v>
      </c>
      <c r="C26" s="4242"/>
      <c r="D26" s="4242"/>
      <c r="E26" s="2137">
        <f>IF(ISERROR('F194'!R88+'F194'!R30),0,('F194'!R88+'F194'!R30))</f>
        <v>0</v>
      </c>
      <c r="F26" s="2138">
        <f>E26</f>
        <v>0</v>
      </c>
      <c r="H26" s="4128"/>
    </row>
    <row r="27" spans="1:8" ht="12.75" customHeight="1">
      <c r="A27" s="5143" t="s">
        <v>32</v>
      </c>
      <c r="B27" s="5144">
        <v>58</v>
      </c>
      <c r="C27" s="2148"/>
      <c r="D27" s="2148"/>
      <c r="E27" s="2148"/>
      <c r="F27" s="2138">
        <f>F26*0.5</f>
        <v>0</v>
      </c>
    </row>
    <row r="28" spans="1:8" ht="12" customHeight="1">
      <c r="A28" s="2135" t="s">
        <v>1938</v>
      </c>
      <c r="B28" s="2133">
        <v>60</v>
      </c>
      <c r="C28" s="2140"/>
      <c r="D28" s="2140"/>
      <c r="E28" s="2137">
        <f>IF(ISERROR('F194'!N88+'F194'!N30),0,('F194'!N88+'F194'!N30))</f>
        <v>0</v>
      </c>
      <c r="F28" s="2138">
        <f>E28</f>
        <v>0</v>
      </c>
    </row>
    <row r="29" spans="1:8" ht="12" customHeight="1">
      <c r="A29" s="2153" t="s">
        <v>30</v>
      </c>
      <c r="B29" s="3402">
        <v>65</v>
      </c>
      <c r="C29" s="2151"/>
      <c r="D29" s="3367"/>
      <c r="E29" s="3367"/>
      <c r="F29" s="2147">
        <f>F28*0.5</f>
        <v>0</v>
      </c>
    </row>
    <row r="30" spans="1:8" ht="12" customHeight="1">
      <c r="A30" s="2152" t="s">
        <v>52</v>
      </c>
      <c r="B30" s="3403">
        <v>70</v>
      </c>
      <c r="C30" s="2137">
        <f>SUM(C9:C29)</f>
        <v>0</v>
      </c>
      <c r="D30" s="3368">
        <f>SUM(D9:D29)</f>
        <v>0</v>
      </c>
      <c r="E30" s="3368">
        <f>SUM(E9:E29)</f>
        <v>0</v>
      </c>
      <c r="F30" s="2137">
        <f>SUM(F9:F29)</f>
        <v>0</v>
      </c>
    </row>
    <row r="31" spans="1:8" ht="12" customHeight="1">
      <c r="A31" s="2153" t="s">
        <v>111</v>
      </c>
      <c r="B31" s="2128"/>
      <c r="C31" s="2141"/>
      <c r="D31" s="2141"/>
      <c r="E31" s="2143"/>
      <c r="F31" s="2143"/>
    </row>
    <row r="32" spans="1:8" ht="12" customHeight="1">
      <c r="A32" s="2154" t="s">
        <v>907</v>
      </c>
      <c r="B32" s="2155">
        <v>75</v>
      </c>
      <c r="C32" s="2140"/>
      <c r="D32" s="2140"/>
      <c r="E32" s="2140"/>
      <c r="F32" s="2141"/>
    </row>
    <row r="33" spans="1:9" ht="12" customHeight="1">
      <c r="A33" s="2149" t="s">
        <v>761</v>
      </c>
      <c r="B33" s="2150">
        <v>175</v>
      </c>
      <c r="C33" s="2138">
        <f>SUM(C31:C32)</f>
        <v>0</v>
      </c>
      <c r="D33" s="2138">
        <f>SUM(D31:D32)</f>
        <v>0</v>
      </c>
      <c r="E33" s="2138">
        <f>SUM(E31:E32)</f>
        <v>0</v>
      </c>
      <c r="F33" s="2137">
        <f>E33</f>
        <v>0</v>
      </c>
      <c r="H33" s="3598"/>
    </row>
    <row r="34" spans="1:9" ht="12" customHeight="1">
      <c r="A34" s="2154" t="s">
        <v>30</v>
      </c>
      <c r="B34" s="2155">
        <v>180</v>
      </c>
      <c r="C34" s="2156" t="s">
        <v>51</v>
      </c>
      <c r="D34" s="2156" t="s">
        <v>51</v>
      </c>
      <c r="E34" s="2156" t="s">
        <v>1189</v>
      </c>
      <c r="F34" s="2146"/>
    </row>
    <row r="35" spans="1:9" ht="12" customHeight="1">
      <c r="A35" s="2149" t="s">
        <v>762</v>
      </c>
      <c r="B35" s="2150">
        <v>185</v>
      </c>
      <c r="C35" s="2156" t="s">
        <v>51</v>
      </c>
      <c r="D35" s="2156" t="s">
        <v>51</v>
      </c>
      <c r="E35" s="2156" t="s">
        <v>1189</v>
      </c>
      <c r="F35" s="2138">
        <f>SUM(F33:F34)</f>
        <v>0</v>
      </c>
      <c r="H35" s="3382" t="s">
        <v>1490</v>
      </c>
      <c r="I35" s="3382"/>
    </row>
    <row r="36" spans="1:9" ht="12" customHeight="1">
      <c r="A36" s="2154" t="s">
        <v>290</v>
      </c>
      <c r="B36" s="2155">
        <v>190</v>
      </c>
      <c r="C36" s="2137">
        <f>SUM(C30-C33)</f>
        <v>0</v>
      </c>
      <c r="D36" s="2137">
        <f>SUM(D30-D33)</f>
        <v>0</v>
      </c>
      <c r="E36" s="2137">
        <f>SUM(E30-E33)</f>
        <v>0</v>
      </c>
      <c r="F36" s="2156" t="s">
        <v>1189</v>
      </c>
      <c r="H36" s="3026" t="s">
        <v>1313</v>
      </c>
      <c r="I36" s="3026"/>
    </row>
    <row r="37" spans="1:9" ht="12" customHeight="1">
      <c r="A37" s="2157" t="s">
        <v>908</v>
      </c>
      <c r="B37" s="2150">
        <v>195</v>
      </c>
      <c r="C37" s="2158" t="s">
        <v>768</v>
      </c>
      <c r="D37" s="2159"/>
      <c r="E37" s="2160"/>
      <c r="F37" s="2138">
        <f>SUM(F35-F30)</f>
        <v>0</v>
      </c>
      <c r="H37" s="3027">
        <f>ROUND((OPEN!A14*'C02'!G19)/1000,0)</f>
        <v>0</v>
      </c>
      <c r="I37" s="3026"/>
    </row>
    <row r="38" spans="1:9" ht="12" customHeight="1">
      <c r="A38" s="2161" t="s">
        <v>908</v>
      </c>
      <c r="B38" s="2155">
        <v>200</v>
      </c>
      <c r="C38" s="2158" t="s">
        <v>763</v>
      </c>
      <c r="D38" s="2159"/>
      <c r="E38" s="2160"/>
      <c r="F38" s="2138">
        <f>F37*'C01'!$F$119/100</f>
        <v>0</v>
      </c>
    </row>
    <row r="39" spans="1:9" ht="12" customHeight="1">
      <c r="A39" s="2157"/>
      <c r="B39" s="2150">
        <v>205</v>
      </c>
      <c r="C39" s="2158" t="str">
        <f>OPEN!N6</f>
        <v>Amount of 2016 Tax to be Levied</v>
      </c>
      <c r="D39" s="2159"/>
      <c r="E39" s="2160"/>
      <c r="F39" s="2138">
        <f>SUM(F37:F38)</f>
        <v>0</v>
      </c>
      <c r="H39" s="3184" t="s">
        <v>394</v>
      </c>
      <c r="I39" s="3186">
        <f>IF(ISERROR(F39/OPEN!A14*1000),"Check errors below",F39/OPEN!A14*1000)</f>
        <v>0</v>
      </c>
    </row>
    <row r="40" spans="1:9" ht="12" customHeight="1">
      <c r="A40" s="2161"/>
      <c r="B40" s="2788" t="s">
        <v>1364</v>
      </c>
      <c r="C40" s="2162"/>
      <c r="D40" s="2162"/>
      <c r="E40" s="2162"/>
      <c r="F40" s="2162" t="str">
        <f>IF(H42&gt;'C02'!$G$19,"Error!!!"," ")</f>
        <v xml:space="preserve"> </v>
      </c>
      <c r="H40" s="3185" t="str">
        <f>OPEN!N40</f>
        <v/>
      </c>
      <c r="I40" s="2162"/>
    </row>
    <row r="41" spans="1:9" ht="12" customHeight="1">
      <c r="A41" s="2157"/>
      <c r="B41" s="2163"/>
      <c r="C41" s="2162"/>
      <c r="D41" s="2162"/>
      <c r="E41" s="2162"/>
      <c r="F41" s="2162" t="str">
        <f>IF(F40="Error!!!","Levy Amt &gt; mills authorized on Code 02"," ")</f>
        <v xml:space="preserve"> </v>
      </c>
    </row>
    <row r="42" spans="1:9" ht="12" customHeight="1">
      <c r="A42" s="2157"/>
      <c r="B42" s="2163"/>
      <c r="C42" s="2162"/>
      <c r="D42" s="2162"/>
      <c r="E42" s="2162"/>
      <c r="F42" s="2162"/>
      <c r="H42" s="2123">
        <f>ROUND(F39/OPEN!A14*1000,3)</f>
        <v>0</v>
      </c>
    </row>
    <row r="43" spans="1:9" ht="12" customHeight="1">
      <c r="A43" s="2157"/>
      <c r="B43" s="2163"/>
      <c r="C43" s="2162"/>
      <c r="D43" s="2162"/>
      <c r="E43" s="2162"/>
      <c r="F43" s="2162"/>
    </row>
    <row r="44" spans="1:9" ht="12" customHeight="1">
      <c r="A44" s="2157"/>
      <c r="B44" s="2163"/>
      <c r="C44" s="2162"/>
      <c r="D44" s="2162"/>
      <c r="E44" s="2162"/>
      <c r="F44" s="2162"/>
    </row>
    <row r="45" spans="1:9" ht="12" customHeight="1">
      <c r="A45" s="2122"/>
      <c r="B45" s="2125"/>
      <c r="C45" s="2162"/>
      <c r="D45" s="2162"/>
      <c r="E45" s="2162"/>
      <c r="F45" s="2162"/>
    </row>
    <row r="46" spans="1:9" ht="12" customHeight="1">
      <c r="A46" s="2122"/>
      <c r="B46" s="2125"/>
      <c r="C46" s="2162"/>
      <c r="D46" s="2162"/>
      <c r="E46" s="2162"/>
      <c r="F46" s="2162"/>
    </row>
    <row r="47" spans="1:9" ht="12" customHeight="1">
      <c r="A47" s="2122"/>
      <c r="B47" s="2125"/>
      <c r="C47" s="2162"/>
      <c r="D47" s="2162"/>
      <c r="E47" s="2162"/>
      <c r="F47" s="2162"/>
    </row>
    <row r="48" spans="1:9" ht="12" customHeight="1">
      <c r="A48" s="2122"/>
      <c r="B48" s="2125"/>
      <c r="C48" s="2162"/>
      <c r="D48" s="2162"/>
      <c r="E48" s="2162"/>
      <c r="F48" s="2162"/>
    </row>
    <row r="49" spans="1:6" ht="12" customHeight="1">
      <c r="A49" s="2122"/>
      <c r="B49" s="2125"/>
      <c r="C49" s="2162"/>
      <c r="D49" s="2162"/>
      <c r="E49" s="2162"/>
      <c r="F49" s="2162"/>
    </row>
    <row r="50" spans="1:6" ht="12" customHeight="1">
      <c r="A50" s="2122"/>
      <c r="B50" s="2125"/>
      <c r="C50" s="2162"/>
      <c r="D50" s="2162"/>
      <c r="E50" s="2162"/>
      <c r="F50" s="2162"/>
    </row>
    <row r="51" spans="1:6" ht="12" customHeight="1">
      <c r="A51" s="2122"/>
      <c r="B51" s="2125"/>
      <c r="C51" s="2162"/>
      <c r="D51" s="2162"/>
      <c r="E51" s="2162"/>
      <c r="F51" s="2162"/>
    </row>
    <row r="52" spans="1:6" ht="12" customHeight="1">
      <c r="A52" s="2122"/>
      <c r="B52" s="2125"/>
      <c r="C52" s="2162"/>
      <c r="D52" s="2162"/>
      <c r="E52" s="2162"/>
      <c r="F52" s="2162"/>
    </row>
    <row r="53" spans="1:6" ht="12" customHeight="1">
      <c r="A53" s="2122"/>
      <c r="B53" s="2125"/>
      <c r="C53" s="2162"/>
      <c r="D53" s="2162"/>
      <c r="E53" s="2162"/>
      <c r="F53" s="2162"/>
    </row>
    <row r="54" spans="1:6" ht="12" customHeight="1">
      <c r="A54" s="2122"/>
      <c r="B54" s="2125"/>
      <c r="C54" s="2162"/>
      <c r="D54" s="2162"/>
      <c r="E54" s="2162"/>
      <c r="F54" s="2162"/>
    </row>
    <row r="55" spans="1:6" ht="12" customHeight="1">
      <c r="A55" s="2122"/>
      <c r="B55" s="2125"/>
      <c r="C55" s="2162"/>
      <c r="D55" s="2162"/>
      <c r="E55" s="2162"/>
      <c r="F55" s="2162"/>
    </row>
    <row r="56" spans="1:6" ht="12" customHeight="1">
      <c r="A56" s="2122"/>
      <c r="B56" s="2125"/>
      <c r="C56" s="2162"/>
      <c r="D56" s="2162"/>
      <c r="E56" s="2162"/>
      <c r="F56" s="2162"/>
    </row>
    <row r="57" spans="1:6" ht="12" customHeight="1">
      <c r="A57" s="2122"/>
      <c r="B57" s="2125"/>
      <c r="C57" s="2162"/>
      <c r="D57" s="2162"/>
      <c r="E57" s="2162"/>
      <c r="F57" s="2162"/>
    </row>
    <row r="58" spans="1:6" ht="15.75" customHeight="1">
      <c r="A58" s="2122"/>
      <c r="B58" s="2125"/>
      <c r="C58" s="2162"/>
      <c r="D58" s="2162"/>
      <c r="E58" s="2162"/>
      <c r="F58" s="2162"/>
    </row>
    <row r="59" spans="1:6" ht="13.5" customHeight="1">
      <c r="A59" s="2122"/>
      <c r="B59" s="2125"/>
      <c r="C59" s="2162"/>
      <c r="D59" s="2162"/>
      <c r="E59" s="2162"/>
      <c r="F59" s="2162"/>
    </row>
    <row r="60" spans="1:6" ht="12" customHeight="1">
      <c r="A60" s="2122"/>
      <c r="B60" s="2125"/>
      <c r="C60" s="2162"/>
      <c r="D60" s="2162"/>
      <c r="E60" s="2162"/>
      <c r="F60" s="2162"/>
    </row>
    <row r="61" spans="1:6" ht="12" customHeight="1">
      <c r="A61" s="2164"/>
      <c r="B61" s="2164"/>
      <c r="C61" s="2165"/>
      <c r="D61" s="2165"/>
      <c r="E61" s="2165"/>
      <c r="F61" s="2165"/>
    </row>
    <row r="62" spans="1:6" ht="12" customHeight="1">
      <c r="A62" s="2122"/>
      <c r="B62" s="2125"/>
      <c r="C62" s="2162"/>
      <c r="D62" s="2162"/>
      <c r="E62" s="2162"/>
      <c r="F62" s="2162"/>
    </row>
    <row r="63" spans="1:6" ht="12" customHeight="1">
      <c r="A63" s="2122"/>
      <c r="B63" s="2125"/>
      <c r="C63" s="2162"/>
      <c r="D63" s="2162"/>
      <c r="E63" s="2162"/>
      <c r="F63" s="2162"/>
    </row>
    <row r="64" spans="1:6" ht="12" customHeight="1">
      <c r="A64" s="2122"/>
      <c r="B64" s="2125"/>
      <c r="C64" s="2162"/>
      <c r="D64" s="2162"/>
      <c r="E64" s="2162"/>
      <c r="F64" s="2162"/>
    </row>
    <row r="65" spans="1:6" ht="12" customHeight="1">
      <c r="A65" s="2122"/>
      <c r="B65" s="2125"/>
      <c r="C65" s="2162"/>
      <c r="D65" s="2162"/>
      <c r="E65" s="2162"/>
      <c r="F65" s="2162"/>
    </row>
    <row r="66" spans="1:6" ht="12" customHeight="1">
      <c r="A66" s="2122"/>
      <c r="B66" s="2125"/>
      <c r="C66" s="2162"/>
      <c r="D66" s="2162"/>
      <c r="E66" s="2162"/>
      <c r="F66" s="2162"/>
    </row>
    <row r="67" spans="1:6" ht="12" customHeight="1">
      <c r="A67" s="2122"/>
      <c r="B67" s="2125"/>
      <c r="C67" s="2162"/>
      <c r="D67" s="2162"/>
      <c r="E67" s="2162"/>
      <c r="F67" s="2162"/>
    </row>
    <row r="68" spans="1:6" ht="12" customHeight="1">
      <c r="A68" s="2122"/>
      <c r="B68" s="2125"/>
      <c r="C68" s="2162"/>
      <c r="D68" s="2162"/>
      <c r="E68" s="2162"/>
      <c r="F68" s="2162"/>
    </row>
    <row r="69" spans="1:6" ht="12" customHeight="1">
      <c r="A69" s="2122"/>
      <c r="B69" s="2125"/>
      <c r="C69" s="2162"/>
      <c r="D69" s="2162"/>
      <c r="E69" s="2162"/>
      <c r="F69" s="2162"/>
    </row>
    <row r="70" spans="1:6" ht="12" customHeight="1">
      <c r="A70" s="2122"/>
      <c r="B70" s="2125"/>
      <c r="C70" s="2162"/>
      <c r="D70" s="2162"/>
      <c r="E70" s="2162"/>
      <c r="F70" s="2162"/>
    </row>
    <row r="71" spans="1:6" ht="12" customHeight="1">
      <c r="A71" s="2122"/>
      <c r="B71" s="2125"/>
      <c r="C71" s="2162"/>
      <c r="D71" s="2162"/>
      <c r="E71" s="2162"/>
      <c r="F71" s="2162"/>
    </row>
    <row r="72" spans="1:6" ht="12" customHeight="1">
      <c r="A72" s="2122"/>
      <c r="B72" s="2125"/>
      <c r="C72" s="2162"/>
      <c r="D72" s="2162"/>
      <c r="E72" s="2162"/>
      <c r="F72" s="2162"/>
    </row>
    <row r="73" spans="1:6" ht="12" customHeight="1">
      <c r="A73" s="2122"/>
      <c r="B73" s="2125"/>
      <c r="C73" s="2162"/>
      <c r="D73" s="2162"/>
      <c r="E73" s="2162"/>
      <c r="F73" s="2162"/>
    </row>
    <row r="74" spans="1:6" ht="12" customHeight="1">
      <c r="A74" s="2122"/>
      <c r="B74" s="2125"/>
      <c r="C74" s="2162"/>
      <c r="D74" s="2162"/>
      <c r="E74" s="2162"/>
      <c r="F74" s="2162"/>
    </row>
    <row r="75" spans="1:6" ht="12" customHeight="1">
      <c r="A75" s="2122"/>
      <c r="B75" s="2125"/>
      <c r="C75" s="2162"/>
      <c r="D75" s="2162"/>
      <c r="E75" s="2162"/>
      <c r="F75" s="2162"/>
    </row>
    <row r="76" spans="1:6" ht="12" customHeight="1">
      <c r="A76" s="2122"/>
      <c r="B76" s="2125"/>
      <c r="C76" s="2162"/>
      <c r="D76" s="2162"/>
      <c r="E76" s="2162"/>
      <c r="F76" s="2162"/>
    </row>
    <row r="77" spans="1:6" ht="12" customHeight="1">
      <c r="A77" s="2122"/>
      <c r="B77" s="2125"/>
      <c r="C77" s="2162"/>
      <c r="D77" s="2162"/>
      <c r="E77" s="2162"/>
      <c r="F77" s="2162"/>
    </row>
    <row r="78" spans="1:6" ht="12" customHeight="1">
      <c r="A78" s="2122"/>
      <c r="B78" s="2125"/>
      <c r="C78" s="2162"/>
      <c r="D78" s="2162"/>
      <c r="E78" s="2162"/>
      <c r="F78" s="2162"/>
    </row>
    <row r="79" spans="1:6" ht="12" customHeight="1">
      <c r="A79" s="2122"/>
      <c r="B79" s="2125"/>
      <c r="C79" s="2162"/>
      <c r="D79" s="2162"/>
      <c r="E79" s="2162"/>
      <c r="F79" s="2162"/>
    </row>
    <row r="80" spans="1:6" ht="12" customHeight="1">
      <c r="A80" s="2122"/>
      <c r="B80" s="2125"/>
      <c r="C80" s="2162"/>
      <c r="D80" s="2162"/>
      <c r="E80" s="2162"/>
      <c r="F80" s="2162"/>
    </row>
    <row r="81" spans="1:6" ht="12" customHeight="1">
      <c r="A81" s="2122"/>
      <c r="B81" s="2125"/>
      <c r="C81" s="2162"/>
      <c r="D81" s="2162"/>
      <c r="E81" s="2162"/>
      <c r="F81" s="2162"/>
    </row>
    <row r="82" spans="1:6" ht="12" customHeight="1">
      <c r="A82" s="2122"/>
      <c r="B82" s="2125"/>
      <c r="C82" s="2162"/>
      <c r="D82" s="2162"/>
      <c r="E82" s="2162"/>
      <c r="F82" s="2162"/>
    </row>
    <row r="83" spans="1:6" ht="12" customHeight="1">
      <c r="A83" s="2122"/>
      <c r="B83" s="2125"/>
      <c r="C83" s="2162"/>
      <c r="D83" s="2162"/>
      <c r="E83" s="2162"/>
      <c r="F83" s="2162"/>
    </row>
    <row r="84" spans="1:6" ht="12" customHeight="1">
      <c r="A84" s="2122"/>
      <c r="B84" s="2125"/>
      <c r="C84" s="2162"/>
      <c r="D84" s="2162"/>
      <c r="E84" s="2162"/>
      <c r="F84" s="2162"/>
    </row>
    <row r="85" spans="1:6" ht="12" customHeight="1">
      <c r="A85" s="2122"/>
      <c r="B85" s="2125"/>
      <c r="C85" s="2162"/>
      <c r="D85" s="2162"/>
      <c r="E85" s="2162"/>
      <c r="F85" s="2162"/>
    </row>
    <row r="86" spans="1:6" ht="12" customHeight="1">
      <c r="A86" s="2122"/>
      <c r="B86" s="2125"/>
      <c r="C86" s="2162"/>
      <c r="D86" s="2162"/>
      <c r="E86" s="2162"/>
      <c r="F86" s="2162"/>
    </row>
    <row r="87" spans="1:6" ht="12" customHeight="1">
      <c r="A87" s="2122"/>
      <c r="B87" s="2125"/>
      <c r="C87" s="2162"/>
      <c r="D87" s="2162"/>
      <c r="E87" s="2162"/>
      <c r="F87" s="2162"/>
    </row>
    <row r="88" spans="1:6" ht="12" customHeight="1">
      <c r="A88" s="2122"/>
      <c r="B88" s="2125"/>
      <c r="C88" s="2162"/>
      <c r="D88" s="2162"/>
      <c r="E88" s="2162"/>
      <c r="F88" s="2162"/>
    </row>
    <row r="89" spans="1:6" ht="12" customHeight="1">
      <c r="A89" s="2122"/>
      <c r="B89" s="2125"/>
      <c r="C89" s="2162"/>
      <c r="D89" s="2162"/>
      <c r="E89" s="2162"/>
      <c r="F89" s="2162"/>
    </row>
    <row r="90" spans="1:6" ht="12" customHeight="1">
      <c r="A90" s="2122"/>
      <c r="B90" s="2125"/>
      <c r="C90" s="2162"/>
      <c r="D90" s="2162"/>
      <c r="E90" s="2162"/>
      <c r="F90" s="2162"/>
    </row>
    <row r="91" spans="1:6" ht="12" customHeight="1">
      <c r="A91" s="2122"/>
      <c r="B91" s="2125"/>
      <c r="C91" s="2162"/>
      <c r="D91" s="2162"/>
      <c r="E91" s="2162"/>
      <c r="F91" s="2162"/>
    </row>
    <row r="92" spans="1:6" ht="12" customHeight="1">
      <c r="A92" s="2122"/>
      <c r="B92" s="2125"/>
      <c r="C92" s="2162"/>
      <c r="D92" s="2162"/>
      <c r="E92" s="2162"/>
      <c r="F92" s="2162"/>
    </row>
    <row r="93" spans="1:6" ht="12" customHeight="1">
      <c r="A93" s="2122"/>
      <c r="B93" s="2125"/>
      <c r="C93" s="2162"/>
      <c r="D93" s="2162"/>
      <c r="E93" s="2162"/>
      <c r="F93" s="2162"/>
    </row>
    <row r="94" spans="1:6" ht="12" customHeight="1">
      <c r="A94" s="2122"/>
      <c r="B94" s="2125"/>
      <c r="C94" s="2162"/>
      <c r="D94" s="2162"/>
      <c r="E94" s="2162"/>
      <c r="F94" s="2162"/>
    </row>
    <row r="95" spans="1:6" ht="12" customHeight="1">
      <c r="A95" s="2122"/>
      <c r="B95" s="2125"/>
      <c r="C95" s="2162"/>
      <c r="D95" s="2162"/>
      <c r="E95" s="2162"/>
      <c r="F95" s="2162"/>
    </row>
    <row r="96" spans="1:6" ht="12" customHeight="1">
      <c r="A96" s="2122"/>
      <c r="B96" s="2125"/>
      <c r="C96" s="2162"/>
      <c r="D96" s="2162"/>
      <c r="E96" s="2162"/>
      <c r="F96" s="2162"/>
    </row>
    <row r="97" spans="1:6" ht="12" customHeight="1">
      <c r="A97" s="2122"/>
      <c r="B97" s="2125"/>
      <c r="C97" s="2162"/>
      <c r="D97" s="2162"/>
      <c r="E97" s="2162"/>
      <c r="F97" s="2162"/>
    </row>
    <row r="98" spans="1:6" ht="12" customHeight="1">
      <c r="A98" s="2122"/>
      <c r="B98" s="2125"/>
      <c r="C98" s="2162"/>
      <c r="D98" s="2162"/>
      <c r="E98" s="2162"/>
      <c r="F98" s="2162"/>
    </row>
    <row r="99" spans="1:6" ht="12" customHeight="1">
      <c r="A99" s="2122"/>
      <c r="B99" s="2125"/>
      <c r="C99" s="2162"/>
      <c r="D99" s="2162"/>
      <c r="E99" s="2162"/>
      <c r="F99" s="2162"/>
    </row>
    <row r="100" spans="1:6" ht="12" customHeight="1">
      <c r="A100" s="2122"/>
      <c r="B100" s="2125"/>
      <c r="C100" s="2162"/>
      <c r="D100" s="2162"/>
      <c r="E100" s="2162"/>
      <c r="F100" s="2162"/>
    </row>
    <row r="101" spans="1:6" ht="12" customHeight="1">
      <c r="A101" s="2122"/>
      <c r="B101" s="2125"/>
      <c r="C101" s="2162"/>
      <c r="D101" s="2162"/>
      <c r="E101" s="2162"/>
      <c r="F101" s="2162"/>
    </row>
    <row r="102" spans="1:6" ht="12" customHeight="1">
      <c r="A102" s="2122"/>
      <c r="B102" s="2125"/>
      <c r="C102" s="2162"/>
      <c r="D102" s="2162"/>
      <c r="E102" s="2162"/>
      <c r="F102" s="2162"/>
    </row>
    <row r="103" spans="1:6" ht="12" customHeight="1">
      <c r="A103" s="2122"/>
      <c r="B103" s="2125"/>
      <c r="C103" s="2162"/>
      <c r="D103" s="2162"/>
      <c r="E103" s="2162"/>
      <c r="F103" s="2162"/>
    </row>
    <row r="104" spans="1:6" ht="12" customHeight="1">
      <c r="A104" s="2122"/>
      <c r="B104" s="2125"/>
      <c r="C104" s="2162"/>
      <c r="D104" s="2162"/>
      <c r="E104" s="2162"/>
      <c r="F104" s="2162"/>
    </row>
    <row r="105" spans="1:6" ht="12" customHeight="1">
      <c r="A105" s="2122"/>
      <c r="B105" s="2125"/>
      <c r="C105" s="2162"/>
      <c r="D105" s="2162"/>
      <c r="E105" s="2162"/>
      <c r="F105" s="2162"/>
    </row>
    <row r="106" spans="1:6" ht="12" customHeight="1">
      <c r="A106" s="2122"/>
      <c r="B106" s="2125"/>
      <c r="C106" s="2162"/>
      <c r="D106" s="2162"/>
      <c r="E106" s="2162"/>
      <c r="F106" s="2162"/>
    </row>
    <row r="107" spans="1:6" ht="12" customHeight="1">
      <c r="A107" s="2122"/>
      <c r="B107" s="2125"/>
      <c r="C107" s="2162"/>
      <c r="D107" s="2162"/>
      <c r="E107" s="2162"/>
      <c r="F107" s="2162"/>
    </row>
    <row r="108" spans="1:6" ht="12" customHeight="1">
      <c r="A108" s="2122"/>
      <c r="B108" s="2125"/>
      <c r="C108" s="2162"/>
      <c r="D108" s="2162"/>
      <c r="E108" s="2162"/>
      <c r="F108" s="2162"/>
    </row>
    <row r="109" spans="1:6" ht="12" customHeight="1">
      <c r="A109" s="2122"/>
      <c r="B109" s="2125"/>
      <c r="C109" s="2162"/>
      <c r="D109" s="2162"/>
      <c r="E109" s="2162"/>
      <c r="F109" s="2162"/>
    </row>
    <row r="110" spans="1:6" ht="12" customHeight="1">
      <c r="A110" s="2122"/>
      <c r="B110" s="2125"/>
      <c r="C110" s="2162"/>
      <c r="D110" s="2162"/>
      <c r="E110" s="2162"/>
      <c r="F110" s="2162"/>
    </row>
    <row r="111" spans="1:6" ht="12" customHeight="1">
      <c r="A111" s="2122"/>
      <c r="B111" s="2125"/>
      <c r="C111" s="2162"/>
      <c r="D111" s="2162"/>
      <c r="E111" s="2162"/>
      <c r="F111" s="2162"/>
    </row>
    <row r="112" spans="1:6" ht="12" customHeight="1">
      <c r="A112" s="2122"/>
      <c r="B112" s="2125"/>
      <c r="C112" s="2162"/>
      <c r="D112" s="2162"/>
      <c r="E112" s="2162"/>
      <c r="F112" s="2162"/>
    </row>
    <row r="113" spans="1:6" ht="12" customHeight="1">
      <c r="A113" s="2122"/>
      <c r="B113" s="2125"/>
      <c r="C113" s="2162"/>
      <c r="D113" s="2162"/>
      <c r="E113" s="2162"/>
      <c r="F113" s="2162"/>
    </row>
    <row r="114" spans="1:6" ht="12" customHeight="1">
      <c r="A114" s="2122"/>
      <c r="B114" s="2125"/>
      <c r="C114" s="2162"/>
      <c r="D114" s="2162"/>
      <c r="E114" s="2162"/>
      <c r="F114" s="2162"/>
    </row>
    <row r="115" spans="1:6" ht="12" customHeight="1">
      <c r="A115" s="2122"/>
      <c r="B115" s="2125"/>
      <c r="C115" s="2162"/>
      <c r="D115" s="2162"/>
      <c r="E115" s="2162"/>
      <c r="F115" s="2162"/>
    </row>
    <row r="116" spans="1:6" ht="12" customHeight="1">
      <c r="A116" s="2122"/>
      <c r="B116" s="2125"/>
      <c r="C116" s="2162"/>
      <c r="D116" s="2162"/>
      <c r="E116" s="2162"/>
      <c r="F116" s="2162"/>
    </row>
    <row r="117" spans="1:6" ht="12" customHeight="1">
      <c r="A117" s="2122"/>
      <c r="B117" s="2125"/>
      <c r="C117" s="2162"/>
      <c r="D117" s="2162"/>
      <c r="E117" s="2162"/>
      <c r="F117" s="2162"/>
    </row>
    <row r="118" spans="1:6" ht="12" customHeight="1">
      <c r="A118" s="2122"/>
      <c r="B118" s="2125"/>
      <c r="C118" s="2162"/>
      <c r="D118" s="2162"/>
      <c r="E118" s="2162"/>
      <c r="F118" s="2162"/>
    </row>
    <row r="119" spans="1:6" ht="12" customHeight="1">
      <c r="A119" s="2122"/>
      <c r="B119" s="2125"/>
      <c r="C119" s="2162"/>
      <c r="D119" s="2162"/>
      <c r="E119" s="2162"/>
      <c r="F119" s="2162"/>
    </row>
    <row r="120" spans="1:6" ht="12" customHeight="1">
      <c r="A120" s="2122"/>
      <c r="B120" s="2125"/>
      <c r="C120" s="2162"/>
      <c r="D120" s="2162"/>
      <c r="E120" s="2162"/>
      <c r="F120" s="2162"/>
    </row>
    <row r="121" spans="1:6" ht="5.0999999999999996" customHeight="1">
      <c r="A121" s="2122"/>
      <c r="B121" s="2125"/>
      <c r="C121" s="2162"/>
      <c r="D121" s="2162"/>
      <c r="E121" s="2162"/>
      <c r="F121" s="2162"/>
    </row>
    <row r="122" spans="1:6" ht="12" customHeight="1">
      <c r="A122" s="2122"/>
      <c r="B122" s="2125"/>
      <c r="C122" s="2162"/>
      <c r="D122" s="2162"/>
      <c r="E122" s="2162"/>
      <c r="F122" s="2162"/>
    </row>
    <row r="123" spans="1:6" ht="12" customHeight="1">
      <c r="A123" s="2122"/>
      <c r="B123" s="2125"/>
      <c r="C123" s="2162"/>
      <c r="D123" s="2162"/>
      <c r="E123" s="2162"/>
      <c r="F123" s="2162"/>
    </row>
    <row r="124" spans="1:6" ht="12" customHeight="1">
      <c r="A124" s="2122"/>
      <c r="B124" s="2125"/>
      <c r="C124" s="2162"/>
      <c r="D124" s="2162"/>
      <c r="E124" s="2162"/>
      <c r="F124" s="2162"/>
    </row>
    <row r="125" spans="1:6" ht="12" customHeight="1">
      <c r="A125" s="2122"/>
      <c r="B125" s="2125"/>
      <c r="C125" s="2162"/>
      <c r="D125" s="2162"/>
      <c r="E125" s="2162"/>
      <c r="F125" s="2162"/>
    </row>
    <row r="126" spans="1:6" ht="12" customHeight="1">
      <c r="A126" s="2122"/>
      <c r="B126" s="2125"/>
      <c r="C126" s="2162"/>
      <c r="D126" s="2162"/>
      <c r="E126" s="2162"/>
      <c r="F126" s="2162"/>
    </row>
    <row r="127" spans="1:6" ht="12" customHeight="1">
      <c r="A127" s="2122"/>
      <c r="B127" s="2125"/>
      <c r="C127" s="2162"/>
      <c r="D127" s="2162"/>
      <c r="E127" s="2162"/>
      <c r="F127" s="2162"/>
    </row>
    <row r="128" spans="1:6" ht="12" customHeight="1">
      <c r="A128" s="2122"/>
      <c r="B128" s="2125"/>
      <c r="C128" s="2162"/>
      <c r="D128" s="2162"/>
      <c r="E128" s="2162"/>
      <c r="F128" s="2162"/>
    </row>
    <row r="129" spans="1:6" ht="12" customHeight="1">
      <c r="A129" s="2122"/>
      <c r="B129" s="2125"/>
      <c r="C129" s="2162"/>
      <c r="D129" s="2162"/>
      <c r="E129" s="2162"/>
      <c r="F129" s="2162"/>
    </row>
    <row r="130" spans="1:6" ht="12" customHeight="1">
      <c r="A130" s="2122"/>
      <c r="B130" s="2125"/>
      <c r="C130" s="2162"/>
      <c r="D130" s="2162"/>
      <c r="E130" s="2162"/>
      <c r="F130" s="2162"/>
    </row>
    <row r="131" spans="1:6" ht="12" customHeight="1">
      <c r="A131" s="2122"/>
      <c r="B131" s="2125"/>
      <c r="C131" s="2162"/>
      <c r="D131" s="2162"/>
      <c r="E131" s="2162"/>
      <c r="F131" s="2162"/>
    </row>
    <row r="132" spans="1:6" ht="12" customHeight="1">
      <c r="A132" s="2122"/>
      <c r="B132" s="2125"/>
      <c r="C132" s="2162"/>
      <c r="D132" s="2162"/>
      <c r="E132" s="2162"/>
      <c r="F132" s="2162"/>
    </row>
    <row r="133" spans="1:6" ht="12" customHeight="1">
      <c r="A133" s="2122"/>
      <c r="B133" s="2125"/>
      <c r="C133" s="2162"/>
      <c r="D133" s="2162"/>
      <c r="E133" s="2162"/>
      <c r="F133" s="2162"/>
    </row>
    <row r="134" spans="1:6" ht="12" customHeight="1">
      <c r="A134" s="2122"/>
      <c r="B134" s="2125"/>
      <c r="C134" s="2162"/>
      <c r="D134" s="2162"/>
      <c r="E134" s="2162"/>
      <c r="F134" s="2162"/>
    </row>
    <row r="135" spans="1:6" ht="12" customHeight="1">
      <c r="A135" s="2122"/>
      <c r="B135" s="2125"/>
      <c r="C135" s="2162"/>
      <c r="D135" s="2162"/>
      <c r="E135" s="2162"/>
      <c r="F135" s="2162"/>
    </row>
    <row r="136" spans="1:6" ht="12" customHeight="1">
      <c r="A136" s="2122"/>
      <c r="B136" s="2125"/>
      <c r="C136" s="2162"/>
      <c r="D136" s="2162"/>
      <c r="E136" s="2162"/>
      <c r="F136" s="2162"/>
    </row>
    <row r="137" spans="1:6" ht="12" customHeight="1">
      <c r="A137" s="2122"/>
      <c r="B137" s="2125"/>
      <c r="C137" s="2162"/>
      <c r="D137" s="2162"/>
      <c r="E137" s="2162"/>
      <c r="F137" s="2162"/>
    </row>
    <row r="138" spans="1:6" ht="12" customHeight="1">
      <c r="A138" s="2122"/>
      <c r="B138" s="2125"/>
      <c r="C138" s="2162"/>
      <c r="D138" s="2162"/>
      <c r="E138" s="2162"/>
      <c r="F138" s="2162"/>
    </row>
    <row r="139" spans="1:6" ht="12" customHeight="1">
      <c r="A139" s="2122"/>
      <c r="B139" s="2125"/>
      <c r="C139" s="2162"/>
      <c r="D139" s="2162"/>
      <c r="E139" s="2162"/>
      <c r="F139" s="2162"/>
    </row>
    <row r="140" spans="1:6" ht="12" customHeight="1">
      <c r="A140" s="2122"/>
      <c r="B140" s="2125"/>
      <c r="C140" s="2162"/>
      <c r="D140" s="2162"/>
      <c r="E140" s="2162"/>
      <c r="F140" s="2162"/>
    </row>
    <row r="141" spans="1:6" ht="12" customHeight="1">
      <c r="A141" s="2122"/>
      <c r="B141" s="2125"/>
      <c r="C141" s="2162"/>
      <c r="D141" s="2162"/>
      <c r="E141" s="2162"/>
      <c r="F141" s="2162"/>
    </row>
    <row r="142" spans="1:6" ht="12" customHeight="1">
      <c r="A142" s="2122"/>
      <c r="B142" s="2125"/>
      <c r="C142" s="2162"/>
      <c r="D142" s="2162"/>
      <c r="E142" s="2162"/>
      <c r="F142" s="2162"/>
    </row>
    <row r="143" spans="1:6" ht="12" customHeight="1">
      <c r="A143" s="2122"/>
      <c r="B143" s="2125"/>
      <c r="C143" s="2162"/>
      <c r="D143" s="2162"/>
      <c r="E143" s="2162"/>
      <c r="F143" s="2162"/>
    </row>
    <row r="144" spans="1:6" ht="12" customHeight="1">
      <c r="A144" s="2122"/>
      <c r="B144" s="2125"/>
      <c r="C144" s="2162"/>
      <c r="D144" s="2162"/>
      <c r="E144" s="2162"/>
      <c r="F144" s="2162"/>
    </row>
    <row r="145" spans="1:6" ht="12" customHeight="1">
      <c r="A145" s="2122"/>
      <c r="B145" s="2125"/>
      <c r="C145" s="2162"/>
      <c r="D145" s="2162"/>
      <c r="E145" s="2162"/>
      <c r="F145" s="2162"/>
    </row>
    <row r="146" spans="1:6" ht="12" customHeight="1">
      <c r="A146" s="2122"/>
      <c r="B146" s="2125"/>
      <c r="C146" s="2162"/>
      <c r="D146" s="2162"/>
      <c r="E146" s="2162"/>
      <c r="F146" s="2162"/>
    </row>
    <row r="147" spans="1:6" ht="12" customHeight="1">
      <c r="A147" s="2122"/>
      <c r="B147" s="2125"/>
      <c r="C147" s="2162"/>
      <c r="D147" s="2162"/>
      <c r="E147" s="2162"/>
      <c r="F147" s="2162"/>
    </row>
    <row r="148" spans="1:6" ht="12" customHeight="1">
      <c r="A148" s="2122"/>
      <c r="B148" s="2125"/>
      <c r="C148" s="2162"/>
      <c r="D148" s="2162"/>
      <c r="E148" s="2162"/>
      <c r="F148" s="2162"/>
    </row>
    <row r="149" spans="1:6" ht="12" customHeight="1">
      <c r="A149" s="2122"/>
      <c r="B149" s="2125"/>
      <c r="C149" s="2162"/>
      <c r="D149" s="2162"/>
      <c r="E149" s="2162"/>
      <c r="F149" s="2162"/>
    </row>
    <row r="150" spans="1:6" ht="12" customHeight="1">
      <c r="A150" s="2122"/>
      <c r="B150" s="2125"/>
      <c r="C150" s="2162"/>
      <c r="D150" s="2162"/>
      <c r="E150" s="2162"/>
      <c r="F150" s="2162"/>
    </row>
    <row r="151" spans="1:6" ht="12" customHeight="1">
      <c r="A151" s="2122"/>
      <c r="B151" s="2125"/>
      <c r="C151" s="2162"/>
      <c r="D151" s="2162"/>
      <c r="E151" s="2162"/>
      <c r="F151" s="2162"/>
    </row>
    <row r="152" spans="1:6" ht="12" customHeight="1">
      <c r="A152" s="2122"/>
      <c r="B152" s="2125"/>
      <c r="C152" s="2162"/>
      <c r="D152" s="2162"/>
      <c r="E152" s="2162"/>
      <c r="F152" s="2162"/>
    </row>
    <row r="153" spans="1:6" ht="12" customHeight="1">
      <c r="A153" s="2122"/>
      <c r="B153" s="2125"/>
      <c r="C153" s="2162"/>
      <c r="D153" s="2162"/>
      <c r="E153" s="2162"/>
      <c r="F153" s="2162"/>
    </row>
    <row r="154" spans="1:6" ht="12" customHeight="1">
      <c r="A154" s="2122"/>
      <c r="B154" s="2125"/>
      <c r="C154" s="2162"/>
      <c r="D154" s="2162"/>
      <c r="E154" s="2162"/>
      <c r="F154" s="2162"/>
    </row>
    <row r="155" spans="1:6" ht="12" customHeight="1">
      <c r="A155" s="2122"/>
      <c r="B155" s="2125"/>
      <c r="C155" s="2162"/>
      <c r="D155" s="2162"/>
      <c r="E155" s="2162"/>
      <c r="F155" s="2162"/>
    </row>
    <row r="156" spans="1:6" ht="12" customHeight="1">
      <c r="A156" s="2122"/>
      <c r="B156" s="2125"/>
      <c r="C156" s="2162"/>
      <c r="D156" s="2162"/>
      <c r="E156" s="2162"/>
      <c r="F156" s="2162"/>
    </row>
    <row r="157" spans="1:6" ht="12" customHeight="1">
      <c r="A157" s="2122"/>
      <c r="B157" s="2125"/>
      <c r="C157" s="2162"/>
      <c r="D157" s="2162"/>
      <c r="E157" s="2162"/>
      <c r="F157" s="2162"/>
    </row>
    <row r="158" spans="1:6" ht="12" customHeight="1">
      <c r="A158" s="2122"/>
      <c r="B158" s="2125"/>
      <c r="C158" s="2162"/>
      <c r="D158" s="2162"/>
      <c r="E158" s="2162"/>
      <c r="F158" s="2162"/>
    </row>
    <row r="159" spans="1:6" ht="12" customHeight="1">
      <c r="A159" s="2122"/>
      <c r="B159" s="2125"/>
      <c r="C159" s="2162"/>
      <c r="D159" s="2162"/>
      <c r="E159" s="2162"/>
      <c r="F159" s="2162"/>
    </row>
    <row r="160" spans="1:6" ht="12" customHeight="1">
      <c r="A160" s="2122"/>
      <c r="B160" s="2125"/>
      <c r="C160" s="2162"/>
      <c r="D160" s="2162"/>
      <c r="E160" s="2162"/>
      <c r="F160" s="2162"/>
    </row>
    <row r="161" spans="1:6" ht="12" customHeight="1">
      <c r="A161" s="2122"/>
      <c r="B161" s="2125"/>
      <c r="C161" s="2162"/>
      <c r="D161" s="2162"/>
      <c r="E161" s="2162"/>
      <c r="F161" s="2162"/>
    </row>
    <row r="162" spans="1:6" ht="12" customHeight="1">
      <c r="A162" s="2122"/>
      <c r="B162" s="2125"/>
      <c r="C162" s="2162"/>
      <c r="D162" s="2162"/>
      <c r="E162" s="2162"/>
      <c r="F162" s="2162"/>
    </row>
    <row r="163" spans="1:6" ht="12" customHeight="1">
      <c r="A163" s="2122"/>
      <c r="B163" s="2125"/>
      <c r="C163" s="2162"/>
      <c r="D163" s="2162"/>
      <c r="E163" s="2162"/>
      <c r="F163" s="2162"/>
    </row>
    <row r="164" spans="1:6" ht="12" customHeight="1">
      <c r="A164" s="2122"/>
      <c r="B164" s="2125"/>
      <c r="C164" s="2162"/>
      <c r="D164" s="2162"/>
      <c r="E164" s="2162"/>
      <c r="F164" s="2162"/>
    </row>
    <row r="165" spans="1:6" ht="12" customHeight="1">
      <c r="A165" s="2122"/>
      <c r="B165" s="2125"/>
      <c r="C165" s="2162"/>
      <c r="D165" s="2162"/>
      <c r="E165" s="2162"/>
      <c r="F165" s="2162"/>
    </row>
    <row r="166" spans="1:6" ht="12" customHeight="1">
      <c r="A166" s="2122"/>
      <c r="B166" s="2125"/>
      <c r="C166" s="2162"/>
      <c r="D166" s="2162"/>
      <c r="E166" s="2162"/>
      <c r="F166" s="2162"/>
    </row>
    <row r="167" spans="1:6" ht="12" customHeight="1">
      <c r="A167" s="2122"/>
      <c r="B167" s="2125"/>
      <c r="C167" s="2162"/>
      <c r="D167" s="2162"/>
      <c r="E167" s="2162"/>
      <c r="F167" s="2162"/>
    </row>
    <row r="168" spans="1:6" ht="12" customHeight="1">
      <c r="A168" s="2122"/>
      <c r="B168" s="2125"/>
      <c r="C168" s="2162"/>
      <c r="D168" s="2162"/>
      <c r="E168" s="2162"/>
      <c r="F168" s="2162"/>
    </row>
    <row r="169" spans="1:6" ht="12" customHeight="1">
      <c r="A169" s="2122"/>
      <c r="B169" s="2125"/>
      <c r="C169" s="2162"/>
      <c r="D169" s="2162"/>
      <c r="E169" s="2162"/>
      <c r="F169" s="2162"/>
    </row>
    <row r="170" spans="1:6" ht="12" customHeight="1">
      <c r="A170" s="2122"/>
      <c r="B170" s="2125"/>
      <c r="C170" s="2162"/>
      <c r="D170" s="2162"/>
      <c r="E170" s="2162"/>
      <c r="F170" s="2162"/>
    </row>
    <row r="171" spans="1:6" ht="12" customHeight="1">
      <c r="A171" s="2122"/>
      <c r="B171" s="2125"/>
      <c r="C171" s="2162"/>
      <c r="D171" s="2162"/>
      <c r="E171" s="2162"/>
      <c r="F171" s="2162"/>
    </row>
    <row r="172" spans="1:6" ht="12" customHeight="1">
      <c r="A172" s="2122"/>
      <c r="B172" s="2125"/>
      <c r="C172" s="2162"/>
      <c r="D172" s="2162"/>
      <c r="E172" s="2162"/>
      <c r="F172" s="2162"/>
    </row>
    <row r="173" spans="1:6" ht="12" customHeight="1">
      <c r="A173" s="2122"/>
      <c r="B173" s="2125"/>
      <c r="C173" s="2162"/>
      <c r="D173" s="2162"/>
      <c r="E173" s="2162"/>
      <c r="F173" s="2162"/>
    </row>
    <row r="174" spans="1:6" ht="12" customHeight="1">
      <c r="A174" s="2122"/>
      <c r="B174" s="2125"/>
      <c r="C174" s="2162"/>
      <c r="D174" s="2162"/>
      <c r="E174" s="2162"/>
      <c r="F174" s="2162"/>
    </row>
    <row r="175" spans="1:6" ht="12" customHeight="1">
      <c r="A175" s="2122"/>
      <c r="B175" s="2125"/>
      <c r="C175" s="2162"/>
      <c r="D175" s="2162"/>
      <c r="E175" s="2162"/>
      <c r="F175" s="2162"/>
    </row>
    <row r="176" spans="1:6" ht="12" customHeight="1">
      <c r="A176" s="2122"/>
      <c r="B176" s="2125"/>
      <c r="C176" s="2162"/>
      <c r="D176" s="2162"/>
      <c r="E176" s="2162"/>
      <c r="F176" s="2162"/>
    </row>
    <row r="177" spans="1:6" ht="12" customHeight="1">
      <c r="A177" s="2122"/>
      <c r="B177" s="2125"/>
      <c r="C177" s="2162"/>
      <c r="D177" s="2162"/>
      <c r="E177" s="2162"/>
      <c r="F177" s="2162"/>
    </row>
    <row r="178" spans="1:6" ht="12" customHeight="1">
      <c r="A178" s="2122"/>
      <c r="B178" s="2125"/>
      <c r="C178" s="2162"/>
      <c r="D178" s="2162"/>
      <c r="E178" s="2162"/>
      <c r="F178" s="2162"/>
    </row>
    <row r="179" spans="1:6" ht="12" customHeight="1">
      <c r="A179" s="2122"/>
      <c r="B179" s="2125"/>
      <c r="C179" s="2162"/>
      <c r="D179" s="2162"/>
      <c r="E179" s="2162"/>
      <c r="F179" s="2162"/>
    </row>
    <row r="180" spans="1:6" ht="12" customHeight="1">
      <c r="A180" s="2122"/>
      <c r="B180" s="2125"/>
      <c r="C180" s="2162"/>
      <c r="D180" s="2162"/>
      <c r="E180" s="2162"/>
      <c r="F180" s="2162"/>
    </row>
    <row r="181" spans="1:6" ht="12" customHeight="1">
      <c r="A181" s="2122"/>
      <c r="B181" s="2125"/>
      <c r="C181" s="2162"/>
      <c r="D181" s="2162"/>
      <c r="E181" s="2162"/>
      <c r="F181" s="2162"/>
    </row>
    <row r="182" spans="1:6" ht="12" customHeight="1">
      <c r="A182" s="2122"/>
      <c r="B182" s="2125"/>
      <c r="C182" s="2162"/>
      <c r="D182" s="2162"/>
      <c r="E182" s="2162"/>
      <c r="F182" s="2162"/>
    </row>
    <row r="183" spans="1:6" ht="12" customHeight="1">
      <c r="A183" s="2122"/>
      <c r="B183" s="2125"/>
      <c r="C183" s="2162"/>
      <c r="D183" s="2162"/>
      <c r="E183" s="2162"/>
      <c r="F183" s="2162"/>
    </row>
    <row r="184" spans="1:6" ht="12" customHeight="1">
      <c r="A184" s="2122"/>
      <c r="B184" s="2125"/>
      <c r="C184" s="2162"/>
      <c r="D184" s="2162"/>
      <c r="E184" s="2162"/>
      <c r="F184" s="2162"/>
    </row>
    <row r="185" spans="1:6" ht="12" customHeight="1">
      <c r="A185" s="2122"/>
      <c r="B185" s="2125"/>
      <c r="C185" s="2162"/>
      <c r="D185" s="2162"/>
      <c r="E185" s="2162"/>
      <c r="F185" s="2162"/>
    </row>
    <row r="186" spans="1:6" ht="12" customHeight="1">
      <c r="A186" s="2122"/>
      <c r="B186" s="2125"/>
      <c r="C186" s="2162"/>
      <c r="D186" s="2162"/>
      <c r="E186" s="2162"/>
      <c r="F186" s="2162"/>
    </row>
    <row r="187" spans="1:6" ht="12" customHeight="1">
      <c r="A187" s="2122"/>
      <c r="B187" s="2125"/>
      <c r="C187" s="2162"/>
      <c r="D187" s="2162"/>
      <c r="E187" s="2162"/>
      <c r="F187" s="2162"/>
    </row>
    <row r="188" spans="1:6" ht="12" customHeight="1">
      <c r="A188" s="2122"/>
      <c r="B188" s="2125"/>
      <c r="C188" s="2162"/>
      <c r="D188" s="2162"/>
      <c r="E188" s="2162"/>
      <c r="F188" s="2162"/>
    </row>
    <row r="189" spans="1:6" ht="12" customHeight="1">
      <c r="A189" s="2122"/>
      <c r="B189" s="2125"/>
      <c r="C189" s="2162"/>
      <c r="D189" s="2162"/>
      <c r="E189" s="2162"/>
      <c r="F189" s="2162"/>
    </row>
    <row r="190" spans="1:6" ht="12" customHeight="1">
      <c r="A190" s="2122"/>
      <c r="B190" s="2125"/>
      <c r="C190" s="2162"/>
      <c r="D190" s="2162"/>
      <c r="E190" s="2162"/>
      <c r="F190" s="2162"/>
    </row>
    <row r="191" spans="1:6" ht="12" customHeight="1">
      <c r="A191" s="2122"/>
      <c r="B191" s="2125"/>
      <c r="C191" s="2162"/>
      <c r="D191" s="2162"/>
      <c r="E191" s="2162"/>
      <c r="F191" s="2162"/>
    </row>
    <row r="192" spans="1:6" ht="12" customHeight="1">
      <c r="A192" s="2122"/>
      <c r="B192" s="2125"/>
      <c r="C192" s="2162"/>
      <c r="D192" s="2162"/>
      <c r="E192" s="2162"/>
      <c r="F192" s="2162"/>
    </row>
    <row r="193" spans="1:6" ht="12" customHeight="1">
      <c r="A193" s="2122"/>
      <c r="B193" s="2125"/>
      <c r="C193" s="2162"/>
      <c r="D193" s="2162"/>
      <c r="E193" s="2162"/>
      <c r="F193" s="2162"/>
    </row>
    <row r="194" spans="1:6" ht="12" customHeight="1">
      <c r="A194" s="2122"/>
      <c r="B194" s="2125"/>
      <c r="C194" s="2162"/>
      <c r="D194" s="2162"/>
      <c r="E194" s="2162"/>
      <c r="F194" s="2162"/>
    </row>
    <row r="195" spans="1:6" ht="12" customHeight="1">
      <c r="A195" s="2122"/>
      <c r="B195" s="2125"/>
      <c r="C195" s="2162"/>
      <c r="D195" s="2162"/>
      <c r="E195" s="2162"/>
      <c r="F195" s="2162"/>
    </row>
    <row r="196" spans="1:6" ht="12" customHeight="1">
      <c r="A196" s="2122"/>
      <c r="B196" s="2125"/>
      <c r="C196" s="2162"/>
      <c r="D196" s="2162"/>
      <c r="E196" s="2162"/>
      <c r="F196" s="2162"/>
    </row>
    <row r="197" spans="1:6" ht="12" customHeight="1">
      <c r="A197" s="2122"/>
      <c r="B197" s="2125"/>
      <c r="C197" s="2162"/>
      <c r="D197" s="2162"/>
      <c r="E197" s="2162"/>
      <c r="F197" s="2162"/>
    </row>
    <row r="198" spans="1:6" ht="12" customHeight="1">
      <c r="A198" s="2122"/>
      <c r="B198" s="2125"/>
      <c r="C198" s="2162"/>
      <c r="D198" s="2162"/>
      <c r="E198" s="2162"/>
      <c r="F198" s="2162"/>
    </row>
    <row r="199" spans="1:6" ht="12" customHeight="1">
      <c r="A199" s="2122"/>
      <c r="B199" s="2125"/>
      <c r="C199" s="2162"/>
      <c r="D199" s="2162"/>
      <c r="E199" s="2162"/>
      <c r="F199" s="2162"/>
    </row>
    <row r="200" spans="1:6" ht="12" customHeight="1">
      <c r="A200" s="2122"/>
      <c r="B200" s="2125"/>
      <c r="C200" s="2162"/>
      <c r="D200" s="2162"/>
      <c r="E200" s="2162"/>
      <c r="F200" s="2162"/>
    </row>
    <row r="201" spans="1:6" ht="12" customHeight="1">
      <c r="A201" s="2122"/>
      <c r="B201" s="2125"/>
      <c r="C201" s="2162"/>
      <c r="D201" s="2162"/>
      <c r="E201" s="2162"/>
      <c r="F201" s="2162"/>
    </row>
    <row r="202" spans="1:6" ht="12" customHeight="1">
      <c r="A202" s="2122"/>
      <c r="B202" s="2125"/>
      <c r="C202" s="2162"/>
      <c r="D202" s="2162"/>
      <c r="E202" s="2162"/>
      <c r="F202" s="2162"/>
    </row>
    <row r="203" spans="1:6" ht="12" customHeight="1">
      <c r="A203" s="2122"/>
      <c r="B203" s="2125"/>
      <c r="C203" s="2162"/>
      <c r="D203" s="2162"/>
      <c r="E203" s="2162"/>
      <c r="F203" s="2162"/>
    </row>
    <row r="204" spans="1:6" ht="12" customHeight="1">
      <c r="A204" s="2122"/>
      <c r="B204" s="2125"/>
      <c r="C204" s="2162"/>
      <c r="D204" s="2162"/>
      <c r="E204" s="2162"/>
      <c r="F204" s="2162"/>
    </row>
    <row r="205" spans="1:6" ht="12" customHeight="1">
      <c r="A205" s="2122"/>
      <c r="B205" s="2125"/>
      <c r="C205" s="2162"/>
      <c r="D205" s="2162"/>
      <c r="E205" s="2162"/>
      <c r="F205" s="2162"/>
    </row>
    <row r="206" spans="1:6" ht="12" customHeight="1">
      <c r="A206" s="2122"/>
      <c r="B206" s="2125"/>
      <c r="C206" s="2162"/>
      <c r="D206" s="2162"/>
      <c r="E206" s="2162"/>
      <c r="F206" s="2162"/>
    </row>
    <row r="207" spans="1:6" ht="12" customHeight="1">
      <c r="A207" s="2122"/>
      <c r="B207" s="2125"/>
      <c r="C207" s="2162"/>
      <c r="D207" s="2162"/>
      <c r="E207" s="2162"/>
      <c r="F207" s="2162"/>
    </row>
    <row r="208" spans="1:6" ht="12" customHeight="1">
      <c r="A208" s="2122"/>
      <c r="B208" s="2125"/>
      <c r="C208" s="2162"/>
      <c r="D208" s="2162"/>
      <c r="E208" s="2162"/>
      <c r="F208" s="2162"/>
    </row>
    <row r="209" spans="1:6" ht="12" customHeight="1">
      <c r="A209" s="2122"/>
      <c r="B209" s="2125"/>
      <c r="C209" s="2162"/>
      <c r="D209" s="2162"/>
      <c r="E209" s="2162"/>
      <c r="F209" s="2162"/>
    </row>
    <row r="210" spans="1:6" ht="12" customHeight="1">
      <c r="A210" s="2122"/>
      <c r="B210" s="2125"/>
      <c r="C210" s="2162"/>
      <c r="D210" s="2162"/>
      <c r="E210" s="2162"/>
      <c r="F210" s="2162"/>
    </row>
    <row r="211" spans="1:6" ht="12" customHeight="1">
      <c r="A211" s="2122"/>
      <c r="B211" s="2125"/>
      <c r="C211" s="2162"/>
      <c r="D211" s="2162"/>
      <c r="E211" s="2162"/>
      <c r="F211" s="2162"/>
    </row>
    <row r="212" spans="1:6" ht="12" customHeight="1">
      <c r="A212" s="2122"/>
      <c r="B212" s="2125"/>
      <c r="C212" s="2162"/>
      <c r="D212" s="2162"/>
      <c r="E212" s="2162"/>
      <c r="F212" s="2162"/>
    </row>
    <row r="213" spans="1:6" ht="12" customHeight="1">
      <c r="A213" s="2122"/>
      <c r="B213" s="2125"/>
      <c r="C213" s="2162"/>
      <c r="D213" s="2162"/>
      <c r="E213" s="2162"/>
      <c r="F213" s="2162"/>
    </row>
    <row r="214" spans="1:6" ht="12" customHeight="1">
      <c r="A214" s="2122"/>
      <c r="B214" s="2125"/>
      <c r="C214" s="2162"/>
      <c r="D214" s="2162"/>
      <c r="E214" s="2162"/>
      <c r="F214" s="2162"/>
    </row>
    <row r="215" spans="1:6" ht="12" customHeight="1">
      <c r="A215" s="2122"/>
      <c r="B215" s="2125"/>
      <c r="C215" s="2162"/>
      <c r="D215" s="2162"/>
      <c r="E215" s="2162"/>
      <c r="F215" s="2162"/>
    </row>
    <row r="216" spans="1:6" ht="12" customHeight="1">
      <c r="A216" s="2122"/>
      <c r="B216" s="2125"/>
      <c r="C216" s="2162"/>
      <c r="D216" s="2162"/>
      <c r="E216" s="2162"/>
      <c r="F216" s="2162"/>
    </row>
    <row r="217" spans="1:6" ht="12" customHeight="1">
      <c r="A217" s="2122"/>
      <c r="B217" s="2125"/>
      <c r="C217" s="2162"/>
      <c r="D217" s="2162"/>
      <c r="E217" s="2162"/>
      <c r="F217" s="2162"/>
    </row>
    <row r="218" spans="1:6" ht="12" customHeight="1">
      <c r="A218" s="2122"/>
      <c r="B218" s="2125"/>
      <c r="C218" s="2162"/>
      <c r="D218" s="2162"/>
      <c r="E218" s="2162"/>
      <c r="F218" s="2162"/>
    </row>
    <row r="219" spans="1:6" ht="12" customHeight="1">
      <c r="A219" s="2122"/>
      <c r="B219" s="2125"/>
      <c r="C219" s="2162"/>
      <c r="D219" s="2162"/>
      <c r="E219" s="2162"/>
      <c r="F219" s="2162"/>
    </row>
    <row r="220" spans="1:6" ht="12" customHeight="1">
      <c r="A220" s="2122"/>
      <c r="B220" s="2125"/>
      <c r="C220" s="2162"/>
      <c r="D220" s="2162"/>
      <c r="E220" s="2162"/>
      <c r="F220" s="2162"/>
    </row>
    <row r="221" spans="1:6" ht="12" customHeight="1">
      <c r="A221" s="2122"/>
      <c r="B221" s="2125"/>
      <c r="C221" s="2162"/>
      <c r="D221" s="2162"/>
      <c r="E221" s="2162"/>
      <c r="F221" s="2162"/>
    </row>
    <row r="222" spans="1:6" ht="12" customHeight="1">
      <c r="A222" s="2122"/>
      <c r="B222" s="2125"/>
      <c r="C222" s="2162"/>
      <c r="D222" s="2162"/>
      <c r="E222" s="2162"/>
      <c r="F222" s="2162"/>
    </row>
    <row r="223" spans="1:6" ht="12" customHeight="1">
      <c r="A223" s="2122"/>
      <c r="B223" s="2125"/>
      <c r="C223" s="2162"/>
      <c r="D223" s="2162"/>
      <c r="E223" s="2162"/>
      <c r="F223" s="2162"/>
    </row>
    <row r="224" spans="1:6" ht="12" customHeight="1">
      <c r="A224" s="2122"/>
      <c r="B224" s="2125"/>
      <c r="C224" s="2162"/>
      <c r="D224" s="2162"/>
      <c r="E224" s="2162"/>
      <c r="F224" s="2162"/>
    </row>
    <row r="225" spans="1:6" ht="12" customHeight="1">
      <c r="A225" s="2122"/>
      <c r="B225" s="2125"/>
      <c r="C225" s="2162"/>
      <c r="D225" s="2162"/>
      <c r="E225" s="2162"/>
      <c r="F225" s="2162"/>
    </row>
    <row r="226" spans="1:6" ht="12" customHeight="1">
      <c r="A226" s="2122"/>
      <c r="B226" s="2125"/>
      <c r="C226" s="2162"/>
      <c r="D226" s="2162"/>
      <c r="E226" s="2162"/>
      <c r="F226" s="2162"/>
    </row>
    <row r="227" spans="1:6" ht="12" customHeight="1">
      <c r="A227" s="2122"/>
      <c r="B227" s="2125"/>
      <c r="C227" s="2162"/>
      <c r="D227" s="2162"/>
      <c r="E227" s="2162"/>
      <c r="F227" s="2162"/>
    </row>
    <row r="228" spans="1:6" ht="12" customHeight="1">
      <c r="A228" s="2122"/>
      <c r="B228" s="2125"/>
      <c r="C228" s="2162"/>
      <c r="D228" s="2162"/>
      <c r="E228" s="2162"/>
      <c r="F228" s="2162"/>
    </row>
    <row r="229" spans="1:6" ht="12" customHeight="1">
      <c r="A229" s="2122"/>
      <c r="B229" s="2125"/>
      <c r="C229" s="2162"/>
      <c r="D229" s="2162"/>
      <c r="E229" s="2162"/>
      <c r="F229" s="2162"/>
    </row>
    <row r="230" spans="1:6" ht="12" customHeight="1">
      <c r="A230" s="2122"/>
      <c r="B230" s="2125"/>
      <c r="C230" s="2162"/>
      <c r="D230" s="2162"/>
      <c r="E230" s="2162"/>
      <c r="F230" s="2162"/>
    </row>
    <row r="231" spans="1:6" ht="12" customHeight="1">
      <c r="A231" s="2122"/>
      <c r="B231" s="2125"/>
      <c r="C231" s="2162"/>
      <c r="D231" s="2162"/>
      <c r="E231" s="2162"/>
      <c r="F231" s="2162"/>
    </row>
    <row r="232" spans="1:6" ht="12" customHeight="1">
      <c r="A232" s="2122"/>
      <c r="B232" s="2125"/>
      <c r="C232" s="2162"/>
      <c r="D232" s="2162"/>
      <c r="E232" s="2162"/>
      <c r="F232" s="2162"/>
    </row>
    <row r="233" spans="1:6" ht="12" customHeight="1">
      <c r="A233" s="2122"/>
      <c r="B233" s="2125"/>
      <c r="C233" s="2162"/>
      <c r="D233" s="2162"/>
      <c r="E233" s="2162"/>
      <c r="F233" s="2162"/>
    </row>
    <row r="234" spans="1:6" ht="12" customHeight="1">
      <c r="A234" s="2122"/>
      <c r="B234" s="2125"/>
      <c r="C234" s="2162"/>
      <c r="D234" s="2162"/>
      <c r="E234" s="2162"/>
      <c r="F234" s="2162"/>
    </row>
    <row r="235" spans="1:6" ht="12" customHeight="1">
      <c r="A235" s="2122"/>
      <c r="B235" s="2125"/>
      <c r="C235" s="2162"/>
      <c r="D235" s="2162"/>
      <c r="E235" s="2162"/>
      <c r="F235" s="2162"/>
    </row>
    <row r="236" spans="1:6" ht="12" customHeight="1">
      <c r="A236" s="2122"/>
      <c r="B236" s="2125"/>
      <c r="C236" s="2162"/>
      <c r="D236" s="2162"/>
      <c r="E236" s="2162"/>
      <c r="F236" s="2162"/>
    </row>
    <row r="237" spans="1:6" ht="12" customHeight="1">
      <c r="A237" s="2122"/>
      <c r="B237" s="2125"/>
      <c r="C237" s="2162"/>
      <c r="D237" s="2162"/>
      <c r="E237" s="2162"/>
      <c r="F237" s="2162"/>
    </row>
    <row r="238" spans="1:6" ht="12" customHeight="1">
      <c r="A238" s="2122"/>
      <c r="B238" s="2125"/>
      <c r="C238" s="2162"/>
      <c r="D238" s="2162"/>
      <c r="E238" s="2162"/>
      <c r="F238" s="2162"/>
    </row>
    <row r="239" spans="1:6" ht="12" customHeight="1">
      <c r="A239" s="2122"/>
      <c r="B239" s="2125"/>
      <c r="C239" s="2162"/>
      <c r="D239" s="2162"/>
      <c r="E239" s="2162"/>
      <c r="F239" s="2162"/>
    </row>
    <row r="240" spans="1:6" ht="12" customHeight="1">
      <c r="A240" s="2122"/>
      <c r="B240" s="2125"/>
      <c r="C240" s="2162"/>
      <c r="D240" s="2162"/>
      <c r="E240" s="2162"/>
      <c r="F240" s="2162"/>
    </row>
    <row r="241" spans="1:6" ht="12" customHeight="1">
      <c r="A241" s="2122"/>
      <c r="B241" s="2125"/>
      <c r="C241" s="2162"/>
      <c r="D241" s="2162"/>
      <c r="E241" s="2162"/>
      <c r="F241" s="2162"/>
    </row>
    <row r="242" spans="1:6" ht="12" customHeight="1">
      <c r="A242" s="2122"/>
      <c r="B242" s="2125"/>
      <c r="C242" s="2162"/>
      <c r="D242" s="2162"/>
      <c r="E242" s="2162"/>
      <c r="F242" s="2162"/>
    </row>
    <row r="243" spans="1:6" ht="12" customHeight="1">
      <c r="A243" s="2122"/>
      <c r="B243" s="2125"/>
      <c r="C243" s="2162"/>
      <c r="D243" s="2162"/>
      <c r="E243" s="2162"/>
      <c r="F243" s="2162"/>
    </row>
    <row r="244" spans="1:6" ht="12" customHeight="1">
      <c r="A244" s="2122"/>
      <c r="B244" s="2125"/>
      <c r="C244" s="2162"/>
      <c r="D244" s="2162"/>
      <c r="E244" s="2162"/>
      <c r="F244" s="2162"/>
    </row>
    <row r="245" spans="1:6" ht="12" customHeight="1">
      <c r="A245" s="2122"/>
      <c r="B245" s="2125"/>
      <c r="C245" s="2162"/>
      <c r="D245" s="2162"/>
      <c r="E245" s="2162"/>
      <c r="F245" s="2162"/>
    </row>
    <row r="246" spans="1:6" ht="12" customHeight="1">
      <c r="A246" s="2122"/>
      <c r="B246" s="2125"/>
      <c r="C246" s="2162"/>
      <c r="D246" s="2162"/>
      <c r="E246" s="2162"/>
      <c r="F246" s="2162"/>
    </row>
    <row r="247" spans="1:6" ht="12" customHeight="1">
      <c r="A247" s="2122"/>
      <c r="B247" s="2125"/>
      <c r="C247" s="2162"/>
      <c r="D247" s="2162"/>
      <c r="E247" s="2162"/>
      <c r="F247" s="2162"/>
    </row>
    <row r="248" spans="1:6" ht="12" customHeight="1">
      <c r="A248" s="2122"/>
      <c r="B248" s="2125"/>
      <c r="C248" s="2162"/>
      <c r="D248" s="2162"/>
      <c r="E248" s="2162"/>
      <c r="F248" s="2162"/>
    </row>
    <row r="249" spans="1:6" ht="12" customHeight="1">
      <c r="A249" s="2122"/>
      <c r="B249" s="2125"/>
      <c r="C249" s="2162"/>
      <c r="D249" s="2162"/>
      <c r="E249" s="2162"/>
      <c r="F249" s="2162"/>
    </row>
    <row r="250" spans="1:6" ht="12" customHeight="1">
      <c r="A250" s="2122"/>
      <c r="B250" s="2125"/>
      <c r="C250" s="2162"/>
      <c r="D250" s="2162"/>
      <c r="E250" s="2162"/>
      <c r="F250" s="2162"/>
    </row>
    <row r="251" spans="1:6" ht="12" customHeight="1">
      <c r="A251" s="2122"/>
      <c r="B251" s="2125"/>
      <c r="C251" s="2162"/>
      <c r="D251" s="2162"/>
      <c r="E251" s="2162"/>
      <c r="F251" s="2162"/>
    </row>
    <row r="252" spans="1:6" ht="12" customHeight="1">
      <c r="A252" s="2122"/>
      <c r="B252" s="2125"/>
      <c r="C252" s="2162"/>
      <c r="D252" s="2162"/>
      <c r="E252" s="2162"/>
      <c r="F252" s="2162"/>
    </row>
    <row r="253" spans="1:6" ht="12" customHeight="1">
      <c r="A253" s="2122"/>
      <c r="B253" s="2125"/>
      <c r="C253" s="2162"/>
      <c r="D253" s="2162"/>
      <c r="E253" s="2162"/>
      <c r="F253" s="2162"/>
    </row>
    <row r="254" spans="1:6" ht="12" customHeight="1">
      <c r="A254" s="2122"/>
      <c r="B254" s="2125"/>
      <c r="C254" s="2162"/>
      <c r="D254" s="2162"/>
      <c r="E254" s="2162"/>
      <c r="F254" s="2162"/>
    </row>
    <row r="255" spans="1:6" ht="12" customHeight="1">
      <c r="A255" s="2122"/>
      <c r="B255" s="2125"/>
      <c r="C255" s="2162"/>
      <c r="D255" s="2162"/>
      <c r="E255" s="2162"/>
      <c r="F255" s="2162"/>
    </row>
    <row r="256" spans="1:6" ht="12" customHeight="1">
      <c r="A256" s="2122"/>
      <c r="B256" s="2125"/>
      <c r="C256" s="2162"/>
      <c r="D256" s="2162"/>
      <c r="E256" s="2162"/>
      <c r="F256" s="2162"/>
    </row>
    <row r="257" spans="1:6" ht="12" customHeight="1">
      <c r="A257" s="2122"/>
      <c r="B257" s="2125"/>
      <c r="C257" s="2162"/>
      <c r="D257" s="2162"/>
      <c r="E257" s="2162"/>
      <c r="F257" s="2162"/>
    </row>
    <row r="258" spans="1:6" ht="12" customHeight="1">
      <c r="A258" s="2122"/>
      <c r="B258" s="2125"/>
      <c r="C258" s="2162"/>
      <c r="D258" s="2162"/>
      <c r="E258" s="2162"/>
      <c r="F258" s="2162"/>
    </row>
    <row r="259" spans="1:6" ht="12" customHeight="1">
      <c r="A259" s="2122"/>
      <c r="B259" s="2125"/>
      <c r="C259" s="2162"/>
      <c r="D259" s="2162"/>
      <c r="E259" s="2162"/>
      <c r="F259" s="2162"/>
    </row>
    <row r="260" spans="1:6" ht="12" customHeight="1">
      <c r="A260" s="2122"/>
      <c r="B260" s="2125"/>
      <c r="C260" s="2162"/>
      <c r="D260" s="2162"/>
      <c r="E260" s="2162"/>
      <c r="F260" s="2162"/>
    </row>
    <row r="261" spans="1:6" ht="12" customHeight="1">
      <c r="A261" s="2122"/>
      <c r="B261" s="2125"/>
      <c r="C261" s="2162"/>
      <c r="D261" s="2162"/>
      <c r="E261" s="2162"/>
      <c r="F261" s="2162"/>
    </row>
    <row r="262" spans="1:6" ht="12" customHeight="1">
      <c r="A262" s="2122"/>
      <c r="B262" s="2125"/>
      <c r="C262" s="2162"/>
      <c r="D262" s="2162"/>
      <c r="E262" s="2162"/>
      <c r="F262" s="2162"/>
    </row>
    <row r="263" spans="1:6" ht="12" customHeight="1">
      <c r="A263" s="2122"/>
      <c r="B263" s="2125"/>
      <c r="C263" s="2162"/>
      <c r="D263" s="2162"/>
      <c r="E263" s="2162"/>
      <c r="F263" s="2162"/>
    </row>
    <row r="264" spans="1:6" ht="12" customHeight="1">
      <c r="A264" s="2122"/>
      <c r="B264" s="2125"/>
      <c r="C264" s="2162"/>
      <c r="D264" s="2162"/>
      <c r="E264" s="2162"/>
      <c r="F264" s="2162"/>
    </row>
    <row r="265" spans="1:6" ht="12" customHeight="1">
      <c r="A265" s="2122"/>
      <c r="B265" s="2125"/>
      <c r="C265" s="2162"/>
      <c r="D265" s="2162"/>
      <c r="E265" s="2162"/>
      <c r="F265" s="2162"/>
    </row>
    <row r="266" spans="1:6" ht="12" customHeight="1">
      <c r="A266" s="2122"/>
      <c r="B266" s="2125"/>
      <c r="C266" s="2162"/>
      <c r="D266" s="2162"/>
      <c r="E266" s="2162"/>
      <c r="F266" s="2162"/>
    </row>
    <row r="267" spans="1:6" ht="12" customHeight="1">
      <c r="A267" s="2122"/>
      <c r="B267" s="2125"/>
      <c r="C267" s="2162"/>
      <c r="D267" s="2162"/>
      <c r="E267" s="2162"/>
      <c r="F267" s="2162"/>
    </row>
    <row r="268" spans="1:6" ht="12" customHeight="1">
      <c r="A268" s="2122"/>
      <c r="B268" s="2125"/>
      <c r="C268" s="2162"/>
      <c r="D268" s="2162"/>
      <c r="E268" s="2162"/>
      <c r="F268" s="2162"/>
    </row>
    <row r="269" spans="1:6" ht="12" customHeight="1">
      <c r="A269" s="2122"/>
      <c r="B269" s="2125"/>
      <c r="C269" s="2162"/>
      <c r="D269" s="2162"/>
      <c r="E269" s="2162"/>
      <c r="F269" s="2162"/>
    </row>
    <row r="270" spans="1:6" ht="12" customHeight="1">
      <c r="A270" s="2122"/>
      <c r="B270" s="2125"/>
      <c r="C270" s="2162"/>
      <c r="D270" s="2162"/>
      <c r="E270" s="2162"/>
      <c r="F270" s="2162"/>
    </row>
    <row r="271" spans="1:6" ht="12" customHeight="1">
      <c r="A271" s="2122"/>
      <c r="B271" s="2125"/>
      <c r="C271" s="2162"/>
      <c r="D271" s="2162"/>
      <c r="E271" s="2162"/>
      <c r="F271" s="2162"/>
    </row>
    <row r="272" spans="1:6" ht="12" customHeight="1">
      <c r="A272" s="2122"/>
      <c r="B272" s="2125"/>
      <c r="C272" s="2162"/>
      <c r="D272" s="2162"/>
      <c r="E272" s="2162"/>
      <c r="F272" s="2162"/>
    </row>
    <row r="273" spans="1:6" ht="12" customHeight="1">
      <c r="A273" s="2122"/>
      <c r="B273" s="2125"/>
      <c r="C273" s="2162"/>
      <c r="D273" s="2162"/>
      <c r="E273" s="2162"/>
      <c r="F273" s="2162"/>
    </row>
    <row r="274" spans="1:6" ht="12" customHeight="1">
      <c r="A274" s="2122"/>
      <c r="B274" s="2125"/>
      <c r="C274" s="2162"/>
      <c r="D274" s="2162"/>
      <c r="E274" s="2162"/>
      <c r="F274" s="2162"/>
    </row>
    <row r="275" spans="1:6" ht="12" customHeight="1">
      <c r="A275" s="2122"/>
      <c r="B275" s="2125"/>
      <c r="C275" s="2162"/>
      <c r="D275" s="2162"/>
      <c r="E275" s="2162"/>
      <c r="F275" s="2162"/>
    </row>
    <row r="276" spans="1:6" ht="12" customHeight="1">
      <c r="A276" s="2122"/>
      <c r="B276" s="2125"/>
      <c r="C276" s="2162"/>
      <c r="D276" s="2162"/>
      <c r="E276" s="2162"/>
      <c r="F276" s="2162"/>
    </row>
    <row r="277" spans="1:6" ht="12" customHeight="1">
      <c r="A277" s="2122"/>
      <c r="B277" s="2125"/>
      <c r="C277" s="2162"/>
      <c r="D277" s="2162"/>
      <c r="E277" s="2162"/>
      <c r="F277" s="2162"/>
    </row>
    <row r="278" spans="1:6" ht="12" customHeight="1">
      <c r="A278" s="2122"/>
      <c r="B278" s="2125"/>
      <c r="C278" s="2162"/>
      <c r="D278" s="2162"/>
      <c r="E278" s="2162"/>
      <c r="F278" s="2162"/>
    </row>
    <row r="279" spans="1:6" ht="12" customHeight="1">
      <c r="A279" s="2122"/>
      <c r="B279" s="2125"/>
      <c r="C279" s="2162"/>
      <c r="D279" s="2162"/>
      <c r="E279" s="2162"/>
      <c r="F279" s="2162"/>
    </row>
    <row r="280" spans="1:6" ht="12" customHeight="1">
      <c r="A280" s="2122"/>
      <c r="B280" s="2125"/>
      <c r="C280" s="2162"/>
      <c r="D280" s="2162"/>
      <c r="E280" s="2162"/>
      <c r="F280" s="2162"/>
    </row>
    <row r="281" spans="1:6" ht="12" customHeight="1">
      <c r="A281" s="2122"/>
      <c r="B281" s="2125"/>
      <c r="C281" s="2162"/>
      <c r="D281" s="2162"/>
      <c r="E281" s="2162"/>
      <c r="F281" s="2162"/>
    </row>
    <row r="282" spans="1:6" ht="12" customHeight="1">
      <c r="A282" s="2122"/>
      <c r="B282" s="2125"/>
      <c r="C282" s="2162"/>
      <c r="D282" s="2162"/>
      <c r="E282" s="2162"/>
      <c r="F282" s="2162"/>
    </row>
    <row r="283" spans="1:6" ht="12" customHeight="1">
      <c r="A283" s="2122"/>
      <c r="B283" s="2125"/>
      <c r="C283" s="2162"/>
      <c r="D283" s="2162"/>
      <c r="E283" s="2162"/>
      <c r="F283" s="2162"/>
    </row>
    <row r="284" spans="1:6" ht="12" customHeight="1">
      <c r="A284" s="2122"/>
      <c r="B284" s="2125"/>
      <c r="C284" s="2162"/>
      <c r="D284" s="2162"/>
      <c r="E284" s="2162"/>
      <c r="F284" s="2162"/>
    </row>
    <row r="285" spans="1:6" ht="12" customHeight="1">
      <c r="A285" s="2122"/>
      <c r="B285" s="2125"/>
      <c r="C285" s="2162"/>
      <c r="D285" s="2162"/>
      <c r="E285" s="2162"/>
      <c r="F285" s="2162"/>
    </row>
    <row r="286" spans="1:6" ht="12" customHeight="1">
      <c r="A286" s="2122"/>
      <c r="B286" s="2125"/>
      <c r="C286" s="2162"/>
      <c r="D286" s="2162"/>
      <c r="E286" s="2162"/>
      <c r="F286" s="2162"/>
    </row>
    <row r="287" spans="1:6" ht="12" customHeight="1">
      <c r="A287" s="2122"/>
      <c r="B287" s="2125"/>
      <c r="C287" s="2162"/>
      <c r="D287" s="2162"/>
      <c r="E287" s="2162"/>
      <c r="F287" s="2162"/>
    </row>
    <row r="288" spans="1:6" ht="12" customHeight="1">
      <c r="A288" s="2122"/>
      <c r="B288" s="2125"/>
      <c r="C288" s="2162"/>
      <c r="D288" s="2162"/>
      <c r="E288" s="2162"/>
      <c r="F288" s="2162"/>
    </row>
    <row r="289" spans="1:6" ht="12" customHeight="1">
      <c r="A289" s="2122"/>
      <c r="B289" s="2125"/>
      <c r="C289" s="2162"/>
      <c r="D289" s="2162"/>
      <c r="E289" s="2162"/>
      <c r="F289" s="2162"/>
    </row>
    <row r="290" spans="1:6" ht="12" customHeight="1">
      <c r="A290" s="2122"/>
      <c r="B290" s="2125"/>
      <c r="C290" s="2162"/>
      <c r="D290" s="2162"/>
      <c r="E290" s="2162"/>
      <c r="F290" s="2162"/>
    </row>
    <row r="291" spans="1:6" ht="12" customHeight="1">
      <c r="A291" s="2122"/>
      <c r="B291" s="2125"/>
      <c r="C291" s="2162"/>
      <c r="D291" s="2162"/>
      <c r="E291" s="2162"/>
      <c r="F291" s="2162"/>
    </row>
    <row r="292" spans="1:6" ht="12" customHeight="1">
      <c r="A292" s="2122"/>
      <c r="B292" s="2125"/>
      <c r="C292" s="2162"/>
      <c r="D292" s="2162"/>
      <c r="E292" s="2162"/>
      <c r="F292" s="2162"/>
    </row>
    <row r="293" spans="1:6" ht="12" customHeight="1">
      <c r="A293" s="2122"/>
      <c r="B293" s="2125"/>
      <c r="C293" s="2162"/>
      <c r="D293" s="2162"/>
      <c r="E293" s="2162"/>
      <c r="F293" s="2162"/>
    </row>
    <row r="294" spans="1:6" ht="12" customHeight="1">
      <c r="A294" s="2122"/>
      <c r="B294" s="2125"/>
      <c r="C294" s="2162"/>
      <c r="D294" s="2162"/>
      <c r="E294" s="2162"/>
      <c r="F294" s="2162"/>
    </row>
    <row r="295" spans="1:6" ht="12" customHeight="1">
      <c r="A295" s="2122"/>
      <c r="B295" s="2125"/>
      <c r="C295" s="2162"/>
      <c r="D295" s="2162"/>
      <c r="E295" s="2162"/>
      <c r="F295" s="2162"/>
    </row>
    <row r="296" spans="1:6" ht="12" customHeight="1">
      <c r="A296" s="2122"/>
      <c r="B296" s="2125"/>
      <c r="C296" s="2162"/>
      <c r="D296" s="2162"/>
      <c r="E296" s="2162"/>
      <c r="F296" s="2162"/>
    </row>
    <row r="297" spans="1:6" ht="12" customHeight="1">
      <c r="A297" s="2122"/>
      <c r="B297" s="2125"/>
      <c r="C297" s="2162"/>
      <c r="D297" s="2162"/>
      <c r="E297" s="2162"/>
      <c r="F297" s="2162"/>
    </row>
    <row r="298" spans="1:6" ht="12" customHeight="1">
      <c r="A298" s="2122"/>
      <c r="B298" s="2125"/>
      <c r="C298" s="2162"/>
      <c r="D298" s="2162"/>
      <c r="E298" s="2162"/>
      <c r="F298" s="2162"/>
    </row>
    <row r="299" spans="1:6" ht="12" customHeight="1">
      <c r="A299" s="2122"/>
      <c r="B299" s="2125"/>
      <c r="C299" s="2162"/>
      <c r="D299" s="2162"/>
      <c r="E299" s="2162"/>
      <c r="F299" s="2162"/>
    </row>
    <row r="300" spans="1:6" ht="12" customHeight="1">
      <c r="A300" s="2122"/>
      <c r="B300" s="2125"/>
      <c r="C300" s="2162"/>
      <c r="D300" s="2162"/>
      <c r="E300" s="2162"/>
      <c r="F300" s="2162"/>
    </row>
    <row r="301" spans="1:6" ht="12" customHeight="1">
      <c r="A301" s="2122"/>
      <c r="B301" s="2125"/>
      <c r="C301" s="2162"/>
      <c r="D301" s="2162"/>
      <c r="E301" s="2162"/>
      <c r="F301" s="2162"/>
    </row>
    <row r="302" spans="1:6" ht="12" customHeight="1">
      <c r="A302" s="2122"/>
      <c r="B302" s="2125"/>
      <c r="C302" s="2162"/>
      <c r="D302" s="2162"/>
      <c r="E302" s="2162"/>
      <c r="F302" s="2162"/>
    </row>
    <row r="303" spans="1:6" ht="12" customHeight="1">
      <c r="A303" s="2122"/>
      <c r="B303" s="2125"/>
      <c r="C303" s="2162"/>
      <c r="D303" s="2162"/>
      <c r="E303" s="2162"/>
      <c r="F303" s="2162"/>
    </row>
    <row r="304" spans="1:6" ht="12" customHeight="1">
      <c r="A304" s="2122"/>
      <c r="B304" s="2125"/>
      <c r="C304" s="2162"/>
      <c r="D304" s="2162"/>
      <c r="E304" s="2162"/>
      <c r="F304" s="2162"/>
    </row>
    <row r="305" spans="1:6" ht="12" customHeight="1">
      <c r="A305" s="2122"/>
      <c r="B305" s="2125"/>
      <c r="C305" s="2162"/>
      <c r="D305" s="2162"/>
      <c r="E305" s="2162"/>
      <c r="F305" s="2162"/>
    </row>
    <row r="306" spans="1:6" ht="12" customHeight="1">
      <c r="A306" s="2122"/>
      <c r="B306" s="2125"/>
      <c r="C306" s="2162"/>
      <c r="D306" s="2162"/>
      <c r="E306" s="2162"/>
      <c r="F306" s="2162"/>
    </row>
    <row r="307" spans="1:6" ht="12" customHeight="1">
      <c r="A307" s="2122"/>
      <c r="B307" s="2125"/>
      <c r="C307" s="2162"/>
      <c r="D307" s="2162"/>
      <c r="E307" s="2162"/>
      <c r="F307" s="2162"/>
    </row>
    <row r="308" spans="1:6" ht="12" customHeight="1">
      <c r="A308" s="2122"/>
      <c r="B308" s="2125"/>
      <c r="C308" s="2162"/>
      <c r="D308" s="2162"/>
      <c r="E308" s="2162"/>
      <c r="F308" s="2162"/>
    </row>
  </sheetData>
  <sheetProtection algorithmName="SHA-512" hashValue="sH+2Qy4jmtnSJ+Ml5suNddCSbatk/MkuNq+hHqLbtIt7/K0RCsKsviJ0Y7AGuU+NdiYvoGOZ7ax7jGGPyUpYTw==" saltValue="2OiyxHRklHepeSXcGOVaAA==" spinCount="100000" sheet="1" objects="1" scenarios="1"/>
  <phoneticPr fontId="10" type="noConversion"/>
  <dataValidations count="3">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zero." sqref="C10:D10 C14 C15:D15 C18:D18 C19:E19 F20 C22:D22 C24:D24 C28:D28 C32:E32 F34">
      <formula1>0</formula1>
    </dataValidation>
    <dataValidation type="whole" operator="greaterThanOrEqual" allowBlank="1" showInputMessage="1" showErrorMessage="1" errorTitle="Invalid Data Entry" error="Please enter a positive number or press the delete key or enter zero." sqref="C26">
      <formula1>0</formula1>
    </dataValidation>
  </dataValidations>
  <hyperlinks>
    <hyperlink ref="H1" location="Contents!F1" display="Return to Contents page"/>
  </hyperlinks>
  <printOptions horizontalCentered="1"/>
  <pageMargins left="0.25" right="0.25" top="0.5" bottom="0.5" header="0.5" footer="0.5"/>
  <pageSetup orientation="portrait" blackAndWhite="1" r:id="rId1"/>
  <headerFooter alignWithMargins="0">
    <oddFooter>&amp;L&amp;D     &amp;T &amp;CCode No. 80</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4" tint="0.39997558519241921"/>
    <pageSetUpPr fitToPage="1"/>
  </sheetPr>
  <dimension ref="A1:M308"/>
  <sheetViews>
    <sheetView workbookViewId="0">
      <selection activeCell="C9" sqref="C9"/>
    </sheetView>
  </sheetViews>
  <sheetFormatPr defaultColWidth="10.7109375" defaultRowHeight="12" customHeight="1"/>
  <cols>
    <col min="1" max="1" width="40.5703125" style="2176" customWidth="1"/>
    <col min="2" max="2" width="5.5703125" style="2212" customWidth="1"/>
    <col min="3" max="3" width="14.5703125" style="2170" customWidth="1"/>
    <col min="4" max="4" width="14.140625" style="2170" customWidth="1"/>
    <col min="5" max="5" width="13.42578125" style="2170" customWidth="1"/>
    <col min="6" max="6" width="13.28515625" style="2170" customWidth="1"/>
    <col min="7" max="7" width="3.28515625" style="2170" customWidth="1"/>
    <col min="8" max="8" width="21" style="2170" customWidth="1"/>
    <col min="9" max="16384" width="10.7109375" style="2170"/>
  </cols>
  <sheetData>
    <row r="1" spans="1:13" ht="12" customHeight="1">
      <c r="A1" s="2167" t="s">
        <v>1019</v>
      </c>
      <c r="B1" s="2168">
        <f>OPEN!$B$4</f>
        <v>270</v>
      </c>
      <c r="C1" s="2169"/>
      <c r="D1" s="2169"/>
      <c r="E1" s="2169"/>
      <c r="F1" s="2167" t="s">
        <v>1020</v>
      </c>
      <c r="H1" s="3013" t="s">
        <v>866</v>
      </c>
    </row>
    <row r="2" spans="1:13" ht="12" customHeight="1">
      <c r="A2" s="2169"/>
      <c r="B2" s="2171"/>
      <c r="C2" s="2169"/>
      <c r="D2" s="2169"/>
      <c r="E2" s="2169"/>
      <c r="F2" s="2167" t="s">
        <v>1212</v>
      </c>
    </row>
    <row r="3" spans="1:13" ht="12" customHeight="1">
      <c r="A3" s="2169"/>
      <c r="B3" s="2171"/>
      <c r="C3" s="2169"/>
      <c r="D3" s="2169"/>
      <c r="E3" s="2169"/>
      <c r="F3" s="2167" t="str">
        <f>OPEN!N2</f>
        <v>2016-2017</v>
      </c>
    </row>
    <row r="4" spans="1:13" ht="12.75" customHeight="1">
      <c r="A4" s="2169"/>
      <c r="B4" s="2171"/>
      <c r="C4" s="2169"/>
      <c r="D4" s="2169"/>
      <c r="E4" s="2169"/>
      <c r="F4" s="2169"/>
    </row>
    <row r="5" spans="1:13" ht="12" customHeight="1">
      <c r="A5" s="2169"/>
      <c r="B5" s="2171"/>
      <c r="C5" s="2172" t="s">
        <v>1213</v>
      </c>
      <c r="D5" s="2172" t="s">
        <v>1213</v>
      </c>
      <c r="E5" s="2172" t="s">
        <v>1213</v>
      </c>
      <c r="F5" s="2172" t="s">
        <v>10</v>
      </c>
    </row>
    <row r="6" spans="1:13" ht="12" customHeight="1">
      <c r="A6" s="2173"/>
      <c r="B6" s="2174" t="s">
        <v>1045</v>
      </c>
      <c r="C6" s="2175" t="str">
        <f>OPEN!N4</f>
        <v>2014-2015</v>
      </c>
      <c r="D6" s="2175" t="str">
        <f>OPEN!O4</f>
        <v>2015-2016</v>
      </c>
      <c r="E6" s="2175" t="str">
        <f>OPEN!P4</f>
        <v>2016-2017</v>
      </c>
      <c r="F6" s="2175" t="s">
        <v>758</v>
      </c>
      <c r="K6" s="2176"/>
      <c r="L6" s="2176"/>
      <c r="M6" s="2176"/>
    </row>
    <row r="7" spans="1:13" ht="12" customHeight="1">
      <c r="A7" s="2173" t="s">
        <v>909</v>
      </c>
      <c r="B7" s="2177">
        <v>82</v>
      </c>
      <c r="C7" s="2178" t="s">
        <v>1139</v>
      </c>
      <c r="D7" s="2178" t="s">
        <v>1139</v>
      </c>
      <c r="E7" s="2178" t="s">
        <v>1215</v>
      </c>
      <c r="F7" s="2178" t="s">
        <v>16</v>
      </c>
    </row>
    <row r="8" spans="1:13" ht="12" customHeight="1">
      <c r="A8" s="3945" t="s">
        <v>1787</v>
      </c>
      <c r="B8" s="2179" t="s">
        <v>1051</v>
      </c>
      <c r="C8" s="2180">
        <v>1</v>
      </c>
      <c r="D8" s="2180">
        <v>2</v>
      </c>
      <c r="E8" s="2180">
        <v>3</v>
      </c>
      <c r="F8" s="2180">
        <v>4</v>
      </c>
    </row>
    <row r="9" spans="1:13" ht="12" customHeight="1">
      <c r="A9" s="2181" t="s">
        <v>1402</v>
      </c>
      <c r="B9" s="2179">
        <v>1</v>
      </c>
      <c r="C9" s="2182"/>
      <c r="D9" s="2183">
        <f>C36</f>
        <v>0</v>
      </c>
      <c r="E9" s="2183">
        <f>D36</f>
        <v>0</v>
      </c>
      <c r="F9" s="2184">
        <f>E9</f>
        <v>0</v>
      </c>
    </row>
    <row r="10" spans="1:13" ht="12" customHeight="1">
      <c r="A10" s="2185" t="s">
        <v>1403</v>
      </c>
      <c r="B10" s="2177">
        <v>3</v>
      </c>
      <c r="C10" s="2186"/>
      <c r="D10" s="2186"/>
      <c r="E10" s="2187"/>
      <c r="F10" s="2187"/>
    </row>
    <row r="11" spans="1:13" ht="12" customHeight="1">
      <c r="A11" s="2188" t="s">
        <v>19</v>
      </c>
      <c r="B11" s="2174"/>
      <c r="C11" s="2189"/>
      <c r="D11" s="2189"/>
      <c r="E11" s="2187"/>
      <c r="F11" s="2187"/>
    </row>
    <row r="12" spans="1:13" ht="12" customHeight="1">
      <c r="A12" s="2185" t="s">
        <v>20</v>
      </c>
      <c r="B12" s="2177"/>
      <c r="C12" s="2187"/>
      <c r="D12" s="2187"/>
      <c r="E12" s="2187"/>
      <c r="F12" s="2187"/>
    </row>
    <row r="13" spans="1:13" ht="12" customHeight="1">
      <c r="A13" s="2185" t="s">
        <v>21</v>
      </c>
      <c r="B13" s="2177"/>
      <c r="C13" s="2187"/>
      <c r="D13" s="2187"/>
      <c r="E13" s="2187"/>
      <c r="F13" s="2187"/>
    </row>
    <row r="14" spans="1:13" ht="12" customHeight="1">
      <c r="A14" s="2181" t="str">
        <f>OPEN!N8</f>
        <v xml:space="preserve">    2013  $</v>
      </c>
      <c r="B14" s="2179">
        <v>5</v>
      </c>
      <c r="C14" s="2182"/>
      <c r="D14" s="2187"/>
      <c r="E14" s="2187"/>
      <c r="F14" s="2187"/>
    </row>
    <row r="15" spans="1:13" ht="12" customHeight="1">
      <c r="A15" s="2190" t="str">
        <f>OPEN!N9</f>
        <v xml:space="preserve">    2014  $</v>
      </c>
      <c r="B15" s="2191">
        <v>10</v>
      </c>
      <c r="C15" s="2192"/>
      <c r="D15" s="2182"/>
      <c r="E15" s="2187"/>
      <c r="F15" s="2187"/>
    </row>
    <row r="16" spans="1:13" ht="12" customHeight="1">
      <c r="A16" s="2181" t="str">
        <f>OPEN!N10</f>
        <v xml:space="preserve">    2015  $</v>
      </c>
      <c r="B16" s="2179">
        <v>15</v>
      </c>
      <c r="C16" s="2189"/>
      <c r="D16" s="2183">
        <f>'C04'!E26</f>
        <v>0</v>
      </c>
      <c r="E16" s="2183">
        <f>'F110'!M130</f>
        <v>0</v>
      </c>
      <c r="F16" s="2183">
        <f>E16</f>
        <v>0</v>
      </c>
    </row>
    <row r="17" spans="1:6" ht="12" customHeight="1">
      <c r="A17" s="2190" t="str">
        <f>OPEN!N11</f>
        <v xml:space="preserve">    2016  $</v>
      </c>
      <c r="B17" s="2191">
        <v>20</v>
      </c>
      <c r="C17" s="2187"/>
      <c r="D17" s="2189"/>
      <c r="E17" s="2184">
        <f>'C04'!L26</f>
        <v>0</v>
      </c>
      <c r="F17" s="2189"/>
    </row>
    <row r="18" spans="1:6" ht="12" customHeight="1">
      <c r="A18" s="2190" t="s">
        <v>1875</v>
      </c>
      <c r="B18" s="2191">
        <v>25</v>
      </c>
      <c r="C18" s="2182"/>
      <c r="D18" s="4129"/>
      <c r="E18" s="2183">
        <f>0.667*F18</f>
        <v>0</v>
      </c>
      <c r="F18" s="3370">
        <f>'F110'!M134</f>
        <v>0</v>
      </c>
    </row>
    <row r="19" spans="1:6" ht="12" customHeight="1">
      <c r="A19" s="2190" t="s">
        <v>25</v>
      </c>
      <c r="B19" s="2191">
        <v>30</v>
      </c>
      <c r="C19" s="2192"/>
      <c r="D19" s="2192"/>
      <c r="E19" s="2182"/>
      <c r="F19" s="2184">
        <f>E19</f>
        <v>0</v>
      </c>
    </row>
    <row r="20" spans="1:6" ht="12" customHeight="1">
      <c r="A20" s="2181" t="s">
        <v>30</v>
      </c>
      <c r="B20" s="2179">
        <v>35</v>
      </c>
      <c r="C20" s="2189"/>
      <c r="D20" s="2189"/>
      <c r="E20" s="2189"/>
      <c r="F20" s="2182"/>
    </row>
    <row r="21" spans="1:6" ht="12" customHeight="1">
      <c r="A21" s="2188" t="s">
        <v>28</v>
      </c>
      <c r="B21" s="2174"/>
      <c r="C21" s="2187"/>
      <c r="D21" s="2187"/>
      <c r="E21" s="2187"/>
      <c r="F21" s="2189"/>
    </row>
    <row r="22" spans="1:6" ht="12" customHeight="1">
      <c r="A22" s="2181" t="s">
        <v>287</v>
      </c>
      <c r="B22" s="2179">
        <v>45</v>
      </c>
      <c r="C22" s="2182"/>
      <c r="D22" s="2182"/>
      <c r="E22" s="2183">
        <f>IF(ISERROR('F194'!H90+'F194'!H32+'F194'!$P$90+'F194'!$P$32),0,('F194'!H90+'F194'!H32+'F194'!$P$90+'F194'!$P$32))</f>
        <v>0</v>
      </c>
      <c r="F22" s="2183">
        <f>E22</f>
        <v>0</v>
      </c>
    </row>
    <row r="23" spans="1:6" ht="12" customHeight="1">
      <c r="A23" s="2190" t="s">
        <v>30</v>
      </c>
      <c r="B23" s="2191">
        <v>50</v>
      </c>
      <c r="C23" s="2189"/>
      <c r="D23" s="2189"/>
      <c r="E23" s="2189"/>
      <c r="F23" s="2184">
        <f>F22*0.5</f>
        <v>0</v>
      </c>
    </row>
    <row r="24" spans="1:6" ht="12" customHeight="1">
      <c r="A24" s="2181" t="s">
        <v>31</v>
      </c>
      <c r="B24" s="2179">
        <v>55</v>
      </c>
      <c r="C24" s="2182"/>
      <c r="D24" s="2182"/>
      <c r="E24" s="2183">
        <f>IF(ISERROR('F194'!$L$90+'F194'!$L$32),0,('F194'!$L$90+'F194'!$L$32))</f>
        <v>0</v>
      </c>
      <c r="F24" s="2184">
        <f>E24</f>
        <v>0</v>
      </c>
    </row>
    <row r="25" spans="1:6" ht="12" customHeight="1">
      <c r="A25" s="2181" t="s">
        <v>910</v>
      </c>
      <c r="B25" s="2179">
        <v>56</v>
      </c>
      <c r="C25" s="2187"/>
      <c r="D25" s="2193"/>
      <c r="E25" s="2187"/>
      <c r="F25" s="2184">
        <f>F24*0.5</f>
        <v>0</v>
      </c>
    </row>
    <row r="26" spans="1:6" ht="12" customHeight="1">
      <c r="A26" s="5145" t="s">
        <v>1870</v>
      </c>
      <c r="B26" s="5146">
        <v>57</v>
      </c>
      <c r="C26" s="4243"/>
      <c r="D26" s="4243"/>
      <c r="E26" s="2183">
        <f>IF(ISERROR('F194'!R90+'F194'!R32),0,('F194'!R90+'F194'!R32))</f>
        <v>0</v>
      </c>
      <c r="F26" s="2184">
        <f>E26</f>
        <v>0</v>
      </c>
    </row>
    <row r="27" spans="1:6" ht="12" customHeight="1">
      <c r="A27" s="5145" t="s">
        <v>32</v>
      </c>
      <c r="B27" s="5146">
        <v>58</v>
      </c>
      <c r="C27" s="2187"/>
      <c r="D27" s="2193"/>
      <c r="E27" s="2193"/>
      <c r="F27" s="2184">
        <f>F26*0.5</f>
        <v>0</v>
      </c>
    </row>
    <row r="28" spans="1:6" ht="12" customHeight="1">
      <c r="A28" s="2181" t="s">
        <v>1938</v>
      </c>
      <c r="B28" s="2179">
        <v>60</v>
      </c>
      <c r="C28" s="2186"/>
      <c r="D28" s="2186"/>
      <c r="E28" s="2183">
        <f>IF(ISERROR('F194'!N90+'F194'!N32),0,('F194'!N90+'F194'!N32))</f>
        <v>0</v>
      </c>
      <c r="F28" s="2184">
        <f>E28</f>
        <v>0</v>
      </c>
    </row>
    <row r="29" spans="1:6" ht="12" customHeight="1">
      <c r="A29" s="2199" t="s">
        <v>30</v>
      </c>
      <c r="B29" s="3404">
        <v>65</v>
      </c>
      <c r="C29" s="2196"/>
      <c r="D29" s="3369"/>
      <c r="E29" s="3369"/>
      <c r="F29" s="2197">
        <f>F28*0.5</f>
        <v>0</v>
      </c>
    </row>
    <row r="30" spans="1:6" ht="12" customHeight="1">
      <c r="A30" s="2198" t="s">
        <v>52</v>
      </c>
      <c r="B30" s="3405">
        <v>70</v>
      </c>
      <c r="C30" s="2183">
        <f>SUM(C9:C29)</f>
        <v>0</v>
      </c>
      <c r="D30" s="3370">
        <f>SUM(D9:D29)</f>
        <v>0</v>
      </c>
      <c r="E30" s="3370">
        <f>SUM(E9:E29)</f>
        <v>0</v>
      </c>
      <c r="F30" s="2184">
        <f>SUM(F9:F29)</f>
        <v>0</v>
      </c>
    </row>
    <row r="31" spans="1:6" ht="12" customHeight="1">
      <c r="A31" s="2199" t="s">
        <v>111</v>
      </c>
      <c r="B31" s="2175"/>
      <c r="C31" s="2187"/>
      <c r="D31" s="2187"/>
      <c r="E31" s="2189"/>
      <c r="F31" s="2189"/>
    </row>
    <row r="32" spans="1:6" ht="12" customHeight="1">
      <c r="A32" s="2200" t="s">
        <v>907</v>
      </c>
      <c r="B32" s="2201">
        <v>75</v>
      </c>
      <c r="C32" s="2186"/>
      <c r="D32" s="2186"/>
      <c r="E32" s="2186"/>
      <c r="F32" s="2187"/>
    </row>
    <row r="33" spans="1:13" ht="12" customHeight="1">
      <c r="A33" s="2194" t="s">
        <v>761</v>
      </c>
      <c r="B33" s="2195">
        <v>175</v>
      </c>
      <c r="C33" s="2184">
        <f>SUM(C31:C32)</f>
        <v>0</v>
      </c>
      <c r="D33" s="2184">
        <f>SUM(D31:D32)</f>
        <v>0</v>
      </c>
      <c r="E33" s="2184">
        <f>SUM(E31:E32)</f>
        <v>0</v>
      </c>
      <c r="F33" s="2183">
        <f>E33</f>
        <v>0</v>
      </c>
    </row>
    <row r="34" spans="1:13" ht="12" customHeight="1">
      <c r="A34" s="2200" t="s">
        <v>30</v>
      </c>
      <c r="B34" s="2201">
        <v>180</v>
      </c>
      <c r="C34" s="2202" t="s">
        <v>51</v>
      </c>
      <c r="D34" s="2202" t="s">
        <v>51</v>
      </c>
      <c r="E34" s="2202" t="s">
        <v>1189</v>
      </c>
      <c r="F34" s="2192"/>
    </row>
    <row r="35" spans="1:13" ht="12" customHeight="1">
      <c r="A35" s="2194" t="s">
        <v>762</v>
      </c>
      <c r="B35" s="2195">
        <v>185</v>
      </c>
      <c r="C35" s="2202" t="s">
        <v>51</v>
      </c>
      <c r="D35" s="2202" t="s">
        <v>51</v>
      </c>
      <c r="E35" s="2202" t="s">
        <v>1189</v>
      </c>
      <c r="F35" s="2184">
        <f>SUM(F33:F34)</f>
        <v>0</v>
      </c>
    </row>
    <row r="36" spans="1:13" ht="12" customHeight="1">
      <c r="A36" s="2200" t="s">
        <v>290</v>
      </c>
      <c r="B36" s="2201">
        <v>190</v>
      </c>
      <c r="C36" s="2183">
        <f>SUM(C30-C33)</f>
        <v>0</v>
      </c>
      <c r="D36" s="2183">
        <f>SUM(D30-D33)</f>
        <v>0</v>
      </c>
      <c r="E36" s="2183">
        <f>SUM(E30-E33)</f>
        <v>0</v>
      </c>
      <c r="F36" s="2202" t="s">
        <v>1189</v>
      </c>
      <c r="K36" s="3131"/>
      <c r="L36" s="3131"/>
      <c r="M36" s="3131"/>
    </row>
    <row r="37" spans="1:13" ht="12" customHeight="1">
      <c r="A37" s="2203" t="s">
        <v>908</v>
      </c>
      <c r="B37" s="2195">
        <v>195</v>
      </c>
      <c r="C37" s="2204" t="s">
        <v>768</v>
      </c>
      <c r="D37" s="2205"/>
      <c r="E37" s="2206"/>
      <c r="F37" s="2184">
        <f>SUM(F35-F30)</f>
        <v>0</v>
      </c>
      <c r="H37" s="3187" t="s">
        <v>395</v>
      </c>
      <c r="I37" s="3188">
        <f>IF(ISERROR(F39/OPEN!A14*1000),"Check errors below",F39/OPEN!A14*1000)</f>
        <v>0</v>
      </c>
      <c r="K37" s="3131"/>
      <c r="L37" s="3131"/>
      <c r="M37" s="3131"/>
    </row>
    <row r="38" spans="1:13" ht="12" customHeight="1">
      <c r="A38" s="2207" t="s">
        <v>908</v>
      </c>
      <c r="B38" s="2201">
        <v>200</v>
      </c>
      <c r="C38" s="2204" t="s">
        <v>763</v>
      </c>
      <c r="D38" s="2205"/>
      <c r="E38" s="2206"/>
      <c r="F38" s="2184">
        <f>F37*'C01'!$F$119/100</f>
        <v>0</v>
      </c>
      <c r="H38" s="3189" t="str">
        <f>OPEN!N40</f>
        <v/>
      </c>
      <c r="I38" s="2169"/>
      <c r="K38" s="3132"/>
      <c r="L38" s="3132"/>
      <c r="M38" s="3133"/>
    </row>
    <row r="39" spans="1:13" ht="12" customHeight="1">
      <c r="A39" s="2203"/>
      <c r="B39" s="2195">
        <v>205</v>
      </c>
      <c r="C39" s="2204" t="str">
        <f>OPEN!N6</f>
        <v>Amount of 2016 Tax to be Levied</v>
      </c>
      <c r="D39" s="2205"/>
      <c r="E39" s="2206"/>
      <c r="F39" s="2184">
        <f>SUM(F37:F38)</f>
        <v>0</v>
      </c>
      <c r="K39" s="3134"/>
      <c r="L39" s="3131"/>
      <c r="M39" s="3131"/>
    </row>
    <row r="40" spans="1:13" s="2176" customFormat="1" ht="12" customHeight="1">
      <c r="A40" s="2207"/>
      <c r="B40" s="2789"/>
      <c r="C40" s="2169"/>
      <c r="D40" s="2169"/>
      <c r="E40" s="2169"/>
      <c r="F40" s="2169" t="str">
        <f>IF(H40&gt;'C02'!$E$21,"Error!!!"," ")</f>
        <v xml:space="preserve"> </v>
      </c>
      <c r="H40" s="2169">
        <f>ROUND(F39/OPEN!A14*1000,3)</f>
        <v>0</v>
      </c>
      <c r="K40" s="3136"/>
      <c r="L40" s="3137"/>
      <c r="M40" s="3137"/>
    </row>
    <row r="41" spans="1:13" s="2176" customFormat="1" ht="12" customHeight="1">
      <c r="A41" s="2203"/>
      <c r="B41" s="2209"/>
      <c r="C41" s="2169"/>
      <c r="D41" s="2169"/>
      <c r="E41" s="2169"/>
      <c r="F41" s="2169" t="str">
        <f>IF(F40="Error!!!","Levy amt. &gt;mills authorized on Code 02"," ")</f>
        <v xml:space="preserve"> </v>
      </c>
      <c r="K41" s="3137"/>
      <c r="L41" s="3137"/>
      <c r="M41" s="3137"/>
    </row>
    <row r="42" spans="1:13" ht="12" customHeight="1">
      <c r="A42" s="2203"/>
      <c r="B42" s="2789" t="s">
        <v>1364</v>
      </c>
      <c r="C42" s="2208"/>
      <c r="D42" s="2208"/>
      <c r="E42" s="2208"/>
      <c r="F42" s="2208"/>
      <c r="K42" s="3135"/>
      <c r="L42" s="3131"/>
      <c r="M42" s="3131"/>
    </row>
    <row r="43" spans="1:13" ht="12" customHeight="1">
      <c r="A43" s="2203"/>
      <c r="B43" s="2209"/>
      <c r="C43" s="2208"/>
      <c r="D43" s="2208"/>
      <c r="E43" s="2208"/>
      <c r="F43" s="2208"/>
    </row>
    <row r="44" spans="1:13" ht="12" customHeight="1">
      <c r="A44" s="2203"/>
      <c r="B44" s="2209"/>
      <c r="C44" s="2208"/>
      <c r="D44" s="2208"/>
      <c r="E44" s="2208"/>
      <c r="F44" s="2208"/>
    </row>
    <row r="45" spans="1:13" ht="12" customHeight="1">
      <c r="A45" s="2169"/>
      <c r="B45" s="2172"/>
      <c r="C45" s="2208"/>
      <c r="D45" s="2208"/>
      <c r="E45" s="2208"/>
      <c r="F45" s="2208"/>
    </row>
    <row r="46" spans="1:13" ht="12" customHeight="1">
      <c r="A46" s="2169"/>
      <c r="B46" s="2172"/>
      <c r="C46" s="2208"/>
      <c r="D46" s="2208"/>
      <c r="E46" s="2208"/>
      <c r="F46" s="2208"/>
    </row>
    <row r="47" spans="1:13" ht="12" customHeight="1">
      <c r="A47" s="2169"/>
      <c r="B47" s="2172"/>
      <c r="C47" s="2208"/>
      <c r="D47" s="2208"/>
      <c r="E47" s="2208"/>
      <c r="F47" s="2208"/>
    </row>
    <row r="48" spans="1:13" ht="12" customHeight="1">
      <c r="A48" s="2169"/>
      <c r="B48" s="2172"/>
      <c r="C48" s="2208"/>
      <c r="D48" s="2208"/>
      <c r="E48" s="2208"/>
      <c r="F48" s="2208"/>
    </row>
    <row r="49" spans="1:6" ht="12" customHeight="1">
      <c r="A49" s="2169"/>
      <c r="B49" s="2172"/>
      <c r="C49" s="2208"/>
      <c r="D49" s="2208"/>
      <c r="E49" s="2208"/>
      <c r="F49" s="2208"/>
    </row>
    <row r="50" spans="1:6" ht="12" customHeight="1">
      <c r="A50" s="2169"/>
      <c r="B50" s="2172"/>
      <c r="C50" s="2208"/>
      <c r="D50" s="2208"/>
      <c r="E50" s="2208"/>
      <c r="F50" s="2208"/>
    </row>
    <row r="51" spans="1:6" ht="12" customHeight="1">
      <c r="A51" s="2169"/>
      <c r="B51" s="2172"/>
      <c r="C51" s="2208"/>
      <c r="D51" s="2208"/>
      <c r="E51" s="2208"/>
      <c r="F51" s="2208"/>
    </row>
    <row r="52" spans="1:6" ht="12" customHeight="1">
      <c r="A52" s="2169"/>
      <c r="B52" s="2172"/>
      <c r="C52" s="2208"/>
      <c r="D52" s="2208"/>
      <c r="E52" s="2208"/>
      <c r="F52" s="2208"/>
    </row>
    <row r="53" spans="1:6" ht="12" customHeight="1">
      <c r="A53" s="2169"/>
      <c r="B53" s="2172"/>
      <c r="C53" s="2208"/>
      <c r="D53" s="2208"/>
      <c r="E53" s="2208"/>
      <c r="F53" s="2208"/>
    </row>
    <row r="54" spans="1:6" ht="12" customHeight="1">
      <c r="A54" s="2169"/>
      <c r="B54" s="2172"/>
      <c r="C54" s="2208"/>
      <c r="D54" s="2208"/>
      <c r="E54" s="2208"/>
      <c r="F54" s="2208"/>
    </row>
    <row r="55" spans="1:6" ht="12" customHeight="1">
      <c r="A55" s="2169"/>
      <c r="B55" s="2172"/>
      <c r="C55" s="2208"/>
      <c r="D55" s="2208"/>
      <c r="E55" s="2208"/>
      <c r="F55" s="2208"/>
    </row>
    <row r="56" spans="1:6" ht="12" customHeight="1">
      <c r="A56" s="2169"/>
      <c r="B56" s="2172"/>
      <c r="C56" s="2208"/>
      <c r="D56" s="2208"/>
      <c r="E56" s="2208"/>
      <c r="F56" s="2208"/>
    </row>
    <row r="57" spans="1:6" ht="12" customHeight="1">
      <c r="A57" s="2169"/>
      <c r="B57" s="2172"/>
      <c r="C57" s="2208"/>
      <c r="D57" s="2208"/>
      <c r="E57" s="2208"/>
      <c r="F57" s="2208"/>
    </row>
    <row r="58" spans="1:6" ht="12" customHeight="1">
      <c r="A58" s="2169"/>
      <c r="B58" s="2172"/>
      <c r="C58" s="2208"/>
      <c r="D58" s="2208"/>
      <c r="E58" s="2208"/>
      <c r="F58" s="2208"/>
    </row>
    <row r="59" spans="1:6" ht="12" customHeight="1">
      <c r="A59" s="2169"/>
      <c r="B59" s="2172"/>
      <c r="C59" s="2208"/>
      <c r="D59" s="2208"/>
      <c r="E59" s="2208"/>
      <c r="F59" s="2208"/>
    </row>
    <row r="60" spans="1:6" ht="12" customHeight="1">
      <c r="A60" s="2169"/>
      <c r="B60" s="2172"/>
      <c r="C60" s="2208"/>
      <c r="D60" s="2208"/>
      <c r="E60" s="2208"/>
      <c r="F60" s="2208"/>
    </row>
    <row r="61" spans="1:6" ht="12" customHeight="1">
      <c r="A61" s="2210"/>
      <c r="B61" s="2210"/>
      <c r="C61" s="2211"/>
      <c r="D61" s="2211"/>
      <c r="E61" s="2211"/>
      <c r="F61" s="2211"/>
    </row>
    <row r="62" spans="1:6" ht="12" customHeight="1">
      <c r="A62" s="2169"/>
      <c r="B62" s="2172"/>
      <c r="C62" s="2208"/>
      <c r="D62" s="2208"/>
      <c r="E62" s="2208"/>
      <c r="F62" s="2208"/>
    </row>
    <row r="63" spans="1:6" ht="12" customHeight="1">
      <c r="A63" s="2169"/>
      <c r="B63" s="2172"/>
      <c r="C63" s="2208"/>
      <c r="D63" s="2208"/>
      <c r="E63" s="2208"/>
      <c r="F63" s="2208"/>
    </row>
    <row r="64" spans="1:6" ht="12" customHeight="1">
      <c r="A64" s="2169"/>
      <c r="B64" s="2172"/>
      <c r="C64" s="2208"/>
      <c r="D64" s="2208"/>
      <c r="E64" s="2208"/>
      <c r="F64" s="2208"/>
    </row>
    <row r="65" spans="1:6" ht="12" customHeight="1">
      <c r="A65" s="2169"/>
      <c r="B65" s="2172"/>
      <c r="C65" s="2208"/>
      <c r="D65" s="2208"/>
      <c r="E65" s="2208"/>
      <c r="F65" s="2208"/>
    </row>
    <row r="66" spans="1:6" ht="12" customHeight="1">
      <c r="A66" s="2169"/>
      <c r="B66" s="2172"/>
      <c r="C66" s="2208"/>
      <c r="D66" s="2208"/>
      <c r="E66" s="2208"/>
      <c r="F66" s="2208"/>
    </row>
    <row r="67" spans="1:6" ht="12" customHeight="1">
      <c r="A67" s="2169"/>
      <c r="B67" s="2172"/>
      <c r="C67" s="2208"/>
      <c r="D67" s="2208"/>
      <c r="E67" s="2208"/>
      <c r="F67" s="2208"/>
    </row>
    <row r="68" spans="1:6" ht="12" customHeight="1">
      <c r="A68" s="2169"/>
      <c r="B68" s="2172"/>
      <c r="C68" s="2208"/>
      <c r="D68" s="2208"/>
      <c r="E68" s="2208"/>
      <c r="F68" s="2208"/>
    </row>
    <row r="69" spans="1:6" ht="12" customHeight="1">
      <c r="A69" s="2169"/>
      <c r="B69" s="2172"/>
      <c r="C69" s="2208"/>
      <c r="D69" s="2208"/>
      <c r="E69" s="2208"/>
      <c r="F69" s="2208"/>
    </row>
    <row r="70" spans="1:6" ht="12" customHeight="1">
      <c r="A70" s="2169"/>
      <c r="B70" s="2172"/>
      <c r="C70" s="2208"/>
      <c r="D70" s="2208"/>
      <c r="E70" s="2208"/>
      <c r="F70" s="2208"/>
    </row>
    <row r="71" spans="1:6" ht="12" customHeight="1">
      <c r="A71" s="2169"/>
      <c r="B71" s="2172"/>
      <c r="C71" s="2208"/>
      <c r="D71" s="2208"/>
      <c r="E71" s="2208"/>
      <c r="F71" s="2208"/>
    </row>
    <row r="72" spans="1:6" ht="12" customHeight="1">
      <c r="A72" s="2169"/>
      <c r="B72" s="2172"/>
      <c r="C72" s="2208"/>
      <c r="D72" s="2208"/>
      <c r="E72" s="2208"/>
      <c r="F72" s="2208"/>
    </row>
    <row r="73" spans="1:6" ht="12" customHeight="1">
      <c r="A73" s="2169"/>
      <c r="B73" s="2172"/>
      <c r="C73" s="2208"/>
      <c r="D73" s="2208"/>
      <c r="E73" s="2208"/>
      <c r="F73" s="2208"/>
    </row>
    <row r="74" spans="1:6" ht="12" customHeight="1">
      <c r="A74" s="2169"/>
      <c r="B74" s="2172"/>
      <c r="C74" s="2208"/>
      <c r="D74" s="2208"/>
      <c r="E74" s="2208"/>
      <c r="F74" s="2208"/>
    </row>
    <row r="75" spans="1:6" ht="12" customHeight="1">
      <c r="A75" s="2169"/>
      <c r="B75" s="2172"/>
      <c r="C75" s="2208"/>
      <c r="D75" s="2208"/>
      <c r="E75" s="2208"/>
      <c r="F75" s="2208"/>
    </row>
    <row r="76" spans="1:6" ht="12" customHeight="1">
      <c r="A76" s="2169"/>
      <c r="B76" s="2172"/>
      <c r="C76" s="2208"/>
      <c r="D76" s="2208"/>
      <c r="E76" s="2208"/>
      <c r="F76" s="2208"/>
    </row>
    <row r="77" spans="1:6" ht="12" customHeight="1">
      <c r="A77" s="2169"/>
      <c r="B77" s="2172"/>
      <c r="C77" s="2208"/>
      <c r="D77" s="2208"/>
      <c r="E77" s="2208"/>
      <c r="F77" s="2208"/>
    </row>
    <row r="78" spans="1:6" ht="12" customHeight="1">
      <c r="A78" s="2169"/>
      <c r="B78" s="2172"/>
      <c r="C78" s="2208"/>
      <c r="D78" s="2208"/>
      <c r="E78" s="2208"/>
      <c r="F78" s="2208"/>
    </row>
    <row r="79" spans="1:6" ht="12" customHeight="1">
      <c r="A79" s="2169"/>
      <c r="B79" s="2172"/>
      <c r="C79" s="2208"/>
      <c r="D79" s="2208"/>
      <c r="E79" s="2208"/>
      <c r="F79" s="2208"/>
    </row>
    <row r="80" spans="1:6" ht="12" customHeight="1">
      <c r="A80" s="2169"/>
      <c r="B80" s="2172"/>
      <c r="C80" s="2208"/>
      <c r="D80" s="2208"/>
      <c r="E80" s="2208"/>
      <c r="F80" s="2208"/>
    </row>
    <row r="81" spans="1:6" ht="12" customHeight="1">
      <c r="A81" s="2169"/>
      <c r="B81" s="2172"/>
      <c r="C81" s="2208"/>
      <c r="D81" s="2208"/>
      <c r="E81" s="2208"/>
      <c r="F81" s="2208"/>
    </row>
    <row r="82" spans="1:6" ht="12" customHeight="1">
      <c r="A82" s="2169"/>
      <c r="B82" s="2172"/>
      <c r="C82" s="2208"/>
      <c r="D82" s="2208"/>
      <c r="E82" s="2208"/>
      <c r="F82" s="2208"/>
    </row>
    <row r="83" spans="1:6" ht="12" customHeight="1">
      <c r="A83" s="2169"/>
      <c r="B83" s="2172"/>
      <c r="C83" s="2208"/>
      <c r="D83" s="2208"/>
      <c r="E83" s="2208"/>
      <c r="F83" s="2208"/>
    </row>
    <row r="84" spans="1:6" ht="12" customHeight="1">
      <c r="A84" s="2169"/>
      <c r="B84" s="2172"/>
      <c r="C84" s="2208"/>
      <c r="D84" s="2208"/>
      <c r="E84" s="2208"/>
      <c r="F84" s="2208"/>
    </row>
    <row r="85" spans="1:6" ht="12" customHeight="1">
      <c r="A85" s="2169"/>
      <c r="B85" s="2172"/>
      <c r="C85" s="2208"/>
      <c r="D85" s="2208"/>
      <c r="E85" s="2208"/>
      <c r="F85" s="2208"/>
    </row>
    <row r="86" spans="1:6" ht="12" customHeight="1">
      <c r="A86" s="2169"/>
      <c r="B86" s="2172"/>
      <c r="C86" s="2208"/>
      <c r="D86" s="2208"/>
      <c r="E86" s="2208"/>
      <c r="F86" s="2208"/>
    </row>
    <row r="87" spans="1:6" ht="12" customHeight="1">
      <c r="A87" s="2169"/>
      <c r="B87" s="2172"/>
      <c r="C87" s="2208"/>
      <c r="D87" s="2208"/>
      <c r="E87" s="2208"/>
      <c r="F87" s="2208"/>
    </row>
    <row r="88" spans="1:6" ht="12" customHeight="1">
      <c r="A88" s="2169"/>
      <c r="B88" s="2172"/>
      <c r="C88" s="2208"/>
      <c r="D88" s="2208"/>
      <c r="E88" s="2208"/>
      <c r="F88" s="2208"/>
    </row>
    <row r="89" spans="1:6" ht="12" customHeight="1">
      <c r="A89" s="2169"/>
      <c r="B89" s="2172"/>
      <c r="C89" s="2208"/>
      <c r="D89" s="2208"/>
      <c r="E89" s="2208"/>
      <c r="F89" s="2208"/>
    </row>
    <row r="90" spans="1:6" ht="12" customHeight="1">
      <c r="A90" s="2169"/>
      <c r="B90" s="2172"/>
      <c r="C90" s="2208"/>
      <c r="D90" s="2208"/>
      <c r="E90" s="2208"/>
      <c r="F90" s="2208"/>
    </row>
    <row r="91" spans="1:6" ht="12" customHeight="1">
      <c r="A91" s="2169"/>
      <c r="B91" s="2172"/>
      <c r="C91" s="2208"/>
      <c r="D91" s="2208"/>
      <c r="E91" s="2208"/>
      <c r="F91" s="2208"/>
    </row>
    <row r="92" spans="1:6" ht="12" customHeight="1">
      <c r="A92" s="2169"/>
      <c r="B92" s="2172"/>
      <c r="C92" s="2208"/>
      <c r="D92" s="2208"/>
      <c r="E92" s="2208"/>
      <c r="F92" s="2208"/>
    </row>
    <row r="93" spans="1:6" ht="12" customHeight="1">
      <c r="A93" s="2169"/>
      <c r="B93" s="2172"/>
      <c r="C93" s="2208"/>
      <c r="D93" s="2208"/>
      <c r="E93" s="2208"/>
      <c r="F93" s="2208"/>
    </row>
    <row r="94" spans="1:6" ht="12" customHeight="1">
      <c r="A94" s="2169"/>
      <c r="B94" s="2172"/>
      <c r="C94" s="2208"/>
      <c r="D94" s="2208"/>
      <c r="E94" s="2208"/>
      <c r="F94" s="2208"/>
    </row>
    <row r="95" spans="1:6" ht="12" customHeight="1">
      <c r="A95" s="2169"/>
      <c r="B95" s="2172"/>
      <c r="C95" s="2208"/>
      <c r="D95" s="2208"/>
      <c r="E95" s="2208"/>
      <c r="F95" s="2208"/>
    </row>
    <row r="96" spans="1:6" ht="12" customHeight="1">
      <c r="A96" s="2169"/>
      <c r="B96" s="2172"/>
      <c r="C96" s="2208"/>
      <c r="D96" s="2208"/>
      <c r="E96" s="2208"/>
      <c r="F96" s="2208"/>
    </row>
    <row r="97" spans="1:6" ht="12" customHeight="1">
      <c r="A97" s="2169"/>
      <c r="B97" s="2172"/>
      <c r="C97" s="2208"/>
      <c r="D97" s="2208"/>
      <c r="E97" s="2208"/>
      <c r="F97" s="2208"/>
    </row>
    <row r="98" spans="1:6" ht="12" customHeight="1">
      <c r="A98" s="2169"/>
      <c r="B98" s="2172"/>
      <c r="C98" s="2208"/>
      <c r="D98" s="2208"/>
      <c r="E98" s="2208"/>
      <c r="F98" s="2208"/>
    </row>
    <row r="99" spans="1:6" ht="12" customHeight="1">
      <c r="A99" s="2169"/>
      <c r="B99" s="2172"/>
      <c r="C99" s="2208"/>
      <c r="D99" s="2208"/>
      <c r="E99" s="2208"/>
      <c r="F99" s="2208"/>
    </row>
    <row r="100" spans="1:6" ht="12" customHeight="1">
      <c r="A100" s="2169"/>
      <c r="B100" s="2172"/>
      <c r="C100" s="2208"/>
      <c r="D100" s="2208"/>
      <c r="E100" s="2208"/>
      <c r="F100" s="2208"/>
    </row>
    <row r="101" spans="1:6" ht="12" customHeight="1">
      <c r="A101" s="2169"/>
      <c r="B101" s="2172"/>
      <c r="C101" s="2208"/>
      <c r="D101" s="2208"/>
      <c r="E101" s="2208"/>
      <c r="F101" s="2208"/>
    </row>
    <row r="102" spans="1:6" ht="12" customHeight="1">
      <c r="A102" s="2169"/>
      <c r="B102" s="2172"/>
      <c r="C102" s="2208"/>
      <c r="D102" s="2208"/>
      <c r="E102" s="2208"/>
      <c r="F102" s="2208"/>
    </row>
    <row r="103" spans="1:6" ht="12" customHeight="1">
      <c r="A103" s="2169"/>
      <c r="B103" s="2172"/>
      <c r="C103" s="2208"/>
      <c r="D103" s="2208"/>
      <c r="E103" s="2208"/>
      <c r="F103" s="2208"/>
    </row>
    <row r="104" spans="1:6" ht="12" customHeight="1">
      <c r="A104" s="2169"/>
      <c r="B104" s="2172"/>
      <c r="C104" s="2208"/>
      <c r="D104" s="2208"/>
      <c r="E104" s="2208"/>
      <c r="F104" s="2208"/>
    </row>
    <row r="105" spans="1:6" ht="12" customHeight="1">
      <c r="A105" s="2169"/>
      <c r="B105" s="2172"/>
      <c r="C105" s="2208"/>
      <c r="D105" s="2208"/>
      <c r="E105" s="2208"/>
      <c r="F105" s="2208"/>
    </row>
    <row r="106" spans="1:6" ht="12" customHeight="1">
      <c r="A106" s="2169"/>
      <c r="B106" s="2172"/>
      <c r="C106" s="2208"/>
      <c r="D106" s="2208"/>
      <c r="E106" s="2208"/>
      <c r="F106" s="2208"/>
    </row>
    <row r="107" spans="1:6" ht="12" customHeight="1">
      <c r="A107" s="2169"/>
      <c r="B107" s="2172"/>
      <c r="C107" s="2208"/>
      <c r="D107" s="2208"/>
      <c r="E107" s="2208"/>
      <c r="F107" s="2208"/>
    </row>
    <row r="108" spans="1:6" ht="12" customHeight="1">
      <c r="A108" s="2169"/>
      <c r="B108" s="2172"/>
      <c r="C108" s="2208"/>
      <c r="D108" s="2208"/>
      <c r="E108" s="2208"/>
      <c r="F108" s="2208"/>
    </row>
    <row r="109" spans="1:6" ht="12" customHeight="1">
      <c r="A109" s="2169"/>
      <c r="B109" s="2172"/>
      <c r="C109" s="2208"/>
      <c r="D109" s="2208"/>
      <c r="E109" s="2208"/>
      <c r="F109" s="2208"/>
    </row>
    <row r="110" spans="1:6" ht="12" customHeight="1">
      <c r="A110" s="2169"/>
      <c r="B110" s="2172"/>
      <c r="C110" s="2208"/>
      <c r="D110" s="2208"/>
      <c r="E110" s="2208"/>
      <c r="F110" s="2208"/>
    </row>
    <row r="111" spans="1:6" ht="12" customHeight="1">
      <c r="A111" s="2169"/>
      <c r="B111" s="2172"/>
      <c r="C111" s="2208"/>
      <c r="D111" s="2208"/>
      <c r="E111" s="2208"/>
      <c r="F111" s="2208"/>
    </row>
    <row r="112" spans="1:6" ht="12" customHeight="1">
      <c r="A112" s="2169"/>
      <c r="B112" s="2172"/>
      <c r="C112" s="2208"/>
      <c r="D112" s="2208"/>
      <c r="E112" s="2208"/>
      <c r="F112" s="2208"/>
    </row>
    <row r="113" spans="1:6" ht="12" customHeight="1">
      <c r="A113" s="2169"/>
      <c r="B113" s="2172"/>
      <c r="C113" s="2208"/>
      <c r="D113" s="2208"/>
      <c r="E113" s="2208"/>
      <c r="F113" s="2208"/>
    </row>
    <row r="114" spans="1:6" ht="12" customHeight="1">
      <c r="A114" s="2169"/>
      <c r="B114" s="2172"/>
      <c r="C114" s="2208"/>
      <c r="D114" s="2208"/>
      <c r="E114" s="2208"/>
      <c r="F114" s="2208"/>
    </row>
    <row r="115" spans="1:6" ht="12" customHeight="1">
      <c r="A115" s="2169"/>
      <c r="B115" s="2172"/>
      <c r="C115" s="2208"/>
      <c r="D115" s="2208"/>
      <c r="E115" s="2208"/>
      <c r="F115" s="2208"/>
    </row>
    <row r="116" spans="1:6" ht="12" customHeight="1">
      <c r="A116" s="2169"/>
      <c r="B116" s="2172"/>
      <c r="C116" s="2208"/>
      <c r="D116" s="2208"/>
      <c r="E116" s="2208"/>
      <c r="F116" s="2208"/>
    </row>
    <row r="117" spans="1:6" ht="12" customHeight="1">
      <c r="A117" s="2169"/>
      <c r="B117" s="2172"/>
      <c r="C117" s="2208"/>
      <c r="D117" s="2208"/>
      <c r="E117" s="2208"/>
      <c r="F117" s="2208"/>
    </row>
    <row r="118" spans="1:6" ht="12" customHeight="1">
      <c r="A118" s="2169"/>
      <c r="B118" s="2172"/>
      <c r="C118" s="2208"/>
      <c r="D118" s="2208"/>
      <c r="E118" s="2208"/>
      <c r="F118" s="2208"/>
    </row>
    <row r="119" spans="1:6" ht="12" customHeight="1">
      <c r="A119" s="2169"/>
      <c r="B119" s="2172"/>
      <c r="C119" s="2208"/>
      <c r="D119" s="2208"/>
      <c r="E119" s="2208"/>
      <c r="F119" s="2208"/>
    </row>
    <row r="120" spans="1:6" ht="12" customHeight="1">
      <c r="A120" s="2169"/>
      <c r="B120" s="2172"/>
      <c r="C120" s="2208"/>
      <c r="D120" s="2208"/>
      <c r="E120" s="2208"/>
      <c r="F120" s="2208"/>
    </row>
    <row r="121" spans="1:6" ht="5.0999999999999996" customHeight="1">
      <c r="A121" s="2169"/>
      <c r="B121" s="2172"/>
      <c r="C121" s="2208"/>
      <c r="D121" s="2208"/>
      <c r="E121" s="2208"/>
      <c r="F121" s="2208"/>
    </row>
    <row r="122" spans="1:6" ht="12" customHeight="1">
      <c r="A122" s="2169"/>
      <c r="B122" s="2172"/>
      <c r="C122" s="2208"/>
      <c r="D122" s="2208"/>
      <c r="E122" s="2208"/>
      <c r="F122" s="2208"/>
    </row>
    <row r="123" spans="1:6" ht="12" customHeight="1">
      <c r="A123" s="2169"/>
      <c r="B123" s="2172"/>
      <c r="C123" s="2208"/>
      <c r="D123" s="2208"/>
      <c r="E123" s="2208"/>
      <c r="F123" s="2208"/>
    </row>
    <row r="124" spans="1:6" ht="12" customHeight="1">
      <c r="A124" s="2169"/>
      <c r="B124" s="2172"/>
      <c r="C124" s="2208"/>
      <c r="D124" s="2208"/>
      <c r="E124" s="2208"/>
      <c r="F124" s="2208"/>
    </row>
    <row r="125" spans="1:6" ht="12" customHeight="1">
      <c r="A125" s="2169"/>
      <c r="B125" s="2172"/>
      <c r="C125" s="2208"/>
      <c r="D125" s="2208"/>
      <c r="E125" s="2208"/>
      <c r="F125" s="2208"/>
    </row>
    <row r="126" spans="1:6" ht="12" customHeight="1">
      <c r="A126" s="2169"/>
      <c r="B126" s="2172"/>
      <c r="C126" s="2208"/>
      <c r="D126" s="2208"/>
      <c r="E126" s="2208"/>
      <c r="F126" s="2208"/>
    </row>
    <row r="127" spans="1:6" ht="12" customHeight="1">
      <c r="A127" s="2169"/>
      <c r="B127" s="2172"/>
      <c r="C127" s="2208"/>
      <c r="D127" s="2208"/>
      <c r="E127" s="2208"/>
      <c r="F127" s="2208"/>
    </row>
    <row r="128" spans="1:6" ht="12" customHeight="1">
      <c r="A128" s="2169"/>
      <c r="B128" s="2172"/>
      <c r="C128" s="2208"/>
      <c r="D128" s="2208"/>
      <c r="E128" s="2208"/>
      <c r="F128" s="2208"/>
    </row>
    <row r="129" spans="1:6" ht="12" customHeight="1">
      <c r="A129" s="2169"/>
      <c r="B129" s="2172"/>
      <c r="C129" s="2208"/>
      <c r="D129" s="2208"/>
      <c r="E129" s="2208"/>
      <c r="F129" s="2208"/>
    </row>
    <row r="130" spans="1:6" ht="12" customHeight="1">
      <c r="A130" s="2169"/>
      <c r="B130" s="2172"/>
      <c r="C130" s="2208"/>
      <c r="D130" s="2208"/>
      <c r="E130" s="2208"/>
      <c r="F130" s="2208"/>
    </row>
    <row r="131" spans="1:6" ht="12" customHeight="1">
      <c r="A131" s="2169"/>
      <c r="B131" s="2172"/>
      <c r="C131" s="2208"/>
      <c r="D131" s="2208"/>
      <c r="E131" s="2208"/>
      <c r="F131" s="2208"/>
    </row>
    <row r="132" spans="1:6" ht="12" customHeight="1">
      <c r="A132" s="2169"/>
      <c r="B132" s="2172"/>
      <c r="C132" s="2208"/>
      <c r="D132" s="2208"/>
      <c r="E132" s="2208"/>
      <c r="F132" s="2208"/>
    </row>
    <row r="133" spans="1:6" ht="12" customHeight="1">
      <c r="A133" s="2169"/>
      <c r="B133" s="2172"/>
      <c r="C133" s="2208"/>
      <c r="D133" s="2208"/>
      <c r="E133" s="2208"/>
      <c r="F133" s="2208"/>
    </row>
    <row r="134" spans="1:6" ht="12" customHeight="1">
      <c r="A134" s="2169"/>
      <c r="B134" s="2172"/>
      <c r="C134" s="2208"/>
      <c r="D134" s="2208"/>
      <c r="E134" s="2208"/>
      <c r="F134" s="2208"/>
    </row>
    <row r="135" spans="1:6" ht="12" customHeight="1">
      <c r="A135" s="2169"/>
      <c r="B135" s="2172"/>
      <c r="C135" s="2208"/>
      <c r="D135" s="2208"/>
      <c r="E135" s="2208"/>
      <c r="F135" s="2208"/>
    </row>
    <row r="136" spans="1:6" ht="12" customHeight="1">
      <c r="A136" s="2169"/>
      <c r="B136" s="2172"/>
      <c r="C136" s="2208"/>
      <c r="D136" s="2208"/>
      <c r="E136" s="2208"/>
      <c r="F136" s="2208"/>
    </row>
    <row r="137" spans="1:6" ht="12" customHeight="1">
      <c r="A137" s="2169"/>
      <c r="B137" s="2172"/>
      <c r="C137" s="2208"/>
      <c r="D137" s="2208"/>
      <c r="E137" s="2208"/>
      <c r="F137" s="2208"/>
    </row>
    <row r="138" spans="1:6" ht="12" customHeight="1">
      <c r="A138" s="2169"/>
      <c r="B138" s="2172"/>
      <c r="C138" s="2208"/>
      <c r="D138" s="2208"/>
      <c r="E138" s="2208"/>
      <c r="F138" s="2208"/>
    </row>
    <row r="139" spans="1:6" ht="12" customHeight="1">
      <c r="A139" s="2169"/>
      <c r="B139" s="2172"/>
      <c r="C139" s="2208"/>
      <c r="D139" s="2208"/>
      <c r="E139" s="2208"/>
      <c r="F139" s="2208"/>
    </row>
    <row r="140" spans="1:6" ht="12" customHeight="1">
      <c r="A140" s="2169"/>
      <c r="B140" s="2172"/>
      <c r="C140" s="2208"/>
      <c r="D140" s="2208"/>
      <c r="E140" s="2208"/>
      <c r="F140" s="2208"/>
    </row>
    <row r="141" spans="1:6" ht="12" customHeight="1">
      <c r="A141" s="2169"/>
      <c r="B141" s="2172"/>
      <c r="C141" s="2208"/>
      <c r="D141" s="2208"/>
      <c r="E141" s="2208"/>
      <c r="F141" s="2208"/>
    </row>
    <row r="142" spans="1:6" ht="12" customHeight="1">
      <c r="A142" s="2169"/>
      <c r="B142" s="2172"/>
      <c r="C142" s="2208"/>
      <c r="D142" s="2208"/>
      <c r="E142" s="2208"/>
      <c r="F142" s="2208"/>
    </row>
    <row r="143" spans="1:6" ht="12" customHeight="1">
      <c r="A143" s="2169"/>
      <c r="B143" s="2172"/>
      <c r="C143" s="2208"/>
      <c r="D143" s="2208"/>
      <c r="E143" s="2208"/>
      <c r="F143" s="2208"/>
    </row>
    <row r="144" spans="1:6" ht="12" customHeight="1">
      <c r="A144" s="2169"/>
      <c r="B144" s="2172"/>
      <c r="C144" s="2208"/>
      <c r="D144" s="2208"/>
      <c r="E144" s="2208"/>
      <c r="F144" s="2208"/>
    </row>
    <row r="145" spans="1:6" ht="12" customHeight="1">
      <c r="A145" s="2169"/>
      <c r="B145" s="2172"/>
      <c r="C145" s="2208"/>
      <c r="D145" s="2208"/>
      <c r="E145" s="2208"/>
      <c r="F145" s="2208"/>
    </row>
    <row r="146" spans="1:6" ht="12" customHeight="1">
      <c r="A146" s="2169"/>
      <c r="B146" s="2172"/>
      <c r="C146" s="2208"/>
      <c r="D146" s="2208"/>
      <c r="E146" s="2208"/>
      <c r="F146" s="2208"/>
    </row>
    <row r="147" spans="1:6" ht="12" customHeight="1">
      <c r="A147" s="2169"/>
      <c r="B147" s="2172"/>
      <c r="C147" s="2208"/>
      <c r="D147" s="2208"/>
      <c r="E147" s="2208"/>
      <c r="F147" s="2208"/>
    </row>
    <row r="148" spans="1:6" ht="12" customHeight="1">
      <c r="A148" s="2169"/>
      <c r="B148" s="2172"/>
      <c r="C148" s="2208"/>
      <c r="D148" s="2208"/>
      <c r="E148" s="2208"/>
      <c r="F148" s="2208"/>
    </row>
    <row r="149" spans="1:6" ht="12" customHeight="1">
      <c r="A149" s="2169"/>
      <c r="B149" s="2172"/>
      <c r="C149" s="2208"/>
      <c r="D149" s="2208"/>
      <c r="E149" s="2208"/>
      <c r="F149" s="2208"/>
    </row>
    <row r="150" spans="1:6" ht="12" customHeight="1">
      <c r="A150" s="2169"/>
      <c r="B150" s="2172"/>
      <c r="C150" s="2208"/>
      <c r="D150" s="2208"/>
      <c r="E150" s="2208"/>
      <c r="F150" s="2208"/>
    </row>
    <row r="151" spans="1:6" ht="12" customHeight="1">
      <c r="A151" s="2169"/>
      <c r="B151" s="2172"/>
      <c r="C151" s="2208"/>
      <c r="D151" s="2208"/>
      <c r="E151" s="2208"/>
      <c r="F151" s="2208"/>
    </row>
    <row r="152" spans="1:6" ht="12" customHeight="1">
      <c r="A152" s="2169"/>
      <c r="B152" s="2172"/>
      <c r="C152" s="2208"/>
      <c r="D152" s="2208"/>
      <c r="E152" s="2208"/>
      <c r="F152" s="2208"/>
    </row>
    <row r="153" spans="1:6" ht="12" customHeight="1">
      <c r="A153" s="2169"/>
      <c r="B153" s="2172"/>
      <c r="C153" s="2208"/>
      <c r="D153" s="2208"/>
      <c r="E153" s="2208"/>
      <c r="F153" s="2208"/>
    </row>
    <row r="154" spans="1:6" ht="12" customHeight="1">
      <c r="A154" s="2169"/>
      <c r="B154" s="2172"/>
      <c r="C154" s="2208"/>
      <c r="D154" s="2208"/>
      <c r="E154" s="2208"/>
      <c r="F154" s="2208"/>
    </row>
    <row r="155" spans="1:6" ht="12" customHeight="1">
      <c r="A155" s="2169"/>
      <c r="B155" s="2172"/>
      <c r="C155" s="2208"/>
      <c r="D155" s="2208"/>
      <c r="E155" s="2208"/>
      <c r="F155" s="2208"/>
    </row>
    <row r="156" spans="1:6" ht="12" customHeight="1">
      <c r="A156" s="2169"/>
      <c r="B156" s="2172"/>
      <c r="C156" s="2208"/>
      <c r="D156" s="2208"/>
      <c r="E156" s="2208"/>
      <c r="F156" s="2208"/>
    </row>
    <row r="157" spans="1:6" ht="12" customHeight="1">
      <c r="A157" s="2169"/>
      <c r="B157" s="2172"/>
      <c r="C157" s="2208"/>
      <c r="D157" s="2208"/>
      <c r="E157" s="2208"/>
      <c r="F157" s="2208"/>
    </row>
    <row r="158" spans="1:6" ht="12" customHeight="1">
      <c r="A158" s="2169"/>
      <c r="B158" s="2172"/>
      <c r="C158" s="2208"/>
      <c r="D158" s="2208"/>
      <c r="E158" s="2208"/>
      <c r="F158" s="2208"/>
    </row>
    <row r="159" spans="1:6" ht="12" customHeight="1">
      <c r="A159" s="2169"/>
      <c r="B159" s="2172"/>
      <c r="C159" s="2208"/>
      <c r="D159" s="2208"/>
      <c r="E159" s="2208"/>
      <c r="F159" s="2208"/>
    </row>
    <row r="160" spans="1:6" ht="12" customHeight="1">
      <c r="A160" s="2169"/>
      <c r="B160" s="2172"/>
      <c r="C160" s="2208"/>
      <c r="D160" s="2208"/>
      <c r="E160" s="2208"/>
      <c r="F160" s="2208"/>
    </row>
    <row r="161" spans="1:6" ht="12" customHeight="1">
      <c r="A161" s="2169"/>
      <c r="B161" s="2172"/>
      <c r="C161" s="2208"/>
      <c r="D161" s="2208"/>
      <c r="E161" s="2208"/>
      <c r="F161" s="2208"/>
    </row>
    <row r="162" spans="1:6" ht="12" customHeight="1">
      <c r="A162" s="2169"/>
      <c r="B162" s="2172"/>
      <c r="C162" s="2208"/>
      <c r="D162" s="2208"/>
      <c r="E162" s="2208"/>
      <c r="F162" s="2208"/>
    </row>
    <row r="163" spans="1:6" ht="12" customHeight="1">
      <c r="A163" s="2169"/>
      <c r="B163" s="2172"/>
      <c r="C163" s="2208"/>
      <c r="D163" s="2208"/>
      <c r="E163" s="2208"/>
      <c r="F163" s="2208"/>
    </row>
    <row r="164" spans="1:6" ht="12" customHeight="1">
      <c r="A164" s="2169"/>
      <c r="B164" s="2172"/>
      <c r="C164" s="2208"/>
      <c r="D164" s="2208"/>
      <c r="E164" s="2208"/>
      <c r="F164" s="2208"/>
    </row>
    <row r="165" spans="1:6" ht="12" customHeight="1">
      <c r="A165" s="2169"/>
      <c r="B165" s="2172"/>
      <c r="C165" s="2208"/>
      <c r="D165" s="2208"/>
      <c r="E165" s="2208"/>
      <c r="F165" s="2208"/>
    </row>
    <row r="166" spans="1:6" ht="12" customHeight="1">
      <c r="A166" s="2169"/>
      <c r="B166" s="2172"/>
      <c r="C166" s="2208"/>
      <c r="D166" s="2208"/>
      <c r="E166" s="2208"/>
      <c r="F166" s="2208"/>
    </row>
    <row r="167" spans="1:6" ht="12" customHeight="1">
      <c r="A167" s="2169"/>
      <c r="B167" s="2172"/>
      <c r="C167" s="2208"/>
      <c r="D167" s="2208"/>
      <c r="E167" s="2208"/>
      <c r="F167" s="2208"/>
    </row>
    <row r="168" spans="1:6" ht="12" customHeight="1">
      <c r="A168" s="2169"/>
      <c r="B168" s="2172"/>
      <c r="C168" s="2208"/>
      <c r="D168" s="2208"/>
      <c r="E168" s="2208"/>
      <c r="F168" s="2208"/>
    </row>
    <row r="169" spans="1:6" ht="12" customHeight="1">
      <c r="A169" s="2169"/>
      <c r="B169" s="2172"/>
      <c r="C169" s="2208"/>
      <c r="D169" s="2208"/>
      <c r="E169" s="2208"/>
      <c r="F169" s="2208"/>
    </row>
    <row r="170" spans="1:6" ht="12" customHeight="1">
      <c r="A170" s="2169"/>
      <c r="B170" s="2172"/>
      <c r="C170" s="2208"/>
      <c r="D170" s="2208"/>
      <c r="E170" s="2208"/>
      <c r="F170" s="2208"/>
    </row>
    <row r="171" spans="1:6" ht="12" customHeight="1">
      <c r="A171" s="2169"/>
      <c r="B171" s="2172"/>
      <c r="C171" s="2208"/>
      <c r="D171" s="2208"/>
      <c r="E171" s="2208"/>
      <c r="F171" s="2208"/>
    </row>
    <row r="172" spans="1:6" ht="12" customHeight="1">
      <c r="A172" s="2169"/>
      <c r="B172" s="2172"/>
      <c r="C172" s="2208"/>
      <c r="D172" s="2208"/>
      <c r="E172" s="2208"/>
      <c r="F172" s="2208"/>
    </row>
    <row r="173" spans="1:6" ht="12" customHeight="1">
      <c r="A173" s="2169"/>
      <c r="B173" s="2172"/>
      <c r="C173" s="2208"/>
      <c r="D173" s="2208"/>
      <c r="E173" s="2208"/>
      <c r="F173" s="2208"/>
    </row>
    <row r="174" spans="1:6" ht="12" customHeight="1">
      <c r="A174" s="2169"/>
      <c r="B174" s="2172"/>
      <c r="C174" s="2208"/>
      <c r="D174" s="2208"/>
      <c r="E174" s="2208"/>
      <c r="F174" s="2208"/>
    </row>
    <row r="175" spans="1:6" ht="12" customHeight="1">
      <c r="A175" s="2169"/>
      <c r="B175" s="2172"/>
      <c r="C175" s="2208"/>
      <c r="D175" s="2208"/>
      <c r="E175" s="2208"/>
      <c r="F175" s="2208"/>
    </row>
    <row r="176" spans="1:6" ht="12" customHeight="1">
      <c r="A176" s="2169"/>
      <c r="B176" s="2172"/>
      <c r="C176" s="2208"/>
      <c r="D176" s="2208"/>
      <c r="E176" s="2208"/>
      <c r="F176" s="2208"/>
    </row>
    <row r="177" spans="1:6" ht="12" customHeight="1">
      <c r="A177" s="2169"/>
      <c r="B177" s="2172"/>
      <c r="C177" s="2208"/>
      <c r="D177" s="2208"/>
      <c r="E177" s="2208"/>
      <c r="F177" s="2208"/>
    </row>
    <row r="178" spans="1:6" ht="12" customHeight="1">
      <c r="A178" s="2169"/>
      <c r="B178" s="2172"/>
      <c r="C178" s="2208"/>
      <c r="D178" s="2208"/>
      <c r="E178" s="2208"/>
      <c r="F178" s="2208"/>
    </row>
    <row r="179" spans="1:6" ht="12" customHeight="1">
      <c r="A179" s="2169"/>
      <c r="B179" s="2172"/>
      <c r="C179" s="2208"/>
      <c r="D179" s="2208"/>
      <c r="E179" s="2208"/>
      <c r="F179" s="2208"/>
    </row>
    <row r="180" spans="1:6" ht="12" customHeight="1">
      <c r="A180" s="2169"/>
      <c r="B180" s="2172"/>
      <c r="C180" s="2208"/>
      <c r="D180" s="2208"/>
      <c r="E180" s="2208"/>
      <c r="F180" s="2208"/>
    </row>
    <row r="181" spans="1:6" ht="12" customHeight="1">
      <c r="A181" s="2169"/>
      <c r="B181" s="2172"/>
      <c r="C181" s="2208"/>
      <c r="D181" s="2208"/>
      <c r="E181" s="2208"/>
      <c r="F181" s="2208"/>
    </row>
    <row r="182" spans="1:6" ht="12" customHeight="1">
      <c r="A182" s="2169"/>
      <c r="B182" s="2172"/>
      <c r="C182" s="2208"/>
      <c r="D182" s="2208"/>
      <c r="E182" s="2208"/>
      <c r="F182" s="2208"/>
    </row>
    <row r="183" spans="1:6" ht="12" customHeight="1">
      <c r="A183" s="2169"/>
      <c r="B183" s="2172"/>
      <c r="C183" s="2208"/>
      <c r="D183" s="2208"/>
      <c r="E183" s="2208"/>
      <c r="F183" s="2208"/>
    </row>
    <row r="184" spans="1:6" ht="12" customHeight="1">
      <c r="A184" s="2169"/>
      <c r="B184" s="2172"/>
      <c r="C184" s="2208"/>
      <c r="D184" s="2208"/>
      <c r="E184" s="2208"/>
      <c r="F184" s="2208"/>
    </row>
    <row r="185" spans="1:6" ht="12" customHeight="1">
      <c r="A185" s="2169"/>
      <c r="B185" s="2172"/>
      <c r="C185" s="2208"/>
      <c r="D185" s="2208"/>
      <c r="E185" s="2208"/>
      <c r="F185" s="2208"/>
    </row>
    <row r="186" spans="1:6" ht="12" customHeight="1">
      <c r="A186" s="2169"/>
      <c r="B186" s="2172"/>
      <c r="C186" s="2208"/>
      <c r="D186" s="2208"/>
      <c r="E186" s="2208"/>
      <c r="F186" s="2208"/>
    </row>
    <row r="187" spans="1:6" ht="12" customHeight="1">
      <c r="A187" s="2169"/>
      <c r="B187" s="2172"/>
      <c r="C187" s="2208"/>
      <c r="D187" s="2208"/>
      <c r="E187" s="2208"/>
      <c r="F187" s="2208"/>
    </row>
    <row r="188" spans="1:6" ht="12" customHeight="1">
      <c r="A188" s="2169"/>
      <c r="B188" s="2172"/>
      <c r="C188" s="2208"/>
      <c r="D188" s="2208"/>
      <c r="E188" s="2208"/>
      <c r="F188" s="2208"/>
    </row>
    <row r="189" spans="1:6" ht="12" customHeight="1">
      <c r="A189" s="2169"/>
      <c r="B189" s="2172"/>
      <c r="C189" s="2208"/>
      <c r="D189" s="2208"/>
      <c r="E189" s="2208"/>
      <c r="F189" s="2208"/>
    </row>
    <row r="190" spans="1:6" ht="12" customHeight="1">
      <c r="A190" s="2169"/>
      <c r="B190" s="2172"/>
      <c r="C190" s="2208"/>
      <c r="D190" s="2208"/>
      <c r="E190" s="2208"/>
      <c r="F190" s="2208"/>
    </row>
    <row r="191" spans="1:6" ht="12" customHeight="1">
      <c r="A191" s="2169"/>
      <c r="B191" s="2172"/>
      <c r="C191" s="2208"/>
      <c r="D191" s="2208"/>
      <c r="E191" s="2208"/>
      <c r="F191" s="2208"/>
    </row>
    <row r="192" spans="1:6" ht="12" customHeight="1">
      <c r="A192" s="2169"/>
      <c r="B192" s="2172"/>
      <c r="C192" s="2208"/>
      <c r="D192" s="2208"/>
      <c r="E192" s="2208"/>
      <c r="F192" s="2208"/>
    </row>
    <row r="193" spans="1:6" ht="12" customHeight="1">
      <c r="A193" s="2169"/>
      <c r="B193" s="2172"/>
      <c r="C193" s="2208"/>
      <c r="D193" s="2208"/>
      <c r="E193" s="2208"/>
      <c r="F193" s="2208"/>
    </row>
    <row r="194" spans="1:6" ht="12" customHeight="1">
      <c r="A194" s="2169"/>
      <c r="B194" s="2172"/>
      <c r="C194" s="2208"/>
      <c r="D194" s="2208"/>
      <c r="E194" s="2208"/>
      <c r="F194" s="2208"/>
    </row>
    <row r="195" spans="1:6" ht="12" customHeight="1">
      <c r="A195" s="2169"/>
      <c r="B195" s="2172"/>
      <c r="C195" s="2208"/>
      <c r="D195" s="2208"/>
      <c r="E195" s="2208"/>
      <c r="F195" s="2208"/>
    </row>
    <row r="196" spans="1:6" ht="12" customHeight="1">
      <c r="A196" s="2169"/>
      <c r="B196" s="2172"/>
      <c r="C196" s="2208"/>
      <c r="D196" s="2208"/>
      <c r="E196" s="2208"/>
      <c r="F196" s="2208"/>
    </row>
    <row r="197" spans="1:6" ht="12" customHeight="1">
      <c r="A197" s="2169"/>
      <c r="B197" s="2172"/>
      <c r="C197" s="2208"/>
      <c r="D197" s="2208"/>
      <c r="E197" s="2208"/>
      <c r="F197" s="2208"/>
    </row>
    <row r="198" spans="1:6" ht="12" customHeight="1">
      <c r="A198" s="2169"/>
      <c r="B198" s="2172"/>
      <c r="C198" s="2208"/>
      <c r="D198" s="2208"/>
      <c r="E198" s="2208"/>
      <c r="F198" s="2208"/>
    </row>
    <row r="199" spans="1:6" ht="12" customHeight="1">
      <c r="A199" s="2169"/>
      <c r="B199" s="2172"/>
      <c r="C199" s="2208"/>
      <c r="D199" s="2208"/>
      <c r="E199" s="2208"/>
      <c r="F199" s="2208"/>
    </row>
    <row r="200" spans="1:6" ht="12" customHeight="1">
      <c r="A200" s="2169"/>
      <c r="B200" s="2172"/>
      <c r="C200" s="2208"/>
      <c r="D200" s="2208"/>
      <c r="E200" s="2208"/>
      <c r="F200" s="2208"/>
    </row>
    <row r="201" spans="1:6" ht="12" customHeight="1">
      <c r="A201" s="2169"/>
      <c r="B201" s="2172"/>
      <c r="C201" s="2208"/>
      <c r="D201" s="2208"/>
      <c r="E201" s="2208"/>
      <c r="F201" s="2208"/>
    </row>
    <row r="202" spans="1:6" ht="12" customHeight="1">
      <c r="A202" s="2169"/>
      <c r="B202" s="2172"/>
      <c r="C202" s="2208"/>
      <c r="D202" s="2208"/>
      <c r="E202" s="2208"/>
      <c r="F202" s="2208"/>
    </row>
    <row r="203" spans="1:6" ht="12" customHeight="1">
      <c r="A203" s="2169"/>
      <c r="B203" s="2172"/>
      <c r="C203" s="2208"/>
      <c r="D203" s="2208"/>
      <c r="E203" s="2208"/>
      <c r="F203" s="2208"/>
    </row>
    <row r="204" spans="1:6" ht="12" customHeight="1">
      <c r="A204" s="2169"/>
      <c r="B204" s="2172"/>
      <c r="C204" s="2208"/>
      <c r="D204" s="2208"/>
      <c r="E204" s="2208"/>
      <c r="F204" s="2208"/>
    </row>
    <row r="205" spans="1:6" ht="12" customHeight="1">
      <c r="A205" s="2169"/>
      <c r="B205" s="2172"/>
      <c r="C205" s="2208"/>
      <c r="D205" s="2208"/>
      <c r="E205" s="2208"/>
      <c r="F205" s="2208"/>
    </row>
    <row r="206" spans="1:6" ht="12" customHeight="1">
      <c r="A206" s="2169"/>
      <c r="B206" s="2172"/>
      <c r="C206" s="2208"/>
      <c r="D206" s="2208"/>
      <c r="E206" s="2208"/>
      <c r="F206" s="2208"/>
    </row>
    <row r="207" spans="1:6" ht="12" customHeight="1">
      <c r="A207" s="2169"/>
      <c r="B207" s="2172"/>
      <c r="C207" s="2208"/>
      <c r="D207" s="2208"/>
      <c r="E207" s="2208"/>
      <c r="F207" s="2208"/>
    </row>
    <row r="208" spans="1:6" ht="12" customHeight="1">
      <c r="A208" s="2169"/>
      <c r="B208" s="2172"/>
      <c r="C208" s="2208"/>
      <c r="D208" s="2208"/>
      <c r="E208" s="2208"/>
      <c r="F208" s="2208"/>
    </row>
    <row r="209" spans="1:6" ht="12" customHeight="1">
      <c r="A209" s="2169"/>
      <c r="B209" s="2172"/>
      <c r="C209" s="2208"/>
      <c r="D209" s="2208"/>
      <c r="E209" s="2208"/>
      <c r="F209" s="2208"/>
    </row>
    <row r="210" spans="1:6" ht="12" customHeight="1">
      <c r="A210" s="2169"/>
      <c r="B210" s="2172"/>
      <c r="C210" s="2208"/>
      <c r="D210" s="2208"/>
      <c r="E210" s="2208"/>
      <c r="F210" s="2208"/>
    </row>
    <row r="211" spans="1:6" ht="12" customHeight="1">
      <c r="A211" s="2169"/>
      <c r="B211" s="2172"/>
      <c r="C211" s="2208"/>
      <c r="D211" s="2208"/>
      <c r="E211" s="2208"/>
      <c r="F211" s="2208"/>
    </row>
    <row r="212" spans="1:6" ht="12" customHeight="1">
      <c r="A212" s="2169"/>
      <c r="B212" s="2172"/>
      <c r="C212" s="2208"/>
      <c r="D212" s="2208"/>
      <c r="E212" s="2208"/>
      <c r="F212" s="2208"/>
    </row>
    <row r="213" spans="1:6" ht="12" customHeight="1">
      <c r="A213" s="2169"/>
      <c r="B213" s="2172"/>
      <c r="C213" s="2208"/>
      <c r="D213" s="2208"/>
      <c r="E213" s="2208"/>
      <c r="F213" s="2208"/>
    </row>
    <row r="214" spans="1:6" ht="12" customHeight="1">
      <c r="A214" s="2169"/>
      <c r="B214" s="2172"/>
      <c r="C214" s="2208"/>
      <c r="D214" s="2208"/>
      <c r="E214" s="2208"/>
      <c r="F214" s="2208"/>
    </row>
    <row r="215" spans="1:6" ht="12" customHeight="1">
      <c r="A215" s="2169"/>
      <c r="B215" s="2172"/>
      <c r="C215" s="2208"/>
      <c r="D215" s="2208"/>
      <c r="E215" s="2208"/>
      <c r="F215" s="2208"/>
    </row>
    <row r="216" spans="1:6" ht="12" customHeight="1">
      <c r="A216" s="2169"/>
      <c r="B216" s="2172"/>
      <c r="C216" s="2208"/>
      <c r="D216" s="2208"/>
      <c r="E216" s="2208"/>
      <c r="F216" s="2208"/>
    </row>
    <row r="217" spans="1:6" ht="12" customHeight="1">
      <c r="A217" s="2169"/>
      <c r="B217" s="2172"/>
      <c r="C217" s="2208"/>
      <c r="D217" s="2208"/>
      <c r="E217" s="2208"/>
      <c r="F217" s="2208"/>
    </row>
    <row r="218" spans="1:6" ht="12" customHeight="1">
      <c r="A218" s="2169"/>
      <c r="B218" s="2172"/>
      <c r="C218" s="2208"/>
      <c r="D218" s="2208"/>
      <c r="E218" s="2208"/>
      <c r="F218" s="2208"/>
    </row>
    <row r="219" spans="1:6" ht="12" customHeight="1">
      <c r="A219" s="2169"/>
      <c r="B219" s="2172"/>
      <c r="C219" s="2208"/>
      <c r="D219" s="2208"/>
      <c r="E219" s="2208"/>
      <c r="F219" s="2208"/>
    </row>
    <row r="220" spans="1:6" ht="12" customHeight="1">
      <c r="A220" s="2169"/>
      <c r="B220" s="2172"/>
      <c r="C220" s="2208"/>
      <c r="D220" s="2208"/>
      <c r="E220" s="2208"/>
      <c r="F220" s="2208"/>
    </row>
    <row r="221" spans="1:6" ht="12" customHeight="1">
      <c r="A221" s="2169"/>
      <c r="B221" s="2172"/>
      <c r="C221" s="2208"/>
      <c r="D221" s="2208"/>
      <c r="E221" s="2208"/>
      <c r="F221" s="2208"/>
    </row>
    <row r="222" spans="1:6" ht="12" customHeight="1">
      <c r="A222" s="2169"/>
      <c r="B222" s="2172"/>
      <c r="C222" s="2208"/>
      <c r="D222" s="2208"/>
      <c r="E222" s="2208"/>
      <c r="F222" s="2208"/>
    </row>
    <row r="223" spans="1:6" ht="12" customHeight="1">
      <c r="A223" s="2169"/>
      <c r="B223" s="2172"/>
      <c r="C223" s="2208"/>
      <c r="D223" s="2208"/>
      <c r="E223" s="2208"/>
      <c r="F223" s="2208"/>
    </row>
    <row r="224" spans="1:6" ht="12" customHeight="1">
      <c r="A224" s="2169"/>
      <c r="B224" s="2172"/>
      <c r="C224" s="2208"/>
      <c r="D224" s="2208"/>
      <c r="E224" s="2208"/>
      <c r="F224" s="2208"/>
    </row>
    <row r="225" spans="1:6" ht="12" customHeight="1">
      <c r="A225" s="2169"/>
      <c r="B225" s="2172"/>
      <c r="C225" s="2208"/>
      <c r="D225" s="2208"/>
      <c r="E225" s="2208"/>
      <c r="F225" s="2208"/>
    </row>
    <row r="226" spans="1:6" ht="12" customHeight="1">
      <c r="A226" s="2169"/>
      <c r="B226" s="2172"/>
      <c r="C226" s="2208"/>
      <c r="D226" s="2208"/>
      <c r="E226" s="2208"/>
      <c r="F226" s="2208"/>
    </row>
    <row r="227" spans="1:6" ht="12" customHeight="1">
      <c r="A227" s="2169"/>
      <c r="B227" s="2172"/>
      <c r="C227" s="2208"/>
      <c r="D227" s="2208"/>
      <c r="E227" s="2208"/>
      <c r="F227" s="2208"/>
    </row>
    <row r="228" spans="1:6" ht="12" customHeight="1">
      <c r="A228" s="2169"/>
      <c r="B228" s="2172"/>
      <c r="C228" s="2208"/>
      <c r="D228" s="2208"/>
      <c r="E228" s="2208"/>
      <c r="F228" s="2208"/>
    </row>
    <row r="229" spans="1:6" ht="12" customHeight="1">
      <c r="A229" s="2169"/>
      <c r="B229" s="2172"/>
      <c r="C229" s="2208"/>
      <c r="D229" s="2208"/>
      <c r="E229" s="2208"/>
      <c r="F229" s="2208"/>
    </row>
    <row r="230" spans="1:6" ht="12" customHeight="1">
      <c r="A230" s="2169"/>
      <c r="B230" s="2172"/>
      <c r="C230" s="2208"/>
      <c r="D230" s="2208"/>
      <c r="E230" s="2208"/>
      <c r="F230" s="2208"/>
    </row>
    <row r="231" spans="1:6" ht="12" customHeight="1">
      <c r="A231" s="2169"/>
      <c r="B231" s="2172"/>
      <c r="C231" s="2208"/>
      <c r="D231" s="2208"/>
      <c r="E231" s="2208"/>
      <c r="F231" s="2208"/>
    </row>
    <row r="232" spans="1:6" ht="12" customHeight="1">
      <c r="A232" s="2169"/>
      <c r="B232" s="2172"/>
      <c r="C232" s="2208"/>
      <c r="D232" s="2208"/>
      <c r="E232" s="2208"/>
      <c r="F232" s="2208"/>
    </row>
    <row r="233" spans="1:6" ht="12" customHeight="1">
      <c r="A233" s="2169"/>
      <c r="B233" s="2172"/>
      <c r="C233" s="2208"/>
      <c r="D233" s="2208"/>
      <c r="E233" s="2208"/>
      <c r="F233" s="2208"/>
    </row>
    <row r="234" spans="1:6" ht="12" customHeight="1">
      <c r="A234" s="2169"/>
      <c r="B234" s="2172"/>
      <c r="C234" s="2208"/>
      <c r="D234" s="2208"/>
      <c r="E234" s="2208"/>
      <c r="F234" s="2208"/>
    </row>
    <row r="235" spans="1:6" ht="12" customHeight="1">
      <c r="A235" s="2169"/>
      <c r="B235" s="2172"/>
      <c r="C235" s="2208"/>
      <c r="D235" s="2208"/>
      <c r="E235" s="2208"/>
      <c r="F235" s="2208"/>
    </row>
    <row r="236" spans="1:6" ht="12" customHeight="1">
      <c r="A236" s="2169"/>
      <c r="B236" s="2172"/>
      <c r="C236" s="2208"/>
      <c r="D236" s="2208"/>
      <c r="E236" s="2208"/>
      <c r="F236" s="2208"/>
    </row>
    <row r="237" spans="1:6" ht="12" customHeight="1">
      <c r="A237" s="2169"/>
      <c r="B237" s="2172"/>
      <c r="C237" s="2208"/>
      <c r="D237" s="2208"/>
      <c r="E237" s="2208"/>
      <c r="F237" s="2208"/>
    </row>
    <row r="238" spans="1:6" ht="12" customHeight="1">
      <c r="A238" s="2169"/>
      <c r="B238" s="2172"/>
      <c r="C238" s="2208"/>
      <c r="D238" s="2208"/>
      <c r="E238" s="2208"/>
      <c r="F238" s="2208"/>
    </row>
    <row r="239" spans="1:6" ht="12" customHeight="1">
      <c r="A239" s="2169"/>
      <c r="B239" s="2172"/>
      <c r="C239" s="2208"/>
      <c r="D239" s="2208"/>
      <c r="E239" s="2208"/>
      <c r="F239" s="2208"/>
    </row>
    <row r="240" spans="1:6" ht="12" customHeight="1">
      <c r="A240" s="2169"/>
      <c r="B240" s="2172"/>
      <c r="C240" s="2208"/>
      <c r="D240" s="2208"/>
      <c r="E240" s="2208"/>
      <c r="F240" s="2208"/>
    </row>
    <row r="241" spans="1:6" ht="12" customHeight="1">
      <c r="A241" s="2169"/>
      <c r="B241" s="2172"/>
      <c r="C241" s="2208"/>
      <c r="D241" s="2208"/>
      <c r="E241" s="2208"/>
      <c r="F241" s="2208"/>
    </row>
    <row r="242" spans="1:6" ht="12" customHeight="1">
      <c r="A242" s="2169"/>
      <c r="B242" s="2172"/>
      <c r="C242" s="2208"/>
      <c r="D242" s="2208"/>
      <c r="E242" s="2208"/>
      <c r="F242" s="2208"/>
    </row>
    <row r="243" spans="1:6" ht="12" customHeight="1">
      <c r="A243" s="2169"/>
      <c r="B243" s="2172"/>
      <c r="C243" s="2208"/>
      <c r="D243" s="2208"/>
      <c r="E243" s="2208"/>
      <c r="F243" s="2208"/>
    </row>
    <row r="244" spans="1:6" ht="12" customHeight="1">
      <c r="A244" s="2169"/>
      <c r="B244" s="2172"/>
      <c r="C244" s="2208"/>
      <c r="D244" s="2208"/>
      <c r="E244" s="2208"/>
      <c r="F244" s="2208"/>
    </row>
    <row r="245" spans="1:6" ht="12" customHeight="1">
      <c r="A245" s="2169"/>
      <c r="B245" s="2172"/>
      <c r="C245" s="2208"/>
      <c r="D245" s="2208"/>
      <c r="E245" s="2208"/>
      <c r="F245" s="2208"/>
    </row>
    <row r="246" spans="1:6" ht="12" customHeight="1">
      <c r="A246" s="2169"/>
      <c r="B246" s="2172"/>
      <c r="C246" s="2208"/>
      <c r="D246" s="2208"/>
      <c r="E246" s="2208"/>
      <c r="F246" s="2208"/>
    </row>
    <row r="247" spans="1:6" ht="12" customHeight="1">
      <c r="A247" s="2169"/>
      <c r="B247" s="2172"/>
      <c r="C247" s="2208"/>
      <c r="D247" s="2208"/>
      <c r="E247" s="2208"/>
      <c r="F247" s="2208"/>
    </row>
    <row r="248" spans="1:6" ht="12" customHeight="1">
      <c r="A248" s="2169"/>
      <c r="B248" s="2172"/>
      <c r="C248" s="2208"/>
      <c r="D248" s="2208"/>
      <c r="E248" s="2208"/>
      <c r="F248" s="2208"/>
    </row>
    <row r="249" spans="1:6" ht="12" customHeight="1">
      <c r="A249" s="2169"/>
      <c r="B249" s="2172"/>
      <c r="C249" s="2208"/>
      <c r="D249" s="2208"/>
      <c r="E249" s="2208"/>
      <c r="F249" s="2208"/>
    </row>
    <row r="250" spans="1:6" ht="12" customHeight="1">
      <c r="A250" s="2169"/>
      <c r="B250" s="2172"/>
      <c r="C250" s="2208"/>
      <c r="D250" s="2208"/>
      <c r="E250" s="2208"/>
      <c r="F250" s="2208"/>
    </row>
    <row r="251" spans="1:6" ht="12" customHeight="1">
      <c r="A251" s="2169"/>
      <c r="B251" s="2172"/>
      <c r="C251" s="2208"/>
      <c r="D251" s="2208"/>
      <c r="E251" s="2208"/>
      <c r="F251" s="2208"/>
    </row>
    <row r="252" spans="1:6" ht="12" customHeight="1">
      <c r="A252" s="2169"/>
      <c r="B252" s="2172"/>
      <c r="C252" s="2208"/>
      <c r="D252" s="2208"/>
      <c r="E252" s="2208"/>
      <c r="F252" s="2208"/>
    </row>
    <row r="253" spans="1:6" ht="12" customHeight="1">
      <c r="A253" s="2169"/>
      <c r="B253" s="2172"/>
      <c r="C253" s="2208"/>
      <c r="D253" s="2208"/>
      <c r="E253" s="2208"/>
      <c r="F253" s="2208"/>
    </row>
    <row r="254" spans="1:6" ht="12" customHeight="1">
      <c r="A254" s="2169"/>
      <c r="B254" s="2172"/>
      <c r="C254" s="2208"/>
      <c r="D254" s="2208"/>
      <c r="E254" s="2208"/>
      <c r="F254" s="2208"/>
    </row>
    <row r="255" spans="1:6" ht="12" customHeight="1">
      <c r="A255" s="2169"/>
      <c r="B255" s="2172"/>
      <c r="C255" s="2208"/>
      <c r="D255" s="2208"/>
      <c r="E255" s="2208"/>
      <c r="F255" s="2208"/>
    </row>
    <row r="256" spans="1:6" ht="12" customHeight="1">
      <c r="A256" s="2169"/>
      <c r="B256" s="2172"/>
      <c r="C256" s="2208"/>
      <c r="D256" s="2208"/>
      <c r="E256" s="2208"/>
      <c r="F256" s="2208"/>
    </row>
    <row r="257" spans="1:6" ht="12" customHeight="1">
      <c r="A257" s="2169"/>
      <c r="B257" s="2172"/>
      <c r="C257" s="2208"/>
      <c r="D257" s="2208"/>
      <c r="E257" s="2208"/>
      <c r="F257" s="2208"/>
    </row>
    <row r="258" spans="1:6" ht="12" customHeight="1">
      <c r="A258" s="2169"/>
      <c r="B258" s="2172"/>
      <c r="C258" s="2208"/>
      <c r="D258" s="2208"/>
      <c r="E258" s="2208"/>
      <c r="F258" s="2208"/>
    </row>
    <row r="259" spans="1:6" ht="12" customHeight="1">
      <c r="A259" s="2169"/>
      <c r="B259" s="2172"/>
      <c r="C259" s="2208"/>
      <c r="D259" s="2208"/>
      <c r="E259" s="2208"/>
      <c r="F259" s="2208"/>
    </row>
    <row r="260" spans="1:6" ht="12" customHeight="1">
      <c r="A260" s="2169"/>
      <c r="B260" s="2172"/>
      <c r="C260" s="2208"/>
      <c r="D260" s="2208"/>
      <c r="E260" s="2208"/>
      <c r="F260" s="2208"/>
    </row>
    <row r="261" spans="1:6" ht="12" customHeight="1">
      <c r="A261" s="2169"/>
      <c r="B261" s="2172"/>
      <c r="C261" s="2208"/>
      <c r="D261" s="2208"/>
      <c r="E261" s="2208"/>
      <c r="F261" s="2208"/>
    </row>
    <row r="262" spans="1:6" ht="12" customHeight="1">
      <c r="A262" s="2169"/>
      <c r="B262" s="2172"/>
      <c r="C262" s="2208"/>
      <c r="D262" s="2208"/>
      <c r="E262" s="2208"/>
      <c r="F262" s="2208"/>
    </row>
    <row r="263" spans="1:6" ht="12" customHeight="1">
      <c r="A263" s="2169"/>
      <c r="B263" s="2172"/>
      <c r="C263" s="2208"/>
      <c r="D263" s="2208"/>
      <c r="E263" s="2208"/>
      <c r="F263" s="2208"/>
    </row>
    <row r="264" spans="1:6" ht="12" customHeight="1">
      <c r="A264" s="2169"/>
      <c r="B264" s="2172"/>
      <c r="C264" s="2208"/>
      <c r="D264" s="2208"/>
      <c r="E264" s="2208"/>
      <c r="F264" s="2208"/>
    </row>
    <row r="265" spans="1:6" ht="12" customHeight="1">
      <c r="A265" s="2169"/>
      <c r="B265" s="2172"/>
      <c r="C265" s="2208"/>
      <c r="D265" s="2208"/>
      <c r="E265" s="2208"/>
      <c r="F265" s="2208"/>
    </row>
    <row r="266" spans="1:6" ht="12" customHeight="1">
      <c r="A266" s="2169"/>
      <c r="B266" s="2172"/>
      <c r="C266" s="2208"/>
      <c r="D266" s="2208"/>
      <c r="E266" s="2208"/>
      <c r="F266" s="2208"/>
    </row>
    <row r="267" spans="1:6" ht="12" customHeight="1">
      <c r="A267" s="2169"/>
      <c r="B267" s="2172"/>
      <c r="C267" s="2208"/>
      <c r="D267" s="2208"/>
      <c r="E267" s="2208"/>
      <c r="F267" s="2208"/>
    </row>
    <row r="268" spans="1:6" ht="12" customHeight="1">
      <c r="A268" s="2169"/>
      <c r="B268" s="2172"/>
      <c r="C268" s="2208"/>
      <c r="D268" s="2208"/>
      <c r="E268" s="2208"/>
      <c r="F268" s="2208"/>
    </row>
    <row r="269" spans="1:6" ht="12" customHeight="1">
      <c r="A269" s="2169"/>
      <c r="B269" s="2172"/>
      <c r="C269" s="2208"/>
      <c r="D269" s="2208"/>
      <c r="E269" s="2208"/>
      <c r="F269" s="2208"/>
    </row>
    <row r="270" spans="1:6" ht="12" customHeight="1">
      <c r="A270" s="2169"/>
      <c r="B270" s="2172"/>
      <c r="C270" s="2208"/>
      <c r="D270" s="2208"/>
      <c r="E270" s="2208"/>
      <c r="F270" s="2208"/>
    </row>
    <row r="271" spans="1:6" ht="12" customHeight="1">
      <c r="A271" s="2169"/>
      <c r="B271" s="2172"/>
      <c r="C271" s="2208"/>
      <c r="D271" s="2208"/>
      <c r="E271" s="2208"/>
      <c r="F271" s="2208"/>
    </row>
    <row r="272" spans="1:6" ht="12" customHeight="1">
      <c r="A272" s="2169"/>
      <c r="B272" s="2172"/>
      <c r="C272" s="2208"/>
      <c r="D272" s="2208"/>
      <c r="E272" s="2208"/>
      <c r="F272" s="2208"/>
    </row>
    <row r="273" spans="1:6" ht="12" customHeight="1">
      <c r="A273" s="2169"/>
      <c r="B273" s="2172"/>
      <c r="C273" s="2208"/>
      <c r="D273" s="2208"/>
      <c r="E273" s="2208"/>
      <c r="F273" s="2208"/>
    </row>
    <row r="274" spans="1:6" ht="12" customHeight="1">
      <c r="A274" s="2169"/>
      <c r="B274" s="2172"/>
      <c r="C274" s="2208"/>
      <c r="D274" s="2208"/>
      <c r="E274" s="2208"/>
      <c r="F274" s="2208"/>
    </row>
    <row r="275" spans="1:6" ht="12" customHeight="1">
      <c r="A275" s="2169"/>
      <c r="B275" s="2172"/>
      <c r="C275" s="2208"/>
      <c r="D275" s="2208"/>
      <c r="E275" s="2208"/>
      <c r="F275" s="2208"/>
    </row>
    <row r="276" spans="1:6" ht="12" customHeight="1">
      <c r="A276" s="2169"/>
      <c r="B276" s="2172"/>
      <c r="C276" s="2208"/>
      <c r="D276" s="2208"/>
      <c r="E276" s="2208"/>
      <c r="F276" s="2208"/>
    </row>
    <row r="277" spans="1:6" ht="12" customHeight="1">
      <c r="A277" s="2169"/>
      <c r="B277" s="2172"/>
      <c r="C277" s="2208"/>
      <c r="D277" s="2208"/>
      <c r="E277" s="2208"/>
      <c r="F277" s="2208"/>
    </row>
    <row r="278" spans="1:6" ht="12" customHeight="1">
      <c r="A278" s="2169"/>
      <c r="B278" s="2172"/>
      <c r="C278" s="2208"/>
      <c r="D278" s="2208"/>
      <c r="E278" s="2208"/>
      <c r="F278" s="2208"/>
    </row>
    <row r="279" spans="1:6" ht="12" customHeight="1">
      <c r="A279" s="2169"/>
      <c r="B279" s="2172"/>
      <c r="C279" s="2208"/>
      <c r="D279" s="2208"/>
      <c r="E279" s="2208"/>
      <c r="F279" s="2208"/>
    </row>
    <row r="280" spans="1:6" ht="12" customHeight="1">
      <c r="A280" s="2169"/>
      <c r="B280" s="2172"/>
      <c r="C280" s="2208"/>
      <c r="D280" s="2208"/>
      <c r="E280" s="2208"/>
      <c r="F280" s="2208"/>
    </row>
    <row r="281" spans="1:6" ht="12" customHeight="1">
      <c r="A281" s="2169"/>
      <c r="B281" s="2172"/>
      <c r="C281" s="2208"/>
      <c r="D281" s="2208"/>
      <c r="E281" s="2208"/>
      <c r="F281" s="2208"/>
    </row>
    <row r="282" spans="1:6" ht="12" customHeight="1">
      <c r="A282" s="2169"/>
      <c r="B282" s="2172"/>
      <c r="C282" s="2208"/>
      <c r="D282" s="2208"/>
      <c r="E282" s="2208"/>
      <c r="F282" s="2208"/>
    </row>
    <row r="283" spans="1:6" ht="12" customHeight="1">
      <c r="A283" s="2169"/>
      <c r="B283" s="2172"/>
      <c r="C283" s="2208"/>
      <c r="D283" s="2208"/>
      <c r="E283" s="2208"/>
      <c r="F283" s="2208"/>
    </row>
    <row r="284" spans="1:6" ht="12" customHeight="1">
      <c r="A284" s="2169"/>
      <c r="B284" s="2172"/>
      <c r="C284" s="2208"/>
      <c r="D284" s="2208"/>
      <c r="E284" s="2208"/>
      <c r="F284" s="2208"/>
    </row>
    <row r="285" spans="1:6" ht="12" customHeight="1">
      <c r="A285" s="2169"/>
      <c r="B285" s="2172"/>
      <c r="C285" s="2208"/>
      <c r="D285" s="2208"/>
      <c r="E285" s="2208"/>
      <c r="F285" s="2208"/>
    </row>
    <row r="286" spans="1:6" ht="12" customHeight="1">
      <c r="A286" s="2169"/>
      <c r="B286" s="2172"/>
      <c r="C286" s="2208"/>
      <c r="D286" s="2208"/>
      <c r="E286" s="2208"/>
      <c r="F286" s="2208"/>
    </row>
    <row r="287" spans="1:6" ht="12" customHeight="1">
      <c r="A287" s="2169"/>
      <c r="B287" s="2172"/>
      <c r="C287" s="2208"/>
      <c r="D287" s="2208"/>
      <c r="E287" s="2208"/>
      <c r="F287" s="2208"/>
    </row>
    <row r="288" spans="1:6" ht="12" customHeight="1">
      <c r="A288" s="2169"/>
      <c r="B288" s="2172"/>
      <c r="C288" s="2208"/>
      <c r="D288" s="2208"/>
      <c r="E288" s="2208"/>
      <c r="F288" s="2208"/>
    </row>
    <row r="289" spans="1:6" ht="12" customHeight="1">
      <c r="A289" s="2169"/>
      <c r="B289" s="2172"/>
      <c r="C289" s="2208"/>
      <c r="D289" s="2208"/>
      <c r="E289" s="2208"/>
      <c r="F289" s="2208"/>
    </row>
    <row r="290" spans="1:6" ht="12" customHeight="1">
      <c r="A290" s="2169"/>
      <c r="B290" s="2172"/>
      <c r="C290" s="2208"/>
      <c r="D290" s="2208"/>
      <c r="E290" s="2208"/>
      <c r="F290" s="2208"/>
    </row>
    <row r="291" spans="1:6" ht="12" customHeight="1">
      <c r="A291" s="2169"/>
      <c r="B291" s="2172"/>
      <c r="C291" s="2208"/>
      <c r="D291" s="2208"/>
      <c r="E291" s="2208"/>
      <c r="F291" s="2208"/>
    </row>
    <row r="292" spans="1:6" ht="12" customHeight="1">
      <c r="A292" s="2169"/>
      <c r="B292" s="2172"/>
      <c r="C292" s="2208"/>
      <c r="D292" s="2208"/>
      <c r="E292" s="2208"/>
      <c r="F292" s="2208"/>
    </row>
    <row r="293" spans="1:6" ht="12" customHeight="1">
      <c r="A293" s="2169"/>
      <c r="B293" s="2172"/>
      <c r="C293" s="2208"/>
      <c r="D293" s="2208"/>
      <c r="E293" s="2208"/>
      <c r="F293" s="2208"/>
    </row>
    <row r="294" spans="1:6" ht="12" customHeight="1">
      <c r="A294" s="2169"/>
      <c r="B294" s="2172"/>
      <c r="C294" s="2208"/>
      <c r="D294" s="2208"/>
      <c r="E294" s="2208"/>
      <c r="F294" s="2208"/>
    </row>
    <row r="295" spans="1:6" ht="12" customHeight="1">
      <c r="A295" s="2169"/>
      <c r="B295" s="2172"/>
      <c r="C295" s="2208"/>
      <c r="D295" s="2208"/>
      <c r="E295" s="2208"/>
      <c r="F295" s="2208"/>
    </row>
    <row r="296" spans="1:6" ht="12" customHeight="1">
      <c r="A296" s="2169"/>
      <c r="B296" s="2172"/>
      <c r="C296" s="2208"/>
      <c r="D296" s="2208"/>
      <c r="E296" s="2208"/>
      <c r="F296" s="2208"/>
    </row>
    <row r="297" spans="1:6" ht="12" customHeight="1">
      <c r="A297" s="2169"/>
      <c r="B297" s="2172"/>
      <c r="C297" s="2208"/>
      <c r="D297" s="2208"/>
      <c r="E297" s="2208"/>
      <c r="F297" s="2208"/>
    </row>
    <row r="298" spans="1:6" ht="12" customHeight="1">
      <c r="A298" s="2169"/>
      <c r="B298" s="2172"/>
      <c r="C298" s="2208"/>
      <c r="D298" s="2208"/>
      <c r="E298" s="2208"/>
      <c r="F298" s="2208"/>
    </row>
    <row r="299" spans="1:6" ht="12" customHeight="1">
      <c r="A299" s="2169"/>
      <c r="B299" s="2172"/>
      <c r="C299" s="2208"/>
      <c r="D299" s="2208"/>
      <c r="E299" s="2208"/>
      <c r="F299" s="2208"/>
    </row>
    <row r="300" spans="1:6" ht="12" customHeight="1">
      <c r="A300" s="2169"/>
      <c r="B300" s="2172"/>
      <c r="C300" s="2208"/>
      <c r="D300" s="2208"/>
      <c r="E300" s="2208"/>
      <c r="F300" s="2208"/>
    </row>
    <row r="301" spans="1:6" ht="12" customHeight="1">
      <c r="A301" s="2169"/>
      <c r="B301" s="2172"/>
      <c r="C301" s="2208"/>
      <c r="D301" s="2208"/>
      <c r="E301" s="2208"/>
      <c r="F301" s="2208"/>
    </row>
    <row r="302" spans="1:6" ht="12" customHeight="1">
      <c r="A302" s="2169"/>
      <c r="B302" s="2172"/>
      <c r="C302" s="2208"/>
      <c r="D302" s="2208"/>
      <c r="E302" s="2208"/>
      <c r="F302" s="2208"/>
    </row>
    <row r="303" spans="1:6" ht="12" customHeight="1">
      <c r="A303" s="2169"/>
      <c r="B303" s="2172"/>
      <c r="C303" s="2208"/>
      <c r="D303" s="2208"/>
      <c r="E303" s="2208"/>
      <c r="F303" s="2208"/>
    </row>
    <row r="304" spans="1:6" ht="12" customHeight="1">
      <c r="A304" s="2169"/>
      <c r="B304" s="2172"/>
      <c r="C304" s="2208"/>
      <c r="D304" s="2208"/>
      <c r="E304" s="2208"/>
      <c r="F304" s="2208"/>
    </row>
    <row r="305" spans="1:6" ht="12" customHeight="1">
      <c r="A305" s="2169"/>
      <c r="B305" s="2172"/>
      <c r="C305" s="2208"/>
      <c r="D305" s="2208"/>
      <c r="E305" s="2208"/>
      <c r="F305" s="2208"/>
    </row>
    <row r="306" spans="1:6" ht="12" customHeight="1">
      <c r="A306" s="2169"/>
      <c r="B306" s="2172"/>
      <c r="C306" s="2208"/>
      <c r="D306" s="2208"/>
      <c r="E306" s="2208"/>
      <c r="F306" s="2208"/>
    </row>
    <row r="307" spans="1:6" ht="12" customHeight="1">
      <c r="A307" s="2169"/>
      <c r="B307" s="2172"/>
      <c r="C307" s="2208"/>
      <c r="D307" s="2208"/>
      <c r="E307" s="2208"/>
      <c r="F307" s="2208"/>
    </row>
    <row r="308" spans="1:6" ht="12" customHeight="1">
      <c r="A308" s="2169"/>
      <c r="B308" s="2172"/>
      <c r="C308" s="2208"/>
      <c r="D308" s="2208"/>
      <c r="E308" s="2208"/>
      <c r="F308" s="2208"/>
    </row>
  </sheetData>
  <sheetProtection algorithmName="SHA-512" hashValue="cgsEZGeoaaM6tMnPEN1YRZVskr8ZgRCJXWHQhazKlbFX2QxfdlPx10d99Ve46IyfOq1QK3QChEKk0iEafPmdRw==" saltValue="6agDTVsVJP3mvu7sLUdzhQ==" spinCount="100000" sheet="1" objects="1" scenarios="1"/>
  <phoneticPr fontId="10" type="noConversion"/>
  <dataValidations count="4">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zero." sqref="C10:D10 C14 C15:D15 C18:C19 C18:D18 D19:E19 F20 C22:D22 C24:D24 C28:D28 F34">
      <formula1>0</formula1>
    </dataValidation>
    <dataValidation type="whole" operator="greaterThanOrEqual" showInputMessage="1" showErrorMessage="1" errorTitle="Invalid data entry" error="Please enter a positive number or press the delete key or enter zero." sqref="C32:E32">
      <formula1>0</formula1>
    </dataValidation>
    <dataValidation type="whole" operator="greaterThanOrEqual" allowBlank="1" showInputMessage="1" showErrorMessage="1" errorTitle="Invalid Data Entry" error="Please enter a positive number or press the delete key or enter zero." sqref="C26">
      <formula1>0</formula1>
    </dataValidation>
  </dataValidations>
  <hyperlinks>
    <hyperlink ref="H1" location="Contents!F1" display="Return to Contents page"/>
  </hyperlinks>
  <printOptions horizontalCentered="1"/>
  <pageMargins left="0.25" right="0.25" top="0.5" bottom="0.5" header="0.5" footer="0.5"/>
  <pageSetup orientation="portrait" blackAndWhite="1" r:id="rId1"/>
  <headerFooter alignWithMargins="0">
    <oddFooter>&amp;L&amp;D     &amp;T &amp;CCode No. 82</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4" tint="0.39997558519241921"/>
    <pageSetUpPr fitToPage="1"/>
  </sheetPr>
  <dimension ref="A1:M308"/>
  <sheetViews>
    <sheetView workbookViewId="0">
      <selection activeCell="C9" sqref="C9"/>
    </sheetView>
  </sheetViews>
  <sheetFormatPr defaultColWidth="9.42578125" defaultRowHeight="12" customHeight="1"/>
  <cols>
    <col min="1" max="1" width="40.85546875" style="2222" customWidth="1"/>
    <col min="2" max="2" width="5.140625" style="2257" customWidth="1"/>
    <col min="3" max="3" width="14.7109375" style="2216" customWidth="1"/>
    <col min="4" max="4" width="13.85546875" style="2216" customWidth="1"/>
    <col min="5" max="6" width="14.140625" style="2216" customWidth="1"/>
    <col min="7" max="7" width="3.140625" style="2216" customWidth="1"/>
    <col min="8" max="8" width="21.140625" style="2216" customWidth="1"/>
    <col min="9" max="16384" width="9.42578125" style="2216"/>
  </cols>
  <sheetData>
    <row r="1" spans="1:13" ht="12" customHeight="1">
      <c r="A1" s="2213" t="s">
        <v>987</v>
      </c>
      <c r="B1" s="2214">
        <f>OPEN!$B$4</f>
        <v>270</v>
      </c>
      <c r="C1" s="2215"/>
      <c r="D1" s="2215"/>
      <c r="E1" s="2215"/>
      <c r="F1" s="2213" t="s">
        <v>1020</v>
      </c>
      <c r="H1" s="3013" t="s">
        <v>866</v>
      </c>
    </row>
    <row r="2" spans="1:13" ht="12" customHeight="1">
      <c r="A2" s="2215"/>
      <c r="B2" s="2217"/>
      <c r="C2" s="2215"/>
      <c r="D2" s="2215"/>
      <c r="E2" s="2215"/>
      <c r="F2" s="2213" t="s">
        <v>1212</v>
      </c>
    </row>
    <row r="3" spans="1:13" ht="12" customHeight="1">
      <c r="A3" s="2215"/>
      <c r="B3" s="2217"/>
      <c r="C3" s="2215"/>
      <c r="D3" s="2215"/>
      <c r="E3" s="2215"/>
      <c r="F3" s="2213" t="str">
        <f>OPEN!N2</f>
        <v>2016-2017</v>
      </c>
    </row>
    <row r="4" spans="1:13" ht="12.75" customHeight="1">
      <c r="A4" s="2215"/>
      <c r="B4" s="2217"/>
      <c r="C4" s="2215"/>
      <c r="D4" s="2215"/>
      <c r="E4" s="2215"/>
      <c r="F4" s="2215"/>
    </row>
    <row r="5" spans="1:13" ht="12" customHeight="1">
      <c r="A5" s="2215"/>
      <c r="B5" s="2217"/>
      <c r="C5" s="2218" t="s">
        <v>1213</v>
      </c>
      <c r="D5" s="2218" t="s">
        <v>1213</v>
      </c>
      <c r="E5" s="2218" t="s">
        <v>1213</v>
      </c>
      <c r="F5" s="2218" t="s">
        <v>10</v>
      </c>
    </row>
    <row r="6" spans="1:13" ht="12" customHeight="1">
      <c r="A6" s="2219" t="s">
        <v>909</v>
      </c>
      <c r="B6" s="2220" t="s">
        <v>1045</v>
      </c>
      <c r="C6" s="2221" t="str">
        <f>OPEN!N4</f>
        <v>2014-2015</v>
      </c>
      <c r="D6" s="2221" t="str">
        <f>OPEN!O4</f>
        <v>2015-2016</v>
      </c>
      <c r="E6" s="2221" t="str">
        <f>OPEN!P4</f>
        <v>2016-2017</v>
      </c>
      <c r="F6" s="2221" t="s">
        <v>758</v>
      </c>
      <c r="K6" s="2222"/>
      <c r="L6" s="2222"/>
      <c r="M6" s="2222"/>
    </row>
    <row r="7" spans="1:13" ht="12" customHeight="1">
      <c r="A7" s="2219" t="s">
        <v>912</v>
      </c>
      <c r="B7" s="2223">
        <v>83</v>
      </c>
      <c r="C7" s="2224" t="s">
        <v>1139</v>
      </c>
      <c r="D7" s="2224" t="s">
        <v>1139</v>
      </c>
      <c r="E7" s="2224" t="s">
        <v>1215</v>
      </c>
      <c r="F7" s="2224" t="s">
        <v>16</v>
      </c>
    </row>
    <row r="8" spans="1:13" ht="12" customHeight="1">
      <c r="A8" s="3945" t="s">
        <v>1787</v>
      </c>
      <c r="B8" s="2225" t="s">
        <v>1051</v>
      </c>
      <c r="C8" s="2226">
        <v>1</v>
      </c>
      <c r="D8" s="2226">
        <v>2</v>
      </c>
      <c r="E8" s="2226">
        <v>3</v>
      </c>
      <c r="F8" s="2226">
        <v>4</v>
      </c>
    </row>
    <row r="9" spans="1:13" ht="12" customHeight="1">
      <c r="A9" s="2227" t="s">
        <v>1218</v>
      </c>
      <c r="B9" s="2225">
        <v>1</v>
      </c>
      <c r="C9" s="2228"/>
      <c r="D9" s="2229">
        <f>C36</f>
        <v>0</v>
      </c>
      <c r="E9" s="2229">
        <f>D36</f>
        <v>0</v>
      </c>
      <c r="F9" s="2230">
        <f>E9</f>
        <v>0</v>
      </c>
    </row>
    <row r="10" spans="1:13" ht="12" customHeight="1">
      <c r="A10" s="2231" t="s">
        <v>1403</v>
      </c>
      <c r="B10" s="2223">
        <v>3</v>
      </c>
      <c r="C10" s="2232"/>
      <c r="D10" s="2232"/>
      <c r="E10" s="2233"/>
      <c r="F10" s="2233"/>
    </row>
    <row r="11" spans="1:13" ht="12" customHeight="1">
      <c r="A11" s="2234" t="s">
        <v>19</v>
      </c>
      <c r="B11" s="2220"/>
      <c r="C11" s="2235"/>
      <c r="D11" s="2235"/>
      <c r="E11" s="2233"/>
      <c r="F11" s="2233"/>
    </row>
    <row r="12" spans="1:13" ht="12" customHeight="1">
      <c r="A12" s="2231" t="s">
        <v>816</v>
      </c>
      <c r="B12" s="2223"/>
      <c r="C12" s="2233"/>
      <c r="D12" s="2233"/>
      <c r="E12" s="2233"/>
      <c r="F12" s="2233"/>
    </row>
    <row r="13" spans="1:13" ht="12" customHeight="1">
      <c r="A13" s="2231" t="s">
        <v>817</v>
      </c>
      <c r="B13" s="2223"/>
      <c r="C13" s="2233"/>
      <c r="D13" s="2233"/>
      <c r="E13" s="2233"/>
      <c r="F13" s="2233"/>
    </row>
    <row r="14" spans="1:13" ht="12" customHeight="1">
      <c r="A14" s="2227" t="str">
        <f>OPEN!N8</f>
        <v xml:space="preserve">    2013  $</v>
      </c>
      <c r="B14" s="2225">
        <v>5</v>
      </c>
      <c r="C14" s="2228"/>
      <c r="D14" s="2233"/>
      <c r="E14" s="2233"/>
      <c r="F14" s="2233"/>
    </row>
    <row r="15" spans="1:13" ht="12" customHeight="1">
      <c r="A15" s="2236" t="str">
        <f>OPEN!N9</f>
        <v xml:space="preserve">    2014  $</v>
      </c>
      <c r="B15" s="2237">
        <v>10</v>
      </c>
      <c r="C15" s="2238"/>
      <c r="D15" s="2228"/>
      <c r="E15" s="2233"/>
      <c r="F15" s="2233"/>
    </row>
    <row r="16" spans="1:13" ht="12" customHeight="1">
      <c r="A16" s="2227" t="str">
        <f>OPEN!N10</f>
        <v xml:space="preserve">    2015  $</v>
      </c>
      <c r="B16" s="2225">
        <v>15</v>
      </c>
      <c r="C16" s="2235"/>
      <c r="D16" s="2229">
        <f>'C04'!$E$27</f>
        <v>0</v>
      </c>
      <c r="E16" s="2229">
        <f>'F110'!$K$172</f>
        <v>0</v>
      </c>
      <c r="F16" s="2229">
        <f>E16</f>
        <v>0</v>
      </c>
    </row>
    <row r="17" spans="1:6" ht="12" customHeight="1">
      <c r="A17" s="2236" t="str">
        <f>OPEN!N11</f>
        <v xml:space="preserve">    2016  $</v>
      </c>
      <c r="B17" s="2237">
        <v>20</v>
      </c>
      <c r="C17" s="2233"/>
      <c r="D17" s="2235"/>
      <c r="E17" s="2230">
        <f>'C04'!$L$27</f>
        <v>0</v>
      </c>
      <c r="F17" s="2235"/>
    </row>
    <row r="18" spans="1:6" ht="12" customHeight="1">
      <c r="A18" s="2236" t="s">
        <v>1876</v>
      </c>
      <c r="B18" s="2237">
        <v>25</v>
      </c>
      <c r="C18" s="2228"/>
      <c r="D18" s="4130"/>
      <c r="E18" s="2229">
        <f>0.667*F18</f>
        <v>0</v>
      </c>
      <c r="F18" s="3372">
        <f>'F110'!$K$176</f>
        <v>0</v>
      </c>
    </row>
    <row r="19" spans="1:6" ht="12" customHeight="1">
      <c r="A19" s="2236" t="s">
        <v>821</v>
      </c>
      <c r="B19" s="2237">
        <v>30</v>
      </c>
      <c r="C19" s="2238"/>
      <c r="D19" s="2238"/>
      <c r="E19" s="2228"/>
      <c r="F19" s="2230">
        <f>E19</f>
        <v>0</v>
      </c>
    </row>
    <row r="20" spans="1:6" ht="12" customHeight="1">
      <c r="A20" s="2227" t="s">
        <v>820</v>
      </c>
      <c r="B20" s="2225">
        <v>35</v>
      </c>
      <c r="C20" s="2235"/>
      <c r="D20" s="2235"/>
      <c r="E20" s="2235"/>
      <c r="F20" s="2228"/>
    </row>
    <row r="21" spans="1:6" ht="12" customHeight="1">
      <c r="A21" s="2234" t="s">
        <v>822</v>
      </c>
      <c r="B21" s="2220"/>
      <c r="C21" s="2233"/>
      <c r="D21" s="2233"/>
      <c r="E21" s="2233"/>
      <c r="F21" s="2235"/>
    </row>
    <row r="22" spans="1:6" ht="12" customHeight="1">
      <c r="A22" s="2227" t="s">
        <v>288</v>
      </c>
      <c r="B22" s="2225">
        <v>45</v>
      </c>
      <c r="C22" s="2228"/>
      <c r="D22" s="2228"/>
      <c r="E22" s="2229">
        <f>IF(ISERROR('F194'!$H$91+'F194'!$H$33+'F194'!$P$91+'F194'!$P$33),0,('F194'!$H$91+'F194'!$H$33+'F194'!$P$91+'F194'!$P$33))</f>
        <v>0</v>
      </c>
      <c r="F22" s="2229">
        <f>E22</f>
        <v>0</v>
      </c>
    </row>
    <row r="23" spans="1:6" ht="12" customHeight="1">
      <c r="A23" s="2236" t="s">
        <v>820</v>
      </c>
      <c r="B23" s="2237">
        <v>50</v>
      </c>
      <c r="C23" s="2235"/>
      <c r="D23" s="2235"/>
      <c r="E23" s="2235"/>
      <c r="F23" s="2230">
        <f>F22*0.5</f>
        <v>0</v>
      </c>
    </row>
    <row r="24" spans="1:6" ht="12" customHeight="1">
      <c r="A24" s="2227" t="s">
        <v>31</v>
      </c>
      <c r="B24" s="2225">
        <v>55</v>
      </c>
      <c r="C24" s="2228"/>
      <c r="D24" s="2228"/>
      <c r="E24" s="2229">
        <f>IF(ISERROR('F194'!$L$91+'F194'!$L$33),0,('F194'!$L$91+'F194'!$L$33))</f>
        <v>0</v>
      </c>
      <c r="F24" s="2230">
        <f>E24</f>
        <v>0</v>
      </c>
    </row>
    <row r="25" spans="1:6" ht="12" customHeight="1">
      <c r="A25" s="2227" t="s">
        <v>32</v>
      </c>
      <c r="B25" s="2225">
        <v>56</v>
      </c>
      <c r="C25" s="2233"/>
      <c r="D25" s="2233"/>
      <c r="E25" s="2233"/>
      <c r="F25" s="2230">
        <f>F24*0.5</f>
        <v>0</v>
      </c>
    </row>
    <row r="26" spans="1:6" ht="12" customHeight="1">
      <c r="A26" s="5147" t="s">
        <v>1870</v>
      </c>
      <c r="B26" s="5148">
        <v>57</v>
      </c>
      <c r="C26" s="4244"/>
      <c r="D26" s="4244"/>
      <c r="E26" s="2229">
        <f>IF(ISERROR('F194'!$R$33+'F194'!$R$91),0,('F194'!$R$33+'F194'!$R$91))</f>
        <v>0</v>
      </c>
      <c r="F26" s="2230">
        <f>E26</f>
        <v>0</v>
      </c>
    </row>
    <row r="27" spans="1:6" ht="12" customHeight="1">
      <c r="A27" s="5147" t="s">
        <v>32</v>
      </c>
      <c r="B27" s="5148">
        <v>58</v>
      </c>
      <c r="C27" s="2233"/>
      <c r="D27" s="2233"/>
      <c r="E27" s="5149"/>
      <c r="F27" s="2230">
        <f>F26*0.5</f>
        <v>0</v>
      </c>
    </row>
    <row r="28" spans="1:6" ht="12" customHeight="1">
      <c r="A28" s="2227" t="s">
        <v>1939</v>
      </c>
      <c r="B28" s="2225">
        <v>60</v>
      </c>
      <c r="C28" s="2232"/>
      <c r="D28" s="2232"/>
      <c r="E28" s="2229">
        <f>IF(ISERROR('F194'!$N$33+'F194'!$N$91),0,('F194'!$N$33+'F194'!$N$91))</f>
        <v>0</v>
      </c>
      <c r="F28" s="2230">
        <f>E28</f>
        <v>0</v>
      </c>
    </row>
    <row r="29" spans="1:6" ht="12" customHeight="1">
      <c r="A29" s="2243" t="s">
        <v>820</v>
      </c>
      <c r="B29" s="3406">
        <v>65</v>
      </c>
      <c r="C29" s="2241"/>
      <c r="D29" s="3371"/>
      <c r="E29" s="3371"/>
      <c r="F29" s="2230">
        <f>F28*0.5</f>
        <v>0</v>
      </c>
    </row>
    <row r="30" spans="1:6" ht="12" customHeight="1">
      <c r="A30" s="2242" t="s">
        <v>52</v>
      </c>
      <c r="B30" s="3407">
        <v>70</v>
      </c>
      <c r="C30" s="2229">
        <f>SUM(C9:C29)</f>
        <v>0</v>
      </c>
      <c r="D30" s="3372">
        <f>SUM(D9:D29)</f>
        <v>0</v>
      </c>
      <c r="E30" s="3372">
        <f>SUM(E9:E29)</f>
        <v>0</v>
      </c>
      <c r="F30" s="2229">
        <f>SUM(F9:F29)</f>
        <v>0</v>
      </c>
    </row>
    <row r="31" spans="1:6" ht="12" customHeight="1">
      <c r="A31" s="2243" t="s">
        <v>874</v>
      </c>
      <c r="B31" s="2221"/>
      <c r="C31" s="2233"/>
      <c r="D31" s="2233"/>
      <c r="E31" s="2235"/>
      <c r="F31" s="2235"/>
    </row>
    <row r="32" spans="1:6" ht="12" customHeight="1">
      <c r="A32" s="2244" t="s">
        <v>913</v>
      </c>
      <c r="B32" s="2245">
        <v>75</v>
      </c>
      <c r="C32" s="2232"/>
      <c r="D32" s="2232"/>
      <c r="E32" s="2232"/>
      <c r="F32" s="2233"/>
    </row>
    <row r="33" spans="1:9" ht="12" customHeight="1">
      <c r="A33" s="2239" t="s">
        <v>914</v>
      </c>
      <c r="B33" s="2240">
        <v>175</v>
      </c>
      <c r="C33" s="2230">
        <f>SUM(C31:C32)</f>
        <v>0</v>
      </c>
      <c r="D33" s="2230">
        <f>SUM(D31:D32)</f>
        <v>0</v>
      </c>
      <c r="E33" s="2230">
        <f>SUM(E31:E32)</f>
        <v>0</v>
      </c>
      <c r="F33" s="2229">
        <f>E33</f>
        <v>0</v>
      </c>
    </row>
    <row r="34" spans="1:9" ht="12" customHeight="1">
      <c r="A34" s="2244" t="s">
        <v>32</v>
      </c>
      <c r="B34" s="2245">
        <v>180</v>
      </c>
      <c r="C34" s="2246" t="s">
        <v>51</v>
      </c>
      <c r="D34" s="2246" t="s">
        <v>51</v>
      </c>
      <c r="E34" s="2246" t="s">
        <v>1189</v>
      </c>
      <c r="F34" s="2238"/>
    </row>
    <row r="35" spans="1:9" ht="12" customHeight="1">
      <c r="A35" s="2247" t="s">
        <v>915</v>
      </c>
      <c r="B35" s="2248">
        <v>185</v>
      </c>
      <c r="C35" s="2246" t="s">
        <v>51</v>
      </c>
      <c r="D35" s="2246" t="s">
        <v>51</v>
      </c>
      <c r="E35" s="2246" t="s">
        <v>1189</v>
      </c>
      <c r="F35" s="2230">
        <f>SUM(F33:F34)</f>
        <v>0</v>
      </c>
    </row>
    <row r="36" spans="1:9" ht="12" customHeight="1">
      <c r="A36" s="2244" t="s">
        <v>916</v>
      </c>
      <c r="B36" s="2245">
        <v>190</v>
      </c>
      <c r="C36" s="2229">
        <f>SUM(C30-C33)</f>
        <v>0</v>
      </c>
      <c r="D36" s="2229">
        <f>SUM(D30-D33)</f>
        <v>0</v>
      </c>
      <c r="E36" s="2229">
        <f>SUM(E30-E33)</f>
        <v>0</v>
      </c>
      <c r="F36" s="2246" t="s">
        <v>1189</v>
      </c>
    </row>
    <row r="37" spans="1:9" ht="12" customHeight="1">
      <c r="A37" s="2249" t="s">
        <v>908</v>
      </c>
      <c r="B37" s="2240">
        <v>195</v>
      </c>
      <c r="C37" s="2250" t="s">
        <v>768</v>
      </c>
      <c r="D37" s="2251"/>
      <c r="E37" s="2252"/>
      <c r="F37" s="2230">
        <f>SUM(F35-F30)</f>
        <v>0</v>
      </c>
    </row>
    <row r="38" spans="1:9" ht="12" customHeight="1">
      <c r="A38" s="2253" t="s">
        <v>908</v>
      </c>
      <c r="B38" s="2245">
        <v>200</v>
      </c>
      <c r="C38" s="2250" t="s">
        <v>763</v>
      </c>
      <c r="D38" s="2251"/>
      <c r="E38" s="2252"/>
      <c r="F38" s="2230">
        <f>F37*'C01'!$F$119/100</f>
        <v>0</v>
      </c>
    </row>
    <row r="39" spans="1:9" ht="12" customHeight="1">
      <c r="A39" s="2249"/>
      <c r="B39" s="2240">
        <v>205</v>
      </c>
      <c r="C39" s="2250" t="str">
        <f>OPEN!N6</f>
        <v>Amount of 2016 Tax to be Levied</v>
      </c>
      <c r="D39" s="2251"/>
      <c r="E39" s="2252"/>
      <c r="F39" s="2230">
        <f>SUM(F37:F38)</f>
        <v>0</v>
      </c>
      <c r="H39" s="3190" t="s">
        <v>396</v>
      </c>
      <c r="I39" s="3191">
        <f>IF(ISERROR(F39/OPEN!A14*1000),"Check errors below",F39/OPEN!A14*1000)</f>
        <v>0</v>
      </c>
    </row>
    <row r="40" spans="1:9" ht="12" customHeight="1">
      <c r="A40" s="2253"/>
      <c r="B40" s="2790"/>
      <c r="C40" s="2215"/>
      <c r="D40" s="2215"/>
      <c r="E40" s="2215"/>
      <c r="F40" s="2215" t="str">
        <f>IF((F39/OPEN!A14)/1000&gt;'C02'!$E$21,"Error!!!"," ")</f>
        <v xml:space="preserve"> </v>
      </c>
      <c r="H40" s="3192" t="str">
        <f>OPEN!N40</f>
        <v/>
      </c>
      <c r="I40" s="2215"/>
    </row>
    <row r="41" spans="1:9" ht="12" customHeight="1">
      <c r="A41" s="2249"/>
      <c r="B41" s="2254"/>
      <c r="C41" s="2215"/>
      <c r="D41" s="2215"/>
      <c r="E41" s="2215"/>
      <c r="F41" s="2215" t="str">
        <f>IF(F40="Error!!!","Levy amt. &gt; mills levied on Code 02"," ")</f>
        <v xml:space="preserve"> </v>
      </c>
    </row>
    <row r="42" spans="1:9" ht="12" customHeight="1">
      <c r="A42" s="2249"/>
      <c r="B42" s="2790" t="s">
        <v>1364</v>
      </c>
      <c r="C42" s="2215"/>
      <c r="D42" s="2215"/>
      <c r="E42" s="2215"/>
      <c r="F42" s="2215"/>
    </row>
    <row r="43" spans="1:9" ht="12" customHeight="1">
      <c r="A43" s="2249"/>
      <c r="B43" s="2254"/>
      <c r="C43" s="2215"/>
      <c r="D43" s="2215"/>
      <c r="E43" s="2215"/>
      <c r="F43" s="2215"/>
    </row>
    <row r="44" spans="1:9" ht="12" customHeight="1">
      <c r="A44" s="2249"/>
      <c r="B44" s="2254"/>
      <c r="C44" s="2215"/>
      <c r="D44" s="2215"/>
      <c r="E44" s="2215"/>
      <c r="F44" s="2215"/>
    </row>
    <row r="45" spans="1:9" ht="12" customHeight="1">
      <c r="A45" s="2215"/>
      <c r="B45" s="2218"/>
      <c r="C45" s="2215"/>
      <c r="D45" s="2215"/>
      <c r="E45" s="2215"/>
      <c r="F45" s="2215"/>
    </row>
    <row r="46" spans="1:9" ht="12" customHeight="1">
      <c r="A46" s="2215"/>
      <c r="B46" s="2218"/>
      <c r="C46" s="2215"/>
      <c r="D46" s="2215"/>
      <c r="E46" s="2215"/>
      <c r="F46" s="2215"/>
    </row>
    <row r="47" spans="1:9" ht="12" customHeight="1">
      <c r="A47" s="2215"/>
      <c r="B47" s="2218"/>
      <c r="C47" s="2215"/>
      <c r="D47" s="2215"/>
      <c r="E47" s="2215"/>
      <c r="F47" s="2215"/>
    </row>
    <row r="48" spans="1:9" ht="12" customHeight="1">
      <c r="A48" s="2215"/>
      <c r="B48" s="2218"/>
      <c r="C48" s="2215"/>
      <c r="D48" s="2215"/>
      <c r="E48" s="2215"/>
      <c r="F48" s="2215"/>
    </row>
    <row r="49" spans="1:6" ht="12" customHeight="1">
      <c r="A49" s="2215"/>
      <c r="B49" s="2218"/>
      <c r="C49" s="2215"/>
      <c r="D49" s="2215"/>
      <c r="E49" s="2215"/>
      <c r="F49" s="2215"/>
    </row>
    <row r="50" spans="1:6" ht="12" customHeight="1">
      <c r="A50" s="2215"/>
      <c r="B50" s="2218"/>
      <c r="C50" s="2215"/>
      <c r="D50" s="2215"/>
      <c r="E50" s="2215"/>
      <c r="F50" s="2215"/>
    </row>
    <row r="51" spans="1:6" ht="12" customHeight="1">
      <c r="A51" s="2215"/>
      <c r="B51" s="2218"/>
      <c r="C51" s="2215"/>
      <c r="D51" s="2215"/>
      <c r="E51" s="2215"/>
      <c r="F51" s="2215"/>
    </row>
    <row r="52" spans="1:6" ht="12" customHeight="1">
      <c r="A52" s="2215"/>
      <c r="B52" s="2218"/>
      <c r="C52" s="2215"/>
      <c r="D52" s="2215"/>
      <c r="E52" s="2215"/>
      <c r="F52" s="2215"/>
    </row>
    <row r="53" spans="1:6" ht="12" customHeight="1">
      <c r="A53" s="2215"/>
      <c r="B53" s="2218"/>
      <c r="C53" s="2215"/>
      <c r="D53" s="2215"/>
      <c r="E53" s="2215"/>
      <c r="F53" s="2215"/>
    </row>
    <row r="54" spans="1:6" ht="12" customHeight="1">
      <c r="A54" s="2215"/>
      <c r="B54" s="2218"/>
      <c r="C54" s="2215"/>
      <c r="D54" s="2215"/>
      <c r="E54" s="2215"/>
      <c r="F54" s="2215"/>
    </row>
    <row r="55" spans="1:6" ht="12" customHeight="1">
      <c r="A55" s="2215"/>
      <c r="B55" s="2218"/>
      <c r="C55" s="2215"/>
      <c r="D55" s="2215"/>
      <c r="E55" s="2215"/>
      <c r="F55" s="2215"/>
    </row>
    <row r="56" spans="1:6" ht="12" customHeight="1">
      <c r="A56" s="2215"/>
      <c r="B56" s="2218"/>
      <c r="C56" s="2215"/>
      <c r="D56" s="2215"/>
      <c r="E56" s="2215"/>
      <c r="F56" s="2215"/>
    </row>
    <row r="57" spans="1:6" ht="12.75" customHeight="1">
      <c r="A57" s="2215"/>
      <c r="B57" s="2218"/>
      <c r="C57" s="2215"/>
      <c r="D57" s="2215"/>
      <c r="E57" s="2215"/>
      <c r="F57" s="2215"/>
    </row>
    <row r="58" spans="1:6" ht="12" customHeight="1">
      <c r="A58" s="2215"/>
      <c r="B58" s="2218"/>
      <c r="C58" s="2215"/>
      <c r="D58" s="2215"/>
      <c r="E58" s="2215"/>
      <c r="F58" s="2215"/>
    </row>
    <row r="59" spans="1:6" ht="12.75" customHeight="1">
      <c r="A59" s="2215"/>
      <c r="B59" s="2218"/>
      <c r="C59" s="2215"/>
      <c r="D59" s="2215"/>
      <c r="E59" s="2215"/>
      <c r="F59" s="2215"/>
    </row>
    <row r="60" spans="1:6" ht="12" customHeight="1">
      <c r="A60" s="2215"/>
      <c r="B60" s="2218"/>
      <c r="C60" s="2215"/>
      <c r="D60" s="2215"/>
      <c r="E60" s="2215"/>
      <c r="F60" s="2215"/>
    </row>
    <row r="61" spans="1:6" ht="12" customHeight="1">
      <c r="A61" s="2255"/>
      <c r="B61" s="2255"/>
      <c r="C61" s="2255"/>
      <c r="D61" s="2255"/>
      <c r="E61" s="2255"/>
      <c r="F61" s="2255"/>
    </row>
    <row r="62" spans="1:6" ht="12" customHeight="1">
      <c r="A62" s="2215"/>
      <c r="B62" s="2218"/>
      <c r="C62" s="2256"/>
      <c r="D62" s="2256"/>
      <c r="E62" s="2256"/>
      <c r="F62" s="2256"/>
    </row>
    <row r="63" spans="1:6" ht="12" customHeight="1">
      <c r="A63" s="2215"/>
      <c r="B63" s="2218"/>
      <c r="C63" s="2256"/>
      <c r="D63" s="2256"/>
      <c r="E63" s="2256"/>
      <c r="F63" s="2256"/>
    </row>
    <row r="64" spans="1:6" ht="12" customHeight="1">
      <c r="A64" s="2215"/>
      <c r="B64" s="2218"/>
      <c r="C64" s="2256"/>
      <c r="D64" s="2256"/>
      <c r="E64" s="2256"/>
      <c r="F64" s="2256"/>
    </row>
    <row r="65" spans="1:6" ht="12" customHeight="1">
      <c r="A65" s="2215"/>
      <c r="B65" s="2218"/>
      <c r="C65" s="2256"/>
      <c r="D65" s="2256"/>
      <c r="E65" s="2256"/>
      <c r="F65" s="2256"/>
    </row>
    <row r="66" spans="1:6" ht="12" customHeight="1">
      <c r="A66" s="2215"/>
      <c r="B66" s="2218"/>
      <c r="C66" s="2256"/>
      <c r="D66" s="2256"/>
      <c r="E66" s="2256"/>
      <c r="F66" s="2256"/>
    </row>
    <row r="67" spans="1:6" ht="12" customHeight="1">
      <c r="A67" s="2215"/>
      <c r="B67" s="2218"/>
      <c r="C67" s="2256"/>
      <c r="D67" s="2256"/>
      <c r="E67" s="2256"/>
      <c r="F67" s="2256"/>
    </row>
    <row r="68" spans="1:6" ht="12" customHeight="1">
      <c r="A68" s="2215"/>
      <c r="B68" s="2218"/>
      <c r="C68" s="2256"/>
      <c r="D68" s="2256"/>
      <c r="E68" s="2256"/>
      <c r="F68" s="2256"/>
    </row>
    <row r="69" spans="1:6" ht="12" customHeight="1">
      <c r="A69" s="2215"/>
      <c r="B69" s="2218"/>
      <c r="C69" s="2256"/>
      <c r="D69" s="2256"/>
      <c r="E69" s="2256"/>
      <c r="F69" s="2256"/>
    </row>
    <row r="70" spans="1:6" ht="12" customHeight="1">
      <c r="A70" s="2215"/>
      <c r="B70" s="2218"/>
      <c r="C70" s="2256"/>
      <c r="D70" s="2256"/>
      <c r="E70" s="2256"/>
      <c r="F70" s="2256"/>
    </row>
    <row r="71" spans="1:6" ht="12" customHeight="1">
      <c r="A71" s="2215"/>
      <c r="B71" s="2218"/>
      <c r="C71" s="2256"/>
      <c r="D71" s="2256"/>
      <c r="E71" s="2256"/>
      <c r="F71" s="2256"/>
    </row>
    <row r="72" spans="1:6" ht="12" customHeight="1">
      <c r="A72" s="2215"/>
      <c r="B72" s="2218"/>
      <c r="C72" s="2256"/>
      <c r="D72" s="2256"/>
      <c r="E72" s="2256"/>
      <c r="F72" s="2256"/>
    </row>
    <row r="73" spans="1:6" ht="12" customHeight="1">
      <c r="A73" s="2215"/>
      <c r="B73" s="2218"/>
      <c r="C73" s="2256"/>
      <c r="D73" s="2256"/>
      <c r="E73" s="2256"/>
      <c r="F73" s="2256"/>
    </row>
    <row r="74" spans="1:6" ht="12" customHeight="1">
      <c r="A74" s="2215"/>
      <c r="B74" s="2218"/>
      <c r="C74" s="2256"/>
      <c r="D74" s="2256"/>
      <c r="E74" s="2256"/>
      <c r="F74" s="2256"/>
    </row>
    <row r="75" spans="1:6" ht="12" customHeight="1">
      <c r="A75" s="2215"/>
      <c r="B75" s="2218"/>
      <c r="C75" s="2256"/>
      <c r="D75" s="2256"/>
      <c r="E75" s="2256"/>
      <c r="F75" s="2256"/>
    </row>
    <row r="76" spans="1:6" ht="12" customHeight="1">
      <c r="A76" s="2215"/>
      <c r="B76" s="2218"/>
      <c r="C76" s="2256"/>
      <c r="D76" s="2256"/>
      <c r="E76" s="2256"/>
      <c r="F76" s="2256"/>
    </row>
    <row r="77" spans="1:6" ht="12" customHeight="1">
      <c r="A77" s="2215"/>
      <c r="B77" s="2218"/>
      <c r="C77" s="2256"/>
      <c r="D77" s="2256"/>
      <c r="E77" s="2256"/>
      <c r="F77" s="2256"/>
    </row>
    <row r="78" spans="1:6" ht="12" customHeight="1">
      <c r="A78" s="2215"/>
      <c r="B78" s="2218"/>
      <c r="C78" s="2256"/>
      <c r="D78" s="2256"/>
      <c r="E78" s="2256"/>
      <c r="F78" s="2256"/>
    </row>
    <row r="79" spans="1:6" ht="12" customHeight="1">
      <c r="A79" s="2215"/>
      <c r="B79" s="2218"/>
      <c r="C79" s="2256"/>
      <c r="D79" s="2256"/>
      <c r="E79" s="2256"/>
      <c r="F79" s="2256"/>
    </row>
    <row r="80" spans="1:6" ht="12" customHeight="1">
      <c r="A80" s="2215"/>
      <c r="B80" s="2218"/>
      <c r="C80" s="2256"/>
      <c r="D80" s="2256"/>
      <c r="E80" s="2256"/>
      <c r="F80" s="2256"/>
    </row>
    <row r="81" spans="1:6" ht="12" customHeight="1">
      <c r="A81" s="2215"/>
      <c r="B81" s="2218"/>
      <c r="C81" s="2256"/>
      <c r="D81" s="2256"/>
      <c r="E81" s="2256"/>
      <c r="F81" s="2256"/>
    </row>
    <row r="82" spans="1:6" ht="12" customHeight="1">
      <c r="A82" s="2215"/>
      <c r="B82" s="2218"/>
      <c r="C82" s="2256"/>
      <c r="D82" s="2256"/>
      <c r="E82" s="2256"/>
      <c r="F82" s="2256"/>
    </row>
    <row r="83" spans="1:6" ht="12" customHeight="1">
      <c r="A83" s="2215"/>
      <c r="B83" s="2218"/>
      <c r="C83" s="2256"/>
      <c r="D83" s="2256"/>
      <c r="E83" s="2256"/>
      <c r="F83" s="2256"/>
    </row>
    <row r="84" spans="1:6" ht="12" customHeight="1">
      <c r="A84" s="2215"/>
      <c r="B84" s="2218"/>
      <c r="C84" s="2256"/>
      <c r="D84" s="2256"/>
      <c r="E84" s="2256"/>
      <c r="F84" s="2256"/>
    </row>
    <row r="85" spans="1:6" ht="12" customHeight="1">
      <c r="A85" s="2215"/>
      <c r="B85" s="2218"/>
      <c r="C85" s="2256"/>
      <c r="D85" s="2256"/>
      <c r="E85" s="2256"/>
      <c r="F85" s="2256"/>
    </row>
    <row r="86" spans="1:6" ht="12" customHeight="1">
      <c r="A86" s="2215"/>
      <c r="B86" s="2218"/>
      <c r="C86" s="2256"/>
      <c r="D86" s="2256"/>
      <c r="E86" s="2256"/>
      <c r="F86" s="2256"/>
    </row>
    <row r="87" spans="1:6" ht="12" customHeight="1">
      <c r="A87" s="2215"/>
      <c r="B87" s="2218"/>
      <c r="C87" s="2256"/>
      <c r="D87" s="2256"/>
      <c r="E87" s="2256"/>
      <c r="F87" s="2256"/>
    </row>
    <row r="88" spans="1:6" ht="12" customHeight="1">
      <c r="A88" s="2215"/>
      <c r="B88" s="2218"/>
      <c r="C88" s="2256"/>
      <c r="D88" s="2256"/>
      <c r="E88" s="2256"/>
      <c r="F88" s="2256"/>
    </row>
    <row r="89" spans="1:6" ht="12" customHeight="1">
      <c r="A89" s="2215"/>
      <c r="B89" s="2218"/>
      <c r="C89" s="2256"/>
      <c r="D89" s="2256"/>
      <c r="E89" s="2256"/>
      <c r="F89" s="2256"/>
    </row>
    <row r="90" spans="1:6" ht="12" customHeight="1">
      <c r="A90" s="2215"/>
      <c r="B90" s="2218"/>
      <c r="C90" s="2256"/>
      <c r="D90" s="2256"/>
      <c r="E90" s="2256"/>
      <c r="F90" s="2256"/>
    </row>
    <row r="91" spans="1:6" ht="12" customHeight="1">
      <c r="A91" s="2215"/>
      <c r="B91" s="2218"/>
      <c r="C91" s="2256"/>
      <c r="D91" s="2256"/>
      <c r="E91" s="2256"/>
      <c r="F91" s="2256"/>
    </row>
    <row r="92" spans="1:6" ht="12" customHeight="1">
      <c r="A92" s="2215"/>
      <c r="B92" s="2218"/>
      <c r="C92" s="2256"/>
      <c r="D92" s="2256"/>
      <c r="E92" s="2256"/>
      <c r="F92" s="2256"/>
    </row>
    <row r="93" spans="1:6" ht="12" customHeight="1">
      <c r="A93" s="2215"/>
      <c r="B93" s="2218"/>
      <c r="C93" s="2256"/>
      <c r="D93" s="2256"/>
      <c r="E93" s="2256"/>
      <c r="F93" s="2256"/>
    </row>
    <row r="94" spans="1:6" ht="12" customHeight="1">
      <c r="A94" s="2215"/>
      <c r="B94" s="2218"/>
      <c r="C94" s="2256"/>
      <c r="D94" s="2256"/>
      <c r="E94" s="2256"/>
      <c r="F94" s="2256"/>
    </row>
    <row r="95" spans="1:6" ht="12" customHeight="1">
      <c r="A95" s="2215"/>
      <c r="B95" s="2218"/>
      <c r="C95" s="2256"/>
      <c r="D95" s="2256"/>
      <c r="E95" s="2256"/>
      <c r="F95" s="2256"/>
    </row>
    <row r="96" spans="1:6" ht="12" customHeight="1">
      <c r="A96" s="2215"/>
      <c r="B96" s="2218"/>
      <c r="C96" s="2256"/>
      <c r="D96" s="2256"/>
      <c r="E96" s="2256"/>
      <c r="F96" s="2256"/>
    </row>
    <row r="97" spans="1:6" ht="12" customHeight="1">
      <c r="A97" s="2215"/>
      <c r="B97" s="2218"/>
      <c r="C97" s="2256"/>
      <c r="D97" s="2256"/>
      <c r="E97" s="2256"/>
      <c r="F97" s="2256"/>
    </row>
    <row r="98" spans="1:6" ht="12" customHeight="1">
      <c r="A98" s="2215"/>
      <c r="B98" s="2218"/>
      <c r="C98" s="2256"/>
      <c r="D98" s="2256"/>
      <c r="E98" s="2256"/>
      <c r="F98" s="2256"/>
    </row>
    <row r="99" spans="1:6" ht="12" customHeight="1">
      <c r="A99" s="2215"/>
      <c r="B99" s="2218"/>
      <c r="C99" s="2256"/>
      <c r="D99" s="2256"/>
      <c r="E99" s="2256"/>
      <c r="F99" s="2256"/>
    </row>
    <row r="100" spans="1:6" ht="12" customHeight="1">
      <c r="A100" s="2215"/>
      <c r="B100" s="2218"/>
      <c r="C100" s="2256"/>
      <c r="D100" s="2256"/>
      <c r="E100" s="2256"/>
      <c r="F100" s="2256"/>
    </row>
    <row r="101" spans="1:6" ht="12" customHeight="1">
      <c r="A101" s="2215"/>
      <c r="B101" s="2218"/>
      <c r="C101" s="2256"/>
      <c r="D101" s="2256"/>
      <c r="E101" s="2256"/>
      <c r="F101" s="2256"/>
    </row>
    <row r="102" spans="1:6" ht="12" customHeight="1">
      <c r="A102" s="2215"/>
      <c r="B102" s="2218"/>
      <c r="C102" s="2256"/>
      <c r="D102" s="2256"/>
      <c r="E102" s="2256"/>
      <c r="F102" s="2256"/>
    </row>
    <row r="103" spans="1:6" ht="12" customHeight="1">
      <c r="A103" s="2215"/>
      <c r="B103" s="2218"/>
      <c r="C103" s="2256"/>
      <c r="D103" s="2256"/>
      <c r="E103" s="2256"/>
      <c r="F103" s="2256"/>
    </row>
    <row r="104" spans="1:6" ht="12" customHeight="1">
      <c r="A104" s="2215"/>
      <c r="B104" s="2218"/>
      <c r="C104" s="2256"/>
      <c r="D104" s="2256"/>
      <c r="E104" s="2256"/>
      <c r="F104" s="2256"/>
    </row>
    <row r="105" spans="1:6" ht="12" customHeight="1">
      <c r="A105" s="2215"/>
      <c r="B105" s="2218"/>
      <c r="C105" s="2256"/>
      <c r="D105" s="2256"/>
      <c r="E105" s="2256"/>
      <c r="F105" s="2256"/>
    </row>
    <row r="106" spans="1:6" ht="12" customHeight="1">
      <c r="A106" s="2215"/>
      <c r="B106" s="2218"/>
      <c r="C106" s="2256"/>
      <c r="D106" s="2256"/>
      <c r="E106" s="2256"/>
      <c r="F106" s="2256"/>
    </row>
    <row r="107" spans="1:6" ht="12" customHeight="1">
      <c r="A107" s="2215"/>
      <c r="B107" s="2218"/>
      <c r="C107" s="2256"/>
      <c r="D107" s="2256"/>
      <c r="E107" s="2256"/>
      <c r="F107" s="2256"/>
    </row>
    <row r="108" spans="1:6" ht="12" customHeight="1">
      <c r="A108" s="2215"/>
      <c r="B108" s="2218"/>
      <c r="C108" s="2256"/>
      <c r="D108" s="2256"/>
      <c r="E108" s="2256"/>
      <c r="F108" s="2256"/>
    </row>
    <row r="109" spans="1:6" ht="12" customHeight="1">
      <c r="A109" s="2215"/>
      <c r="B109" s="2218"/>
      <c r="C109" s="2256"/>
      <c r="D109" s="2256"/>
      <c r="E109" s="2256"/>
      <c r="F109" s="2256"/>
    </row>
    <row r="110" spans="1:6" ht="12" customHeight="1">
      <c r="A110" s="2215"/>
      <c r="B110" s="2218"/>
      <c r="C110" s="2256"/>
      <c r="D110" s="2256"/>
      <c r="E110" s="2256"/>
      <c r="F110" s="2256"/>
    </row>
    <row r="111" spans="1:6" ht="12" customHeight="1">
      <c r="A111" s="2215"/>
      <c r="B111" s="2218"/>
      <c r="C111" s="2256"/>
      <c r="D111" s="2256"/>
      <c r="E111" s="2256"/>
      <c r="F111" s="2256"/>
    </row>
    <row r="112" spans="1:6" ht="12" customHeight="1">
      <c r="A112" s="2215"/>
      <c r="B112" s="2218"/>
      <c r="C112" s="2256"/>
      <c r="D112" s="2256"/>
      <c r="E112" s="2256"/>
      <c r="F112" s="2256"/>
    </row>
    <row r="113" spans="1:6" ht="12" customHeight="1">
      <c r="A113" s="2215"/>
      <c r="B113" s="2218"/>
      <c r="C113" s="2256"/>
      <c r="D113" s="2256"/>
      <c r="E113" s="2256"/>
      <c r="F113" s="2256"/>
    </row>
    <row r="114" spans="1:6" ht="12" customHeight="1">
      <c r="A114" s="2215"/>
      <c r="B114" s="2218"/>
      <c r="C114" s="2256"/>
      <c r="D114" s="2256"/>
      <c r="E114" s="2256"/>
      <c r="F114" s="2256"/>
    </row>
    <row r="115" spans="1:6" ht="12" customHeight="1">
      <c r="A115" s="2215"/>
      <c r="B115" s="2218"/>
      <c r="C115" s="2256"/>
      <c r="D115" s="2256"/>
      <c r="E115" s="2256"/>
      <c r="F115" s="2256"/>
    </row>
    <row r="116" spans="1:6" ht="12" customHeight="1">
      <c r="A116" s="2215"/>
      <c r="B116" s="2218"/>
      <c r="C116" s="2256"/>
      <c r="D116" s="2256"/>
      <c r="E116" s="2256"/>
      <c r="F116" s="2256"/>
    </row>
    <row r="117" spans="1:6" ht="12" customHeight="1">
      <c r="A117" s="2215"/>
      <c r="B117" s="2218"/>
      <c r="C117" s="2256"/>
      <c r="D117" s="2256"/>
      <c r="E117" s="2256"/>
      <c r="F117" s="2256"/>
    </row>
    <row r="118" spans="1:6" ht="12" customHeight="1">
      <c r="A118" s="2215"/>
      <c r="B118" s="2218"/>
      <c r="C118" s="2256"/>
      <c r="D118" s="2256"/>
      <c r="E118" s="2256"/>
      <c r="F118" s="2256"/>
    </row>
    <row r="119" spans="1:6" ht="12" customHeight="1">
      <c r="A119" s="2215"/>
      <c r="B119" s="2218"/>
      <c r="C119" s="2256"/>
      <c r="D119" s="2256"/>
      <c r="E119" s="2256"/>
      <c r="F119" s="2256"/>
    </row>
    <row r="120" spans="1:6" ht="12" customHeight="1">
      <c r="A120" s="2215"/>
      <c r="B120" s="2218"/>
      <c r="C120" s="2256"/>
      <c r="D120" s="2256"/>
      <c r="E120" s="2256"/>
      <c r="F120" s="2256"/>
    </row>
    <row r="121" spans="1:6" ht="5.0999999999999996" customHeight="1">
      <c r="A121" s="2215"/>
      <c r="B121" s="2218"/>
      <c r="C121" s="2256"/>
      <c r="D121" s="2256"/>
      <c r="E121" s="2256"/>
      <c r="F121" s="2256"/>
    </row>
    <row r="122" spans="1:6" ht="12" customHeight="1">
      <c r="A122" s="2215"/>
      <c r="B122" s="2218"/>
      <c r="C122" s="2256"/>
      <c r="D122" s="2256"/>
      <c r="E122" s="2256"/>
      <c r="F122" s="2256"/>
    </row>
    <row r="123" spans="1:6" ht="12" customHeight="1">
      <c r="A123" s="2215"/>
      <c r="B123" s="2218"/>
      <c r="C123" s="2256"/>
      <c r="D123" s="2256"/>
      <c r="E123" s="2256"/>
      <c r="F123" s="2256"/>
    </row>
    <row r="124" spans="1:6" ht="12" customHeight="1">
      <c r="A124" s="2215"/>
      <c r="B124" s="2218"/>
      <c r="C124" s="2256"/>
      <c r="D124" s="2256"/>
      <c r="E124" s="2256"/>
      <c r="F124" s="2256"/>
    </row>
    <row r="125" spans="1:6" ht="12" customHeight="1">
      <c r="A125" s="2215"/>
      <c r="B125" s="2218"/>
      <c r="C125" s="2256"/>
      <c r="D125" s="2256"/>
      <c r="E125" s="2256"/>
      <c r="F125" s="2256"/>
    </row>
    <row r="126" spans="1:6" ht="12" customHeight="1">
      <c r="A126" s="2215"/>
      <c r="B126" s="2218"/>
      <c r="C126" s="2256"/>
      <c r="D126" s="2256"/>
      <c r="E126" s="2256"/>
      <c r="F126" s="2256"/>
    </row>
    <row r="127" spans="1:6" ht="12" customHeight="1">
      <c r="A127" s="2215"/>
      <c r="B127" s="2218"/>
      <c r="C127" s="2256"/>
      <c r="D127" s="2256"/>
      <c r="E127" s="2256"/>
      <c r="F127" s="2256"/>
    </row>
    <row r="128" spans="1:6" ht="12" customHeight="1">
      <c r="A128" s="2215"/>
      <c r="B128" s="2218"/>
      <c r="C128" s="2256"/>
      <c r="D128" s="2256"/>
      <c r="E128" s="2256"/>
      <c r="F128" s="2256"/>
    </row>
    <row r="129" spans="1:6" ht="12" customHeight="1">
      <c r="A129" s="2215"/>
      <c r="B129" s="2218"/>
      <c r="C129" s="2256"/>
      <c r="D129" s="2256"/>
      <c r="E129" s="2256"/>
      <c r="F129" s="2256"/>
    </row>
    <row r="130" spans="1:6" ht="12" customHeight="1">
      <c r="A130" s="2215"/>
      <c r="B130" s="2218"/>
      <c r="C130" s="2256"/>
      <c r="D130" s="2256"/>
      <c r="E130" s="2256"/>
      <c r="F130" s="2256"/>
    </row>
    <row r="131" spans="1:6" ht="12" customHeight="1">
      <c r="A131" s="2215"/>
      <c r="B131" s="2218"/>
      <c r="C131" s="2256"/>
      <c r="D131" s="2256"/>
      <c r="E131" s="2256"/>
      <c r="F131" s="2256"/>
    </row>
    <row r="132" spans="1:6" ht="12" customHeight="1">
      <c r="A132" s="2215"/>
      <c r="B132" s="2218"/>
      <c r="C132" s="2256"/>
      <c r="D132" s="2256"/>
      <c r="E132" s="2256"/>
      <c r="F132" s="2256"/>
    </row>
    <row r="133" spans="1:6" ht="12" customHeight="1">
      <c r="A133" s="2215"/>
      <c r="B133" s="2218"/>
      <c r="C133" s="2256"/>
      <c r="D133" s="2256"/>
      <c r="E133" s="2256"/>
      <c r="F133" s="2256"/>
    </row>
    <row r="134" spans="1:6" ht="12" customHeight="1">
      <c r="A134" s="2215"/>
      <c r="B134" s="2218"/>
      <c r="C134" s="2256"/>
      <c r="D134" s="2256"/>
      <c r="E134" s="2256"/>
      <c r="F134" s="2256"/>
    </row>
    <row r="135" spans="1:6" ht="12" customHeight="1">
      <c r="A135" s="2215"/>
      <c r="B135" s="2218"/>
      <c r="C135" s="2256"/>
      <c r="D135" s="2256"/>
      <c r="E135" s="2256"/>
      <c r="F135" s="2256"/>
    </row>
    <row r="136" spans="1:6" ht="12" customHeight="1">
      <c r="A136" s="2215"/>
      <c r="B136" s="2218"/>
      <c r="C136" s="2256"/>
      <c r="D136" s="2256"/>
      <c r="E136" s="2256"/>
      <c r="F136" s="2256"/>
    </row>
    <row r="137" spans="1:6" ht="12" customHeight="1">
      <c r="A137" s="2215"/>
      <c r="B137" s="2218"/>
      <c r="C137" s="2256"/>
      <c r="D137" s="2256"/>
      <c r="E137" s="2256"/>
      <c r="F137" s="2256"/>
    </row>
    <row r="138" spans="1:6" ht="12" customHeight="1">
      <c r="A138" s="2215"/>
      <c r="B138" s="2218"/>
      <c r="C138" s="2256"/>
      <c r="D138" s="2256"/>
      <c r="E138" s="2256"/>
      <c r="F138" s="2256"/>
    </row>
    <row r="139" spans="1:6" ht="12" customHeight="1">
      <c r="A139" s="2215"/>
      <c r="B139" s="2218"/>
      <c r="C139" s="2256"/>
      <c r="D139" s="2256"/>
      <c r="E139" s="2256"/>
      <c r="F139" s="2256"/>
    </row>
    <row r="140" spans="1:6" ht="12" customHeight="1">
      <c r="A140" s="2215"/>
      <c r="B140" s="2218"/>
      <c r="C140" s="2256"/>
      <c r="D140" s="2256"/>
      <c r="E140" s="2256"/>
      <c r="F140" s="2256"/>
    </row>
    <row r="141" spans="1:6" ht="12" customHeight="1">
      <c r="A141" s="2215"/>
      <c r="B141" s="2218"/>
      <c r="C141" s="2256"/>
      <c r="D141" s="2256"/>
      <c r="E141" s="2256"/>
      <c r="F141" s="2256"/>
    </row>
    <row r="142" spans="1:6" ht="12" customHeight="1">
      <c r="A142" s="2215"/>
      <c r="B142" s="2218"/>
      <c r="C142" s="2256"/>
      <c r="D142" s="2256"/>
      <c r="E142" s="2256"/>
      <c r="F142" s="2256"/>
    </row>
    <row r="143" spans="1:6" ht="12" customHeight="1">
      <c r="A143" s="2215"/>
      <c r="B143" s="2218"/>
      <c r="C143" s="2256"/>
      <c r="D143" s="2256"/>
      <c r="E143" s="2256"/>
      <c r="F143" s="2256"/>
    </row>
    <row r="144" spans="1:6" ht="12" customHeight="1">
      <c r="A144" s="2215"/>
      <c r="B144" s="2218"/>
      <c r="C144" s="2256"/>
      <c r="D144" s="2256"/>
      <c r="E144" s="2256"/>
      <c r="F144" s="2256"/>
    </row>
    <row r="145" spans="1:6" ht="12" customHeight="1">
      <c r="A145" s="2215"/>
      <c r="B145" s="2218"/>
      <c r="C145" s="2256"/>
      <c r="D145" s="2256"/>
      <c r="E145" s="2256"/>
      <c r="F145" s="2256"/>
    </row>
    <row r="146" spans="1:6" ht="12" customHeight="1">
      <c r="A146" s="2215"/>
      <c r="B146" s="2218"/>
      <c r="C146" s="2256"/>
      <c r="D146" s="2256"/>
      <c r="E146" s="2256"/>
      <c r="F146" s="2256"/>
    </row>
    <row r="147" spans="1:6" ht="12" customHeight="1">
      <c r="A147" s="2215"/>
      <c r="B147" s="2218"/>
      <c r="C147" s="2256"/>
      <c r="D147" s="2256"/>
      <c r="E147" s="2256"/>
      <c r="F147" s="2256"/>
    </row>
    <row r="148" spans="1:6" ht="12" customHeight="1">
      <c r="A148" s="2215"/>
      <c r="B148" s="2218"/>
      <c r="C148" s="2256"/>
      <c r="D148" s="2256"/>
      <c r="E148" s="2256"/>
      <c r="F148" s="2256"/>
    </row>
    <row r="149" spans="1:6" ht="12" customHeight="1">
      <c r="A149" s="2215"/>
      <c r="B149" s="2218"/>
      <c r="C149" s="2256"/>
      <c r="D149" s="2256"/>
      <c r="E149" s="2256"/>
      <c r="F149" s="2256"/>
    </row>
    <row r="150" spans="1:6" ht="12" customHeight="1">
      <c r="A150" s="2215"/>
      <c r="B150" s="2218"/>
      <c r="C150" s="2256"/>
      <c r="D150" s="2256"/>
      <c r="E150" s="2256"/>
      <c r="F150" s="2256"/>
    </row>
    <row r="151" spans="1:6" ht="12" customHeight="1">
      <c r="A151" s="2215"/>
      <c r="B151" s="2218"/>
      <c r="C151" s="2256"/>
      <c r="D151" s="2256"/>
      <c r="E151" s="2256"/>
      <c r="F151" s="2256"/>
    </row>
    <row r="152" spans="1:6" ht="12" customHeight="1">
      <c r="A152" s="2215"/>
      <c r="B152" s="2218"/>
      <c r="C152" s="2256"/>
      <c r="D152" s="2256"/>
      <c r="E152" s="2256"/>
      <c r="F152" s="2256"/>
    </row>
    <row r="153" spans="1:6" ht="12" customHeight="1">
      <c r="A153" s="2215"/>
      <c r="B153" s="2218"/>
      <c r="C153" s="2256"/>
      <c r="D153" s="2256"/>
      <c r="E153" s="2256"/>
      <c r="F153" s="2256"/>
    </row>
    <row r="154" spans="1:6" ht="12" customHeight="1">
      <c r="A154" s="2215"/>
      <c r="B154" s="2218"/>
      <c r="C154" s="2256"/>
      <c r="D154" s="2256"/>
      <c r="E154" s="2256"/>
      <c r="F154" s="2256"/>
    </row>
    <row r="155" spans="1:6" ht="12" customHeight="1">
      <c r="A155" s="2215"/>
      <c r="B155" s="2218"/>
      <c r="C155" s="2256"/>
      <c r="D155" s="2256"/>
      <c r="E155" s="2256"/>
      <c r="F155" s="2256"/>
    </row>
    <row r="156" spans="1:6" ht="12" customHeight="1">
      <c r="A156" s="2215"/>
      <c r="B156" s="2218"/>
      <c r="C156" s="2256"/>
      <c r="D156" s="2256"/>
      <c r="E156" s="2256"/>
      <c r="F156" s="2256"/>
    </row>
    <row r="157" spans="1:6" ht="12" customHeight="1">
      <c r="A157" s="2215"/>
      <c r="B157" s="2218"/>
      <c r="C157" s="2256"/>
      <c r="D157" s="2256"/>
      <c r="E157" s="2256"/>
      <c r="F157" s="2256"/>
    </row>
    <row r="158" spans="1:6" ht="12" customHeight="1">
      <c r="A158" s="2215"/>
      <c r="B158" s="2218"/>
      <c r="C158" s="2256"/>
      <c r="D158" s="2256"/>
      <c r="E158" s="2256"/>
      <c r="F158" s="2256"/>
    </row>
    <row r="159" spans="1:6" ht="12" customHeight="1">
      <c r="A159" s="2215"/>
      <c r="B159" s="2218"/>
      <c r="C159" s="2256"/>
      <c r="D159" s="2256"/>
      <c r="E159" s="2256"/>
      <c r="F159" s="2256"/>
    </row>
    <row r="160" spans="1:6" ht="12" customHeight="1">
      <c r="A160" s="2215"/>
      <c r="B160" s="2218"/>
      <c r="C160" s="2256"/>
      <c r="D160" s="2256"/>
      <c r="E160" s="2256"/>
      <c r="F160" s="2256"/>
    </row>
    <row r="161" spans="1:6" ht="12" customHeight="1">
      <c r="A161" s="2215"/>
      <c r="B161" s="2218"/>
      <c r="C161" s="2256"/>
      <c r="D161" s="2256"/>
      <c r="E161" s="2256"/>
      <c r="F161" s="2256"/>
    </row>
    <row r="162" spans="1:6" ht="12" customHeight="1">
      <c r="A162" s="2215"/>
      <c r="B162" s="2218"/>
      <c r="C162" s="2256"/>
      <c r="D162" s="2256"/>
      <c r="E162" s="2256"/>
      <c r="F162" s="2256"/>
    </row>
    <row r="163" spans="1:6" ht="12" customHeight="1">
      <c r="A163" s="2215"/>
      <c r="B163" s="2218"/>
      <c r="C163" s="2256"/>
      <c r="D163" s="2256"/>
      <c r="E163" s="2256"/>
      <c r="F163" s="2256"/>
    </row>
    <row r="164" spans="1:6" ht="12" customHeight="1">
      <c r="A164" s="2215"/>
      <c r="B164" s="2218"/>
      <c r="C164" s="2256"/>
      <c r="D164" s="2256"/>
      <c r="E164" s="2256"/>
      <c r="F164" s="2256"/>
    </row>
    <row r="165" spans="1:6" ht="12" customHeight="1">
      <c r="A165" s="2215"/>
      <c r="B165" s="2218"/>
      <c r="C165" s="2256"/>
      <c r="D165" s="2256"/>
      <c r="E165" s="2256"/>
      <c r="F165" s="2256"/>
    </row>
    <row r="166" spans="1:6" ht="12" customHeight="1">
      <c r="A166" s="2215"/>
      <c r="B166" s="2218"/>
      <c r="C166" s="2256"/>
      <c r="D166" s="2256"/>
      <c r="E166" s="2256"/>
      <c r="F166" s="2256"/>
    </row>
    <row r="167" spans="1:6" ht="12" customHeight="1">
      <c r="A167" s="2215"/>
      <c r="B167" s="2218"/>
      <c r="C167" s="2256"/>
      <c r="D167" s="2256"/>
      <c r="E167" s="2256"/>
      <c r="F167" s="2256"/>
    </row>
    <row r="168" spans="1:6" ht="12" customHeight="1">
      <c r="A168" s="2215"/>
      <c r="B168" s="2218"/>
      <c r="C168" s="2256"/>
      <c r="D168" s="2256"/>
      <c r="E168" s="2256"/>
      <c r="F168" s="2256"/>
    </row>
    <row r="169" spans="1:6" ht="12" customHeight="1">
      <c r="A169" s="2215"/>
      <c r="B169" s="2218"/>
      <c r="C169" s="2256"/>
      <c r="D169" s="2256"/>
      <c r="E169" s="2256"/>
      <c r="F169" s="2256"/>
    </row>
    <row r="170" spans="1:6" ht="12" customHeight="1">
      <c r="A170" s="2215"/>
      <c r="B170" s="2218"/>
      <c r="C170" s="2256"/>
      <c r="D170" s="2256"/>
      <c r="E170" s="2256"/>
      <c r="F170" s="2256"/>
    </row>
    <row r="171" spans="1:6" ht="12" customHeight="1">
      <c r="A171" s="2215"/>
      <c r="B171" s="2218"/>
      <c r="C171" s="2256"/>
      <c r="D171" s="2256"/>
      <c r="E171" s="2256"/>
      <c r="F171" s="2256"/>
    </row>
    <row r="172" spans="1:6" ht="12" customHeight="1">
      <c r="A172" s="2215"/>
      <c r="B172" s="2218"/>
      <c r="C172" s="2256"/>
      <c r="D172" s="2256"/>
      <c r="E172" s="2256"/>
      <c r="F172" s="2256"/>
    </row>
    <row r="173" spans="1:6" ht="12" customHeight="1">
      <c r="A173" s="2215"/>
      <c r="B173" s="2218"/>
      <c r="C173" s="2256"/>
      <c r="D173" s="2256"/>
      <c r="E173" s="2256"/>
      <c r="F173" s="2256"/>
    </row>
    <row r="174" spans="1:6" ht="12" customHeight="1">
      <c r="A174" s="2215"/>
      <c r="B174" s="2218"/>
      <c r="C174" s="2256"/>
      <c r="D174" s="2256"/>
      <c r="E174" s="2256"/>
      <c r="F174" s="2256"/>
    </row>
    <row r="175" spans="1:6" ht="12" customHeight="1">
      <c r="A175" s="2215"/>
      <c r="B175" s="2218"/>
      <c r="C175" s="2256"/>
      <c r="D175" s="2256"/>
      <c r="E175" s="2256"/>
      <c r="F175" s="2256"/>
    </row>
    <row r="176" spans="1:6" ht="12" customHeight="1">
      <c r="A176" s="2215"/>
      <c r="B176" s="2218"/>
      <c r="C176" s="2256"/>
      <c r="D176" s="2256"/>
      <c r="E176" s="2256"/>
      <c r="F176" s="2256"/>
    </row>
    <row r="177" spans="1:6" ht="12" customHeight="1">
      <c r="A177" s="2215"/>
      <c r="B177" s="2218"/>
      <c r="C177" s="2256"/>
      <c r="D177" s="2256"/>
      <c r="E177" s="2256"/>
      <c r="F177" s="2256"/>
    </row>
    <row r="178" spans="1:6" ht="12" customHeight="1">
      <c r="A178" s="2215"/>
      <c r="B178" s="2218"/>
      <c r="C178" s="2256"/>
      <c r="D178" s="2256"/>
      <c r="E178" s="2256"/>
      <c r="F178" s="2256"/>
    </row>
    <row r="179" spans="1:6" ht="12" customHeight="1">
      <c r="A179" s="2215"/>
      <c r="B179" s="2218"/>
      <c r="C179" s="2256"/>
      <c r="D179" s="2256"/>
      <c r="E179" s="2256"/>
      <c r="F179" s="2256"/>
    </row>
    <row r="180" spans="1:6" ht="12" customHeight="1">
      <c r="A180" s="2215"/>
      <c r="B180" s="2218"/>
      <c r="C180" s="2256"/>
      <c r="D180" s="2256"/>
      <c r="E180" s="2256"/>
      <c r="F180" s="2256"/>
    </row>
    <row r="181" spans="1:6" ht="12" customHeight="1">
      <c r="A181" s="2215"/>
      <c r="B181" s="2218"/>
      <c r="C181" s="2256"/>
      <c r="D181" s="2256"/>
      <c r="E181" s="2256"/>
      <c r="F181" s="2256"/>
    </row>
    <row r="182" spans="1:6" ht="12" customHeight="1">
      <c r="A182" s="2215"/>
      <c r="B182" s="2218"/>
      <c r="C182" s="2256"/>
      <c r="D182" s="2256"/>
      <c r="E182" s="2256"/>
      <c r="F182" s="2256"/>
    </row>
    <row r="183" spans="1:6" ht="12" customHeight="1">
      <c r="A183" s="2215"/>
      <c r="B183" s="2218"/>
      <c r="C183" s="2256"/>
      <c r="D183" s="2256"/>
      <c r="E183" s="2256"/>
      <c r="F183" s="2256"/>
    </row>
    <row r="184" spans="1:6" ht="12" customHeight="1">
      <c r="A184" s="2215"/>
      <c r="B184" s="2218"/>
      <c r="C184" s="2256"/>
      <c r="D184" s="2256"/>
      <c r="E184" s="2256"/>
      <c r="F184" s="2256"/>
    </row>
    <row r="185" spans="1:6" ht="12" customHeight="1">
      <c r="A185" s="2215"/>
      <c r="B185" s="2218"/>
      <c r="C185" s="2256"/>
      <c r="D185" s="2256"/>
      <c r="E185" s="2256"/>
      <c r="F185" s="2256"/>
    </row>
    <row r="186" spans="1:6" ht="12" customHeight="1">
      <c r="A186" s="2215"/>
      <c r="B186" s="2218"/>
      <c r="C186" s="2256"/>
      <c r="D186" s="2256"/>
      <c r="E186" s="2256"/>
      <c r="F186" s="2256"/>
    </row>
    <row r="187" spans="1:6" ht="12" customHeight="1">
      <c r="A187" s="2215"/>
      <c r="B187" s="2218"/>
      <c r="C187" s="2256"/>
      <c r="D187" s="2256"/>
      <c r="E187" s="2256"/>
      <c r="F187" s="2256"/>
    </row>
    <row r="188" spans="1:6" ht="12" customHeight="1">
      <c r="A188" s="2215"/>
      <c r="B188" s="2218"/>
      <c r="C188" s="2256"/>
      <c r="D188" s="2256"/>
      <c r="E188" s="2256"/>
      <c r="F188" s="2256"/>
    </row>
    <row r="189" spans="1:6" ht="12" customHeight="1">
      <c r="A189" s="2215"/>
      <c r="B189" s="2218"/>
      <c r="C189" s="2256"/>
      <c r="D189" s="2256"/>
      <c r="E189" s="2256"/>
      <c r="F189" s="2256"/>
    </row>
    <row r="190" spans="1:6" ht="12" customHeight="1">
      <c r="A190" s="2215"/>
      <c r="B190" s="2218"/>
      <c r="C190" s="2256"/>
      <c r="D190" s="2256"/>
      <c r="E190" s="2256"/>
      <c r="F190" s="2256"/>
    </row>
    <row r="191" spans="1:6" ht="12" customHeight="1">
      <c r="A191" s="2215"/>
      <c r="B191" s="2218"/>
      <c r="C191" s="2256"/>
      <c r="D191" s="2256"/>
      <c r="E191" s="2256"/>
      <c r="F191" s="2256"/>
    </row>
    <row r="192" spans="1:6" ht="12" customHeight="1">
      <c r="A192" s="2215"/>
      <c r="B192" s="2218"/>
      <c r="C192" s="2256"/>
      <c r="D192" s="2256"/>
      <c r="E192" s="2256"/>
      <c r="F192" s="2256"/>
    </row>
    <row r="193" spans="1:6" ht="12" customHeight="1">
      <c r="A193" s="2215"/>
      <c r="B193" s="2218"/>
      <c r="C193" s="2256"/>
      <c r="D193" s="2256"/>
      <c r="E193" s="2256"/>
      <c r="F193" s="2256"/>
    </row>
    <row r="194" spans="1:6" ht="12" customHeight="1">
      <c r="A194" s="2215"/>
      <c r="B194" s="2218"/>
      <c r="C194" s="2256"/>
      <c r="D194" s="2256"/>
      <c r="E194" s="2256"/>
      <c r="F194" s="2256"/>
    </row>
    <row r="195" spans="1:6" ht="12" customHeight="1">
      <c r="A195" s="2215"/>
      <c r="B195" s="2218"/>
      <c r="C195" s="2256"/>
      <c r="D195" s="2256"/>
      <c r="E195" s="2256"/>
      <c r="F195" s="2256"/>
    </row>
    <row r="196" spans="1:6" ht="12" customHeight="1">
      <c r="A196" s="2215"/>
      <c r="B196" s="2218"/>
      <c r="C196" s="2256"/>
      <c r="D196" s="2256"/>
      <c r="E196" s="2256"/>
      <c r="F196" s="2256"/>
    </row>
    <row r="197" spans="1:6" ht="12" customHeight="1">
      <c r="A197" s="2215"/>
      <c r="B197" s="2218"/>
      <c r="C197" s="2256"/>
      <c r="D197" s="2256"/>
      <c r="E197" s="2256"/>
      <c r="F197" s="2256"/>
    </row>
    <row r="198" spans="1:6" ht="12" customHeight="1">
      <c r="A198" s="2215"/>
      <c r="B198" s="2218"/>
      <c r="C198" s="2256"/>
      <c r="D198" s="2256"/>
      <c r="E198" s="2256"/>
      <c r="F198" s="2256"/>
    </row>
    <row r="199" spans="1:6" ht="12" customHeight="1">
      <c r="A199" s="2215"/>
      <c r="B199" s="2218"/>
      <c r="C199" s="2256"/>
      <c r="D199" s="2256"/>
      <c r="E199" s="2256"/>
      <c r="F199" s="2256"/>
    </row>
    <row r="200" spans="1:6" ht="12" customHeight="1">
      <c r="A200" s="2215"/>
      <c r="B200" s="2218"/>
      <c r="C200" s="2256"/>
      <c r="D200" s="2256"/>
      <c r="E200" s="2256"/>
      <c r="F200" s="2256"/>
    </row>
    <row r="201" spans="1:6" ht="12" customHeight="1">
      <c r="A201" s="2215"/>
      <c r="B201" s="2218"/>
      <c r="C201" s="2256"/>
      <c r="D201" s="2256"/>
      <c r="E201" s="2256"/>
      <c r="F201" s="2256"/>
    </row>
    <row r="202" spans="1:6" ht="12" customHeight="1">
      <c r="A202" s="2215"/>
      <c r="B202" s="2218"/>
      <c r="C202" s="2256"/>
      <c r="D202" s="2256"/>
      <c r="E202" s="2256"/>
      <c r="F202" s="2256"/>
    </row>
    <row r="203" spans="1:6" ht="12" customHeight="1">
      <c r="A203" s="2215"/>
      <c r="B203" s="2218"/>
      <c r="C203" s="2256"/>
      <c r="D203" s="2256"/>
      <c r="E203" s="2256"/>
      <c r="F203" s="2256"/>
    </row>
    <row r="204" spans="1:6" ht="12" customHeight="1">
      <c r="A204" s="2215"/>
      <c r="B204" s="2218"/>
      <c r="C204" s="2256"/>
      <c r="D204" s="2256"/>
      <c r="E204" s="2256"/>
      <c r="F204" s="2256"/>
    </row>
    <row r="205" spans="1:6" ht="12" customHeight="1">
      <c r="A205" s="2215"/>
      <c r="B205" s="2218"/>
      <c r="C205" s="2256"/>
      <c r="D205" s="2256"/>
      <c r="E205" s="2256"/>
      <c r="F205" s="2256"/>
    </row>
    <row r="206" spans="1:6" ht="12" customHeight="1">
      <c r="A206" s="2215"/>
      <c r="B206" s="2218"/>
      <c r="C206" s="2256"/>
      <c r="D206" s="2256"/>
      <c r="E206" s="2256"/>
      <c r="F206" s="2256"/>
    </row>
    <row r="207" spans="1:6" ht="12" customHeight="1">
      <c r="A207" s="2215"/>
      <c r="B207" s="2218"/>
      <c r="C207" s="2256"/>
      <c r="D207" s="2256"/>
      <c r="E207" s="2256"/>
      <c r="F207" s="2256"/>
    </row>
    <row r="208" spans="1:6" ht="12" customHeight="1">
      <c r="A208" s="2215"/>
      <c r="B208" s="2218"/>
      <c r="C208" s="2256"/>
      <c r="D208" s="2256"/>
      <c r="E208" s="2256"/>
      <c r="F208" s="2256"/>
    </row>
    <row r="209" spans="1:6" ht="12" customHeight="1">
      <c r="A209" s="2215"/>
      <c r="B209" s="2218"/>
      <c r="C209" s="2256"/>
      <c r="D209" s="2256"/>
      <c r="E209" s="2256"/>
      <c r="F209" s="2256"/>
    </row>
    <row r="210" spans="1:6" ht="12" customHeight="1">
      <c r="A210" s="2215"/>
      <c r="B210" s="2218"/>
      <c r="C210" s="2256"/>
      <c r="D210" s="2256"/>
      <c r="E210" s="2256"/>
      <c r="F210" s="2256"/>
    </row>
    <row r="211" spans="1:6" ht="12" customHeight="1">
      <c r="A211" s="2215"/>
      <c r="B211" s="2218"/>
      <c r="C211" s="2256"/>
      <c r="D211" s="2256"/>
      <c r="E211" s="2256"/>
      <c r="F211" s="2256"/>
    </row>
    <row r="212" spans="1:6" ht="12" customHeight="1">
      <c r="A212" s="2215"/>
      <c r="B212" s="2218"/>
      <c r="C212" s="2256"/>
      <c r="D212" s="2256"/>
      <c r="E212" s="2256"/>
      <c r="F212" s="2256"/>
    </row>
    <row r="213" spans="1:6" ht="12" customHeight="1">
      <c r="A213" s="2215"/>
      <c r="B213" s="2218"/>
      <c r="C213" s="2256"/>
      <c r="D213" s="2256"/>
      <c r="E213" s="2256"/>
      <c r="F213" s="2256"/>
    </row>
    <row r="214" spans="1:6" ht="12" customHeight="1">
      <c r="A214" s="2215"/>
      <c r="B214" s="2218"/>
      <c r="C214" s="2256"/>
      <c r="D214" s="2256"/>
      <c r="E214" s="2256"/>
      <c r="F214" s="2256"/>
    </row>
    <row r="215" spans="1:6" ht="12" customHeight="1">
      <c r="A215" s="2215"/>
      <c r="B215" s="2218"/>
      <c r="C215" s="2256"/>
      <c r="D215" s="2256"/>
      <c r="E215" s="2256"/>
      <c r="F215" s="2256"/>
    </row>
    <row r="216" spans="1:6" ht="12" customHeight="1">
      <c r="A216" s="2215"/>
      <c r="B216" s="2218"/>
      <c r="C216" s="2256"/>
      <c r="D216" s="2256"/>
      <c r="E216" s="2256"/>
      <c r="F216" s="2256"/>
    </row>
    <row r="217" spans="1:6" ht="12" customHeight="1">
      <c r="A217" s="2215"/>
      <c r="B217" s="2218"/>
      <c r="C217" s="2256"/>
      <c r="D217" s="2256"/>
      <c r="E217" s="2256"/>
      <c r="F217" s="2256"/>
    </row>
    <row r="218" spans="1:6" ht="12" customHeight="1">
      <c r="A218" s="2215"/>
      <c r="B218" s="2218"/>
      <c r="C218" s="2256"/>
      <c r="D218" s="2256"/>
      <c r="E218" s="2256"/>
      <c r="F218" s="2256"/>
    </row>
    <row r="219" spans="1:6" ht="12" customHeight="1">
      <c r="A219" s="2215"/>
      <c r="B219" s="2218"/>
      <c r="C219" s="2256"/>
      <c r="D219" s="2256"/>
      <c r="E219" s="2256"/>
      <c r="F219" s="2256"/>
    </row>
    <row r="220" spans="1:6" ht="12" customHeight="1">
      <c r="A220" s="2215"/>
      <c r="B220" s="2218"/>
      <c r="C220" s="2256"/>
      <c r="D220" s="2256"/>
      <c r="E220" s="2256"/>
      <c r="F220" s="2256"/>
    </row>
    <row r="221" spans="1:6" ht="12" customHeight="1">
      <c r="A221" s="2215"/>
      <c r="B221" s="2218"/>
      <c r="C221" s="2256"/>
      <c r="D221" s="2256"/>
      <c r="E221" s="2256"/>
      <c r="F221" s="2256"/>
    </row>
    <row r="222" spans="1:6" ht="12" customHeight="1">
      <c r="A222" s="2215"/>
      <c r="B222" s="2218"/>
      <c r="C222" s="2256"/>
      <c r="D222" s="2256"/>
      <c r="E222" s="2256"/>
      <c r="F222" s="2256"/>
    </row>
    <row r="223" spans="1:6" ht="12" customHeight="1">
      <c r="A223" s="2215"/>
      <c r="B223" s="2218"/>
      <c r="C223" s="2256"/>
      <c r="D223" s="2256"/>
      <c r="E223" s="2256"/>
      <c r="F223" s="2256"/>
    </row>
    <row r="224" spans="1:6" ht="12" customHeight="1">
      <c r="A224" s="2215"/>
      <c r="B224" s="2218"/>
      <c r="C224" s="2256"/>
      <c r="D224" s="2256"/>
      <c r="E224" s="2256"/>
      <c r="F224" s="2256"/>
    </row>
    <row r="225" spans="1:6" ht="12" customHeight="1">
      <c r="A225" s="2215"/>
      <c r="B225" s="2218"/>
      <c r="C225" s="2256"/>
      <c r="D225" s="2256"/>
      <c r="E225" s="2256"/>
      <c r="F225" s="2256"/>
    </row>
    <row r="226" spans="1:6" ht="12" customHeight="1">
      <c r="A226" s="2215"/>
      <c r="B226" s="2218"/>
      <c r="C226" s="2256"/>
      <c r="D226" s="2256"/>
      <c r="E226" s="2256"/>
      <c r="F226" s="2256"/>
    </row>
    <row r="227" spans="1:6" ht="12" customHeight="1">
      <c r="A227" s="2215"/>
      <c r="B227" s="2218"/>
      <c r="C227" s="2256"/>
      <c r="D227" s="2256"/>
      <c r="E227" s="2256"/>
      <c r="F227" s="2256"/>
    </row>
    <row r="228" spans="1:6" ht="12" customHeight="1">
      <c r="A228" s="2215"/>
      <c r="B228" s="2218"/>
      <c r="C228" s="2256"/>
      <c r="D228" s="2256"/>
      <c r="E228" s="2256"/>
      <c r="F228" s="2256"/>
    </row>
    <row r="229" spans="1:6" ht="12" customHeight="1">
      <c r="A229" s="2215"/>
      <c r="B229" s="2218"/>
      <c r="C229" s="2256"/>
      <c r="D229" s="2256"/>
      <c r="E229" s="2256"/>
      <c r="F229" s="2256"/>
    </row>
    <row r="230" spans="1:6" ht="12" customHeight="1">
      <c r="A230" s="2215"/>
      <c r="B230" s="2218"/>
      <c r="C230" s="2256"/>
      <c r="D230" s="2256"/>
      <c r="E230" s="2256"/>
      <c r="F230" s="2256"/>
    </row>
    <row r="231" spans="1:6" ht="12" customHeight="1">
      <c r="A231" s="2215"/>
      <c r="B231" s="2218"/>
      <c r="C231" s="2256"/>
      <c r="D231" s="2256"/>
      <c r="E231" s="2256"/>
      <c r="F231" s="2256"/>
    </row>
    <row r="232" spans="1:6" ht="12" customHeight="1">
      <c r="A232" s="2215"/>
      <c r="B232" s="2218"/>
      <c r="C232" s="2256"/>
      <c r="D232" s="2256"/>
      <c r="E232" s="2256"/>
      <c r="F232" s="2256"/>
    </row>
    <row r="233" spans="1:6" ht="12" customHeight="1">
      <c r="A233" s="2215"/>
      <c r="B233" s="2218"/>
      <c r="C233" s="2256"/>
      <c r="D233" s="2256"/>
      <c r="E233" s="2256"/>
      <c r="F233" s="2256"/>
    </row>
    <row r="234" spans="1:6" ht="12" customHeight="1">
      <c r="A234" s="2215"/>
      <c r="B234" s="2218"/>
      <c r="C234" s="2256"/>
      <c r="D234" s="2256"/>
      <c r="E234" s="2256"/>
      <c r="F234" s="2256"/>
    </row>
    <row r="235" spans="1:6" ht="12" customHeight="1">
      <c r="A235" s="2215"/>
      <c r="B235" s="2218"/>
      <c r="C235" s="2256"/>
      <c r="D235" s="2256"/>
      <c r="E235" s="2256"/>
      <c r="F235" s="2256"/>
    </row>
    <row r="236" spans="1:6" ht="12" customHeight="1">
      <c r="A236" s="2215"/>
      <c r="B236" s="2218"/>
      <c r="C236" s="2256"/>
      <c r="D236" s="2256"/>
      <c r="E236" s="2256"/>
      <c r="F236" s="2256"/>
    </row>
    <row r="237" spans="1:6" ht="12" customHeight="1">
      <c r="A237" s="2215"/>
      <c r="B237" s="2218"/>
      <c r="C237" s="2256"/>
      <c r="D237" s="2256"/>
      <c r="E237" s="2256"/>
      <c r="F237" s="2256"/>
    </row>
    <row r="238" spans="1:6" ht="12" customHeight="1">
      <c r="A238" s="2215"/>
      <c r="B238" s="2218"/>
      <c r="C238" s="2256"/>
      <c r="D238" s="2256"/>
      <c r="E238" s="2256"/>
      <c r="F238" s="2256"/>
    </row>
    <row r="239" spans="1:6" ht="12" customHeight="1">
      <c r="A239" s="2215"/>
      <c r="B239" s="2218"/>
      <c r="C239" s="2256"/>
      <c r="D239" s="2256"/>
      <c r="E239" s="2256"/>
      <c r="F239" s="2256"/>
    </row>
    <row r="240" spans="1:6" ht="12" customHeight="1">
      <c r="A240" s="2215"/>
      <c r="B240" s="2218"/>
      <c r="C240" s="2256"/>
      <c r="D240" s="2256"/>
      <c r="E240" s="2256"/>
      <c r="F240" s="2256"/>
    </row>
    <row r="241" spans="1:6" ht="12" customHeight="1">
      <c r="A241" s="2215"/>
      <c r="B241" s="2218"/>
      <c r="C241" s="2256"/>
      <c r="D241" s="2256"/>
      <c r="E241" s="2256"/>
      <c r="F241" s="2256"/>
    </row>
    <row r="242" spans="1:6" ht="12" customHeight="1">
      <c r="A242" s="2215"/>
      <c r="B242" s="2218"/>
      <c r="C242" s="2256"/>
      <c r="D242" s="2256"/>
      <c r="E242" s="2256"/>
      <c r="F242" s="2256"/>
    </row>
    <row r="243" spans="1:6" ht="12" customHeight="1">
      <c r="A243" s="2215"/>
      <c r="B243" s="2218"/>
      <c r="C243" s="2256"/>
      <c r="D243" s="2256"/>
      <c r="E243" s="2256"/>
      <c r="F243" s="2256"/>
    </row>
    <row r="244" spans="1:6" ht="12" customHeight="1">
      <c r="A244" s="2215"/>
      <c r="B244" s="2218"/>
      <c r="C244" s="2256"/>
      <c r="D244" s="2256"/>
      <c r="E244" s="2256"/>
      <c r="F244" s="2256"/>
    </row>
    <row r="245" spans="1:6" ht="12" customHeight="1">
      <c r="A245" s="2215"/>
      <c r="B245" s="2218"/>
      <c r="C245" s="2256"/>
      <c r="D245" s="2256"/>
      <c r="E245" s="2256"/>
      <c r="F245" s="2256"/>
    </row>
    <row r="246" spans="1:6" ht="12" customHeight="1">
      <c r="A246" s="2215"/>
      <c r="B246" s="2218"/>
      <c r="C246" s="2256"/>
      <c r="D246" s="2256"/>
      <c r="E246" s="2256"/>
      <c r="F246" s="2256"/>
    </row>
    <row r="247" spans="1:6" ht="12" customHeight="1">
      <c r="A247" s="2215"/>
      <c r="B247" s="2218"/>
      <c r="C247" s="2256"/>
      <c r="D247" s="2256"/>
      <c r="E247" s="2256"/>
      <c r="F247" s="2256"/>
    </row>
    <row r="248" spans="1:6" ht="12" customHeight="1">
      <c r="A248" s="2215"/>
      <c r="B248" s="2218"/>
      <c r="C248" s="2256"/>
      <c r="D248" s="2256"/>
      <c r="E248" s="2256"/>
      <c r="F248" s="2256"/>
    </row>
    <row r="249" spans="1:6" ht="12" customHeight="1">
      <c r="A249" s="2215"/>
      <c r="B249" s="2218"/>
      <c r="C249" s="2256"/>
      <c r="D249" s="2256"/>
      <c r="E249" s="2256"/>
      <c r="F249" s="2256"/>
    </row>
    <row r="250" spans="1:6" ht="12" customHeight="1">
      <c r="A250" s="2215"/>
      <c r="B250" s="2218"/>
      <c r="C250" s="2256"/>
      <c r="D250" s="2256"/>
      <c r="E250" s="2256"/>
      <c r="F250" s="2256"/>
    </row>
    <row r="251" spans="1:6" ht="12" customHeight="1">
      <c r="A251" s="2215"/>
      <c r="B251" s="2218"/>
      <c r="C251" s="2256"/>
      <c r="D251" s="2256"/>
      <c r="E251" s="2256"/>
      <c r="F251" s="2256"/>
    </row>
    <row r="252" spans="1:6" ht="12" customHeight="1">
      <c r="A252" s="2215"/>
      <c r="B252" s="2218"/>
      <c r="C252" s="2256"/>
      <c r="D252" s="2256"/>
      <c r="E252" s="2256"/>
      <c r="F252" s="2256"/>
    </row>
    <row r="253" spans="1:6" ht="12" customHeight="1">
      <c r="A253" s="2215"/>
      <c r="B253" s="2218"/>
      <c r="C253" s="2256"/>
      <c r="D253" s="2256"/>
      <c r="E253" s="2256"/>
      <c r="F253" s="2256"/>
    </row>
    <row r="254" spans="1:6" ht="12" customHeight="1">
      <c r="A254" s="2215"/>
      <c r="B254" s="2218"/>
      <c r="C254" s="2256"/>
      <c r="D254" s="2256"/>
      <c r="E254" s="2256"/>
      <c r="F254" s="2256"/>
    </row>
    <row r="255" spans="1:6" ht="12" customHeight="1">
      <c r="A255" s="2215"/>
      <c r="B255" s="2218"/>
      <c r="C255" s="2256"/>
      <c r="D255" s="2256"/>
      <c r="E255" s="2256"/>
      <c r="F255" s="2256"/>
    </row>
    <row r="256" spans="1:6" ht="12" customHeight="1">
      <c r="A256" s="2215"/>
      <c r="B256" s="2218"/>
      <c r="C256" s="2256"/>
      <c r="D256" s="2256"/>
      <c r="E256" s="2256"/>
      <c r="F256" s="2256"/>
    </row>
    <row r="257" spans="1:6" ht="12" customHeight="1">
      <c r="A257" s="2215"/>
      <c r="B257" s="2218"/>
      <c r="C257" s="2256"/>
      <c r="D257" s="2256"/>
      <c r="E257" s="2256"/>
      <c r="F257" s="2256"/>
    </row>
    <row r="258" spans="1:6" ht="12" customHeight="1">
      <c r="A258" s="2215"/>
      <c r="B258" s="2218"/>
      <c r="C258" s="2256"/>
      <c r="D258" s="2256"/>
      <c r="E258" s="2256"/>
      <c r="F258" s="2256"/>
    </row>
    <row r="259" spans="1:6" ht="12" customHeight="1">
      <c r="A259" s="2215"/>
      <c r="B259" s="2218"/>
      <c r="C259" s="2256"/>
      <c r="D259" s="2256"/>
      <c r="E259" s="2256"/>
      <c r="F259" s="2256"/>
    </row>
    <row r="260" spans="1:6" ht="12" customHeight="1">
      <c r="A260" s="2215"/>
      <c r="B260" s="2218"/>
      <c r="C260" s="2256"/>
      <c r="D260" s="2256"/>
      <c r="E260" s="2256"/>
      <c r="F260" s="2256"/>
    </row>
    <row r="261" spans="1:6" ht="12" customHeight="1">
      <c r="A261" s="2215"/>
      <c r="B261" s="2218"/>
      <c r="C261" s="2256"/>
      <c r="D261" s="2256"/>
      <c r="E261" s="2256"/>
      <c r="F261" s="2256"/>
    </row>
    <row r="262" spans="1:6" ht="12" customHeight="1">
      <c r="A262" s="2215"/>
      <c r="B262" s="2218"/>
      <c r="C262" s="2256"/>
      <c r="D262" s="2256"/>
      <c r="E262" s="2256"/>
      <c r="F262" s="2256"/>
    </row>
    <row r="263" spans="1:6" ht="12" customHeight="1">
      <c r="A263" s="2215"/>
      <c r="B263" s="2218"/>
      <c r="C263" s="2256"/>
      <c r="D263" s="2256"/>
      <c r="E263" s="2256"/>
      <c r="F263" s="2256"/>
    </row>
    <row r="264" spans="1:6" ht="12" customHeight="1">
      <c r="A264" s="2215"/>
      <c r="B264" s="2218"/>
      <c r="C264" s="2256"/>
      <c r="D264" s="2256"/>
      <c r="E264" s="2256"/>
      <c r="F264" s="2256"/>
    </row>
    <row r="265" spans="1:6" ht="12" customHeight="1">
      <c r="A265" s="2215"/>
      <c r="B265" s="2218"/>
      <c r="C265" s="2256"/>
      <c r="D265" s="2256"/>
      <c r="E265" s="2256"/>
      <c r="F265" s="2256"/>
    </row>
    <row r="266" spans="1:6" ht="12" customHeight="1">
      <c r="A266" s="2215"/>
      <c r="B266" s="2218"/>
      <c r="C266" s="2256"/>
      <c r="D266" s="2256"/>
      <c r="E266" s="2256"/>
      <c r="F266" s="2256"/>
    </row>
    <row r="267" spans="1:6" ht="12" customHeight="1">
      <c r="A267" s="2215"/>
      <c r="B267" s="2218"/>
      <c r="C267" s="2256"/>
      <c r="D267" s="2256"/>
      <c r="E267" s="2256"/>
      <c r="F267" s="2256"/>
    </row>
    <row r="268" spans="1:6" ht="12" customHeight="1">
      <c r="A268" s="2215"/>
      <c r="B268" s="2218"/>
      <c r="C268" s="2256"/>
      <c r="D268" s="2256"/>
      <c r="E268" s="2256"/>
      <c r="F268" s="2256"/>
    </row>
    <row r="269" spans="1:6" ht="12" customHeight="1">
      <c r="A269" s="2215"/>
      <c r="B269" s="2218"/>
      <c r="C269" s="2256"/>
      <c r="D269" s="2256"/>
      <c r="E269" s="2256"/>
      <c r="F269" s="2256"/>
    </row>
    <row r="270" spans="1:6" ht="12" customHeight="1">
      <c r="A270" s="2215"/>
      <c r="B270" s="2218"/>
      <c r="C270" s="2256"/>
      <c r="D270" s="2256"/>
      <c r="E270" s="2256"/>
      <c r="F270" s="2256"/>
    </row>
    <row r="271" spans="1:6" ht="12" customHeight="1">
      <c r="A271" s="2215"/>
      <c r="B271" s="2218"/>
      <c r="C271" s="2256"/>
      <c r="D271" s="2256"/>
      <c r="E271" s="2256"/>
      <c r="F271" s="2256"/>
    </row>
    <row r="272" spans="1:6" ht="12" customHeight="1">
      <c r="A272" s="2215"/>
      <c r="B272" s="2218"/>
      <c r="C272" s="2256"/>
      <c r="D272" s="2256"/>
      <c r="E272" s="2256"/>
      <c r="F272" s="2256"/>
    </row>
    <row r="273" spans="1:6" ht="12" customHeight="1">
      <c r="A273" s="2215"/>
      <c r="B273" s="2218"/>
      <c r="C273" s="2256"/>
      <c r="D273" s="2256"/>
      <c r="E273" s="2256"/>
      <c r="F273" s="2256"/>
    </row>
    <row r="274" spans="1:6" ht="12" customHeight="1">
      <c r="A274" s="2215"/>
      <c r="B274" s="2218"/>
      <c r="C274" s="2256"/>
      <c r="D274" s="2256"/>
      <c r="E274" s="2256"/>
      <c r="F274" s="2256"/>
    </row>
    <row r="275" spans="1:6" ht="12" customHeight="1">
      <c r="A275" s="2215"/>
      <c r="B275" s="2218"/>
      <c r="C275" s="2256"/>
      <c r="D275" s="2256"/>
      <c r="E275" s="2256"/>
      <c r="F275" s="2256"/>
    </row>
    <row r="276" spans="1:6" ht="12" customHeight="1">
      <c r="A276" s="2215"/>
      <c r="B276" s="2218"/>
      <c r="C276" s="2256"/>
      <c r="D276" s="2256"/>
      <c r="E276" s="2256"/>
      <c r="F276" s="2256"/>
    </row>
    <row r="277" spans="1:6" ht="12" customHeight="1">
      <c r="A277" s="2215"/>
      <c r="B277" s="2218"/>
      <c r="C277" s="2256"/>
      <c r="D277" s="2256"/>
      <c r="E277" s="2256"/>
      <c r="F277" s="2256"/>
    </row>
    <row r="278" spans="1:6" ht="12" customHeight="1">
      <c r="A278" s="2215"/>
      <c r="B278" s="2218"/>
      <c r="C278" s="2256"/>
      <c r="D278" s="2256"/>
      <c r="E278" s="2256"/>
      <c r="F278" s="2256"/>
    </row>
    <row r="279" spans="1:6" ht="12" customHeight="1">
      <c r="A279" s="2215"/>
      <c r="B279" s="2218"/>
      <c r="C279" s="2256"/>
      <c r="D279" s="2256"/>
      <c r="E279" s="2256"/>
      <c r="F279" s="2256"/>
    </row>
    <row r="280" spans="1:6" ht="12" customHeight="1">
      <c r="A280" s="2215"/>
      <c r="B280" s="2218"/>
      <c r="C280" s="2256"/>
      <c r="D280" s="2256"/>
      <c r="E280" s="2256"/>
      <c r="F280" s="2256"/>
    </row>
    <row r="281" spans="1:6" ht="12" customHeight="1">
      <c r="A281" s="2215"/>
      <c r="B281" s="2218"/>
      <c r="C281" s="2256"/>
      <c r="D281" s="2256"/>
      <c r="E281" s="2256"/>
      <c r="F281" s="2256"/>
    </row>
    <row r="282" spans="1:6" ht="12" customHeight="1">
      <c r="A282" s="2215"/>
      <c r="B282" s="2218"/>
      <c r="C282" s="2256"/>
      <c r="D282" s="2256"/>
      <c r="E282" s="2256"/>
      <c r="F282" s="2256"/>
    </row>
    <row r="283" spans="1:6" ht="12" customHeight="1">
      <c r="A283" s="2215"/>
      <c r="B283" s="2218"/>
      <c r="C283" s="2256"/>
      <c r="D283" s="2256"/>
      <c r="E283" s="2256"/>
      <c r="F283" s="2256"/>
    </row>
    <row r="284" spans="1:6" ht="12" customHeight="1">
      <c r="A284" s="2215"/>
      <c r="B284" s="2218"/>
      <c r="C284" s="2256"/>
      <c r="D284" s="2256"/>
      <c r="E284" s="2256"/>
      <c r="F284" s="2256"/>
    </row>
    <row r="285" spans="1:6" ht="12" customHeight="1">
      <c r="A285" s="2215"/>
      <c r="B285" s="2218"/>
      <c r="C285" s="2256"/>
      <c r="D285" s="2256"/>
      <c r="E285" s="2256"/>
      <c r="F285" s="2256"/>
    </row>
    <row r="286" spans="1:6" ht="12" customHeight="1">
      <c r="A286" s="2215"/>
      <c r="B286" s="2218"/>
      <c r="C286" s="2256"/>
      <c r="D286" s="2256"/>
      <c r="E286" s="2256"/>
      <c r="F286" s="2256"/>
    </row>
    <row r="287" spans="1:6" ht="12" customHeight="1">
      <c r="A287" s="2215"/>
      <c r="B287" s="2218"/>
      <c r="C287" s="2256"/>
      <c r="D287" s="2256"/>
      <c r="E287" s="2256"/>
      <c r="F287" s="2256"/>
    </row>
    <row r="288" spans="1:6" ht="12" customHeight="1">
      <c r="A288" s="2215"/>
      <c r="B288" s="2218"/>
      <c r="C288" s="2256"/>
      <c r="D288" s="2256"/>
      <c r="E288" s="2256"/>
      <c r="F288" s="2256"/>
    </row>
    <row r="289" spans="1:6" ht="12" customHeight="1">
      <c r="A289" s="2215"/>
      <c r="B289" s="2218"/>
      <c r="C289" s="2256"/>
      <c r="D289" s="2256"/>
      <c r="E289" s="2256"/>
      <c r="F289" s="2256"/>
    </row>
    <row r="290" spans="1:6" ht="12" customHeight="1">
      <c r="A290" s="2215"/>
      <c r="B290" s="2218"/>
      <c r="C290" s="2256"/>
      <c r="D290" s="2256"/>
      <c r="E290" s="2256"/>
      <c r="F290" s="2256"/>
    </row>
    <row r="291" spans="1:6" ht="12" customHeight="1">
      <c r="A291" s="2215"/>
      <c r="B291" s="2218"/>
      <c r="C291" s="2256"/>
      <c r="D291" s="2256"/>
      <c r="E291" s="2256"/>
      <c r="F291" s="2256"/>
    </row>
    <row r="292" spans="1:6" ht="12" customHeight="1">
      <c r="A292" s="2215"/>
      <c r="B292" s="2218"/>
      <c r="C292" s="2256"/>
      <c r="D292" s="2256"/>
      <c r="E292" s="2256"/>
      <c r="F292" s="2256"/>
    </row>
    <row r="293" spans="1:6" ht="12" customHeight="1">
      <c r="A293" s="2215"/>
      <c r="B293" s="2218"/>
      <c r="C293" s="2256"/>
      <c r="D293" s="2256"/>
      <c r="E293" s="2256"/>
      <c r="F293" s="2256"/>
    </row>
    <row r="294" spans="1:6" ht="12" customHeight="1">
      <c r="A294" s="2215"/>
      <c r="B294" s="2218"/>
      <c r="C294" s="2256"/>
      <c r="D294" s="2256"/>
      <c r="E294" s="2256"/>
      <c r="F294" s="2256"/>
    </row>
    <row r="295" spans="1:6" ht="12" customHeight="1">
      <c r="A295" s="2215"/>
      <c r="B295" s="2218"/>
      <c r="C295" s="2256"/>
      <c r="D295" s="2256"/>
      <c r="E295" s="2256"/>
      <c r="F295" s="2256"/>
    </row>
    <row r="296" spans="1:6" ht="12" customHeight="1">
      <c r="A296" s="2215"/>
      <c r="B296" s="2218"/>
      <c r="C296" s="2256"/>
      <c r="D296" s="2256"/>
      <c r="E296" s="2256"/>
      <c r="F296" s="2256"/>
    </row>
    <row r="297" spans="1:6" ht="12" customHeight="1">
      <c r="A297" s="2215"/>
      <c r="B297" s="2218"/>
      <c r="C297" s="2256"/>
      <c r="D297" s="2256"/>
      <c r="E297" s="2256"/>
      <c r="F297" s="2256"/>
    </row>
    <row r="298" spans="1:6" ht="12" customHeight="1">
      <c r="A298" s="2215"/>
      <c r="B298" s="2218"/>
      <c r="C298" s="2256"/>
      <c r="D298" s="2256"/>
      <c r="E298" s="2256"/>
      <c r="F298" s="2256"/>
    </row>
    <row r="299" spans="1:6" ht="12" customHeight="1">
      <c r="A299" s="2215"/>
      <c r="B299" s="2218"/>
      <c r="C299" s="2256"/>
      <c r="D299" s="2256"/>
      <c r="E299" s="2256"/>
      <c r="F299" s="2256"/>
    </row>
    <row r="300" spans="1:6" ht="12" customHeight="1">
      <c r="A300" s="2215"/>
      <c r="B300" s="2218"/>
      <c r="C300" s="2256"/>
      <c r="D300" s="2256"/>
      <c r="E300" s="2256"/>
      <c r="F300" s="2256"/>
    </row>
    <row r="301" spans="1:6" ht="12" customHeight="1">
      <c r="A301" s="2215"/>
      <c r="B301" s="2218"/>
      <c r="C301" s="2256"/>
      <c r="D301" s="2256"/>
      <c r="E301" s="2256"/>
      <c r="F301" s="2256"/>
    </row>
    <row r="302" spans="1:6" ht="12" customHeight="1">
      <c r="A302" s="2215"/>
      <c r="B302" s="2218"/>
      <c r="C302" s="2256"/>
      <c r="D302" s="2256"/>
      <c r="E302" s="2256"/>
      <c r="F302" s="2256"/>
    </row>
    <row r="303" spans="1:6" ht="12" customHeight="1">
      <c r="A303" s="2215"/>
      <c r="B303" s="2218"/>
      <c r="C303" s="2256"/>
      <c r="D303" s="2256"/>
      <c r="E303" s="2256"/>
      <c r="F303" s="2256"/>
    </row>
    <row r="304" spans="1:6" ht="12" customHeight="1">
      <c r="A304" s="2215"/>
      <c r="B304" s="2218"/>
      <c r="C304" s="2256"/>
      <c r="D304" s="2256"/>
      <c r="E304" s="2256"/>
      <c r="F304" s="2256"/>
    </row>
    <row r="305" spans="1:6" ht="12" customHeight="1">
      <c r="A305" s="2215"/>
      <c r="B305" s="2218"/>
      <c r="C305" s="2256"/>
      <c r="D305" s="2256"/>
      <c r="E305" s="2256"/>
      <c r="F305" s="2256"/>
    </row>
    <row r="306" spans="1:6" ht="12" customHeight="1">
      <c r="A306" s="2215"/>
      <c r="B306" s="2218"/>
      <c r="C306" s="2256"/>
      <c r="D306" s="2256"/>
      <c r="E306" s="2256"/>
      <c r="F306" s="2256"/>
    </row>
    <row r="307" spans="1:6" ht="12" customHeight="1">
      <c r="A307" s="2215"/>
      <c r="B307" s="2218"/>
      <c r="C307" s="2256"/>
      <c r="D307" s="2256"/>
      <c r="E307" s="2256"/>
      <c r="F307" s="2256"/>
    </row>
    <row r="308" spans="1:6" ht="12" customHeight="1">
      <c r="A308" s="2215"/>
      <c r="B308" s="2218"/>
      <c r="C308" s="2256"/>
      <c r="D308" s="2256"/>
      <c r="E308" s="2256"/>
      <c r="F308" s="2256"/>
    </row>
  </sheetData>
  <sheetProtection algorithmName="SHA-512" hashValue="TLeySOgj0arcflCmMpAv7ITamSZKjdC7UxqNI6LxKhSRsSVjWKVjWFTIRW1lez8F0lc0RuxjepnwvRNs4y/m9w==" saltValue="dseBHJAJua9BO9UIe0JIkg==" spinCount="100000" sheet="1" objects="1" scenarios="1"/>
  <phoneticPr fontId="37" type="noConversion"/>
  <dataValidations count="3">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zero." sqref="C10:D10 C14 C15:D15 C18:D18 C19:E19 F20 C22:D22 C24:D24 C28:D28 C32:E32 F34">
      <formula1>0</formula1>
    </dataValidation>
    <dataValidation type="whole" operator="greaterThanOrEqual" allowBlank="1" showInputMessage="1" showErrorMessage="1" errorTitle="Invalid Data Entry" error="Please enter a positive number or press the delete key or enter zero." sqref="C26">
      <formula1>0</formula1>
    </dataValidation>
  </dataValidations>
  <hyperlinks>
    <hyperlink ref="H1" location="Contents!F1" display="Return to Contents page"/>
  </hyperlinks>
  <printOptions horizontalCentered="1"/>
  <pageMargins left="0.25" right="0.25" top="0.5" bottom="0.5" header="0.5" footer="0.5"/>
  <pageSetup orientation="portrait" blackAndWhite="1" r:id="rId1"/>
  <headerFooter alignWithMargins="0">
    <oddFooter>&amp;L&amp;"Geneva,Regular"&amp;D     &amp;T &amp;CCode No. 83</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0">
    <tabColor theme="6" tint="-0.249977111117893"/>
  </sheetPr>
  <dimension ref="A1:T97"/>
  <sheetViews>
    <sheetView tabSelected="1" zoomScaleNormal="100" workbookViewId="0">
      <selection activeCell="T9" sqref="T9"/>
    </sheetView>
  </sheetViews>
  <sheetFormatPr defaultRowHeight="12.75"/>
  <cols>
    <col min="1" max="1" width="2.42578125" style="4287" customWidth="1"/>
    <col min="2" max="2" width="37.140625" style="4287" customWidth="1"/>
    <col min="3" max="3" width="12.7109375" style="4287" customWidth="1"/>
    <col min="4" max="4" width="11.140625" style="4287" customWidth="1"/>
    <col min="5" max="5" width="9.42578125" style="4287" customWidth="1"/>
    <col min="6" max="6" width="2.85546875" style="4287" customWidth="1"/>
    <col min="7" max="7" width="12.42578125" style="4287" customWidth="1"/>
    <col min="8" max="8" width="2.42578125" style="4287" customWidth="1"/>
    <col min="9" max="9" width="14" style="4287" customWidth="1"/>
    <col min="10" max="10" width="3.7109375" style="4287" customWidth="1"/>
    <col min="11" max="11" width="20" style="4287" customWidth="1"/>
    <col min="12" max="12" width="18.42578125" style="4287" customWidth="1"/>
    <col min="13" max="13" width="7.140625" style="4287" customWidth="1"/>
    <col min="14" max="14" width="12.42578125" style="4287" customWidth="1"/>
    <col min="15" max="16" width="9.140625" style="4287"/>
    <col min="17" max="17" width="7.7109375" style="4287" customWidth="1"/>
    <col min="18" max="18" width="11.85546875" style="4287" customWidth="1"/>
    <col min="19" max="16384" width="9.140625" style="4287"/>
  </cols>
  <sheetData>
    <row r="1" spans="1:20">
      <c r="A1" s="4455"/>
      <c r="B1" s="4455"/>
      <c r="C1" s="4455"/>
      <c r="D1" s="4455"/>
      <c r="E1" s="4455"/>
      <c r="F1" s="4455"/>
      <c r="G1" s="4456" t="s">
        <v>1019</v>
      </c>
      <c r="H1" s="4456"/>
      <c r="I1" s="4457">
        <f>'C01'!$C$1</f>
        <v>270</v>
      </c>
      <c r="J1" s="4455"/>
      <c r="K1" s="4288" t="s">
        <v>866</v>
      </c>
      <c r="L1" s="4288"/>
      <c r="O1" s="4287">
        <f>OPEN!$S$5</f>
        <v>2017</v>
      </c>
    </row>
    <row r="2" spans="1:20">
      <c r="A2" s="5263" t="s">
        <v>2115</v>
      </c>
      <c r="B2" s="5263"/>
      <c r="C2" s="5263"/>
      <c r="D2" s="5263"/>
      <c r="E2" s="5263"/>
      <c r="F2" s="5263"/>
      <c r="G2" s="5263"/>
      <c r="H2" s="5263"/>
      <c r="I2" s="5263"/>
      <c r="J2" s="4458"/>
      <c r="K2" s="4458"/>
      <c r="L2" s="4458"/>
    </row>
    <row r="3" spans="1:20">
      <c r="A3" s="5263" t="str">
        <f>OPEN!$N$2</f>
        <v>2016-2017</v>
      </c>
      <c r="B3" s="5263"/>
      <c r="C3" s="5263"/>
      <c r="D3" s="5263"/>
      <c r="E3" s="5263"/>
      <c r="F3" s="5263"/>
      <c r="G3" s="5263"/>
      <c r="H3" s="5263"/>
      <c r="I3" s="5263"/>
      <c r="J3" s="4458"/>
      <c r="K3" s="4458"/>
      <c r="L3" s="4458"/>
      <c r="P3" s="4459"/>
      <c r="Q3" s="4459"/>
    </row>
    <row r="4" spans="1:20">
      <c r="A4" s="5263" t="s">
        <v>2116</v>
      </c>
      <c r="B4" s="5263"/>
      <c r="C4" s="5263"/>
      <c r="D4" s="5263"/>
      <c r="E4" s="5263"/>
      <c r="F4" s="5263"/>
      <c r="G4" s="5263"/>
      <c r="H4" s="5263"/>
      <c r="I4" s="5263"/>
      <c r="J4" s="4458"/>
      <c r="K4" s="4458"/>
      <c r="L4" s="4460" t="s">
        <v>2117</v>
      </c>
    </row>
    <row r="5" spans="1:20">
      <c r="A5" s="4461"/>
      <c r="B5" s="4462"/>
      <c r="C5" s="4462"/>
      <c r="D5" s="4462"/>
      <c r="E5" s="4462"/>
      <c r="F5" s="4462"/>
      <c r="G5" s="4455"/>
      <c r="H5" s="4455"/>
      <c r="I5" s="4463"/>
      <c r="J5" s="4462"/>
      <c r="K5" s="4462"/>
      <c r="L5" s="4462"/>
      <c r="N5" s="4464"/>
    </row>
    <row r="6" spans="1:20">
      <c r="A6" s="4455" t="s">
        <v>2467</v>
      </c>
      <c r="B6" s="4455"/>
      <c r="C6" s="4455"/>
      <c r="D6" s="4455"/>
      <c r="E6" s="4455"/>
      <c r="F6" s="4455"/>
      <c r="G6" s="4465"/>
      <c r="H6" s="4465" t="s">
        <v>1166</v>
      </c>
      <c r="I6" s="4466">
        <f>I77</f>
        <v>2322474</v>
      </c>
      <c r="J6" s="4455"/>
      <c r="K6" s="4455"/>
      <c r="L6" s="4467">
        <f>I6</f>
        <v>2322474</v>
      </c>
      <c r="M6" s="4464"/>
      <c r="N6" s="4468"/>
    </row>
    <row r="7" spans="1:20">
      <c r="A7" s="4455"/>
      <c r="B7" s="4455"/>
      <c r="C7" s="4455"/>
      <c r="D7" s="4455"/>
      <c r="E7" s="4455"/>
      <c r="F7" s="4455"/>
      <c r="G7" s="4455"/>
      <c r="H7" s="4455"/>
      <c r="I7" s="4455"/>
      <c r="J7" s="4455"/>
      <c r="K7" s="4455"/>
      <c r="L7" s="4455"/>
      <c r="M7" s="4464"/>
      <c r="N7" s="4464"/>
    </row>
    <row r="8" spans="1:20">
      <c r="A8" s="4464" t="str">
        <f>"2.  " &amp; OPEN!$P$14 &amp; " Virtual State Aid"</f>
        <v>2.  2016-17 Virtual State Aid</v>
      </c>
      <c r="B8" s="4464"/>
      <c r="C8" s="4464"/>
      <c r="D8" s="4464"/>
      <c r="E8" s="4464"/>
      <c r="F8" s="4469"/>
      <c r="G8" s="4469"/>
      <c r="H8" s="4469"/>
      <c r="I8" s="4469"/>
      <c r="J8" s="4464"/>
      <c r="K8" s="4464"/>
      <c r="L8" s="4464"/>
      <c r="M8" s="4464"/>
      <c r="N8" s="4464"/>
    </row>
    <row r="9" spans="1:20">
      <c r="A9" s="4464"/>
      <c r="B9" s="4464" t="s">
        <v>2118</v>
      </c>
      <c r="C9" s="4470">
        <f>OPEN!$A$78</f>
        <v>0</v>
      </c>
      <c r="D9" s="4471" t="s">
        <v>2119</v>
      </c>
      <c r="E9" s="4472">
        <f>OPEN!N26</f>
        <v>5000</v>
      </c>
      <c r="F9" s="4465" t="s">
        <v>1166</v>
      </c>
      <c r="G9" s="4473">
        <f>ROUND(C9*E9,0)</f>
        <v>0</v>
      </c>
      <c r="H9" s="4473"/>
      <c r="I9" s="4469"/>
      <c r="J9" s="4464"/>
      <c r="K9" s="4464"/>
      <c r="L9" s="4464"/>
      <c r="M9" s="4464"/>
      <c r="N9" s="4464"/>
    </row>
    <row r="10" spans="1:20">
      <c r="A10" s="4464"/>
      <c r="B10" s="4464" t="s">
        <v>2120</v>
      </c>
      <c r="C10" s="4474">
        <f>OPEN!$A$79</f>
        <v>0</v>
      </c>
      <c r="D10" s="4471" t="s">
        <v>2119</v>
      </c>
      <c r="E10" s="4475">
        <f>OPEN!O26</f>
        <v>1700</v>
      </c>
      <c r="F10" s="4465" t="s">
        <v>1166</v>
      </c>
      <c r="G10" s="4476">
        <f>ROUND(C10*E10,0)</f>
        <v>0</v>
      </c>
      <c r="H10" s="4473"/>
      <c r="I10" s="4469"/>
      <c r="J10" s="4464"/>
      <c r="K10" s="4464"/>
      <c r="L10" s="4464"/>
      <c r="M10" s="4464"/>
      <c r="N10" s="4464"/>
    </row>
    <row r="11" spans="1:20">
      <c r="A11" s="4464"/>
      <c r="B11" s="4464" t="s">
        <v>2515</v>
      </c>
      <c r="C11" s="4477">
        <f>OPEN!$A$80</f>
        <v>0</v>
      </c>
      <c r="D11" s="4471" t="s">
        <v>2121</v>
      </c>
      <c r="E11" s="4475">
        <f>OPEN!P26</f>
        <v>933</v>
      </c>
      <c r="F11" s="4465" t="s">
        <v>1166</v>
      </c>
      <c r="G11" s="4478">
        <f>ROUND(C11*E11,0)</f>
        <v>0</v>
      </c>
      <c r="H11" s="4473"/>
      <c r="I11" s="4469"/>
      <c r="J11" s="4464"/>
      <c r="K11" s="4464"/>
      <c r="L11" s="4464"/>
      <c r="M11" s="4464"/>
      <c r="N11" s="4464"/>
    </row>
    <row r="12" spans="1:20">
      <c r="A12" s="4464"/>
      <c r="B12" s="4479" t="s">
        <v>2122</v>
      </c>
      <c r="C12" s="4473"/>
      <c r="D12" s="4471"/>
      <c r="E12" s="4475"/>
      <c r="F12" s="4465"/>
      <c r="G12" s="4473"/>
      <c r="H12" s="4473"/>
      <c r="I12" s="4469"/>
      <c r="J12" s="4464"/>
      <c r="K12" s="4464"/>
      <c r="L12" s="4464"/>
      <c r="M12" s="4464"/>
      <c r="N12" s="4464"/>
    </row>
    <row r="13" spans="1:20">
      <c r="A13" s="4464"/>
      <c r="B13" s="4464" t="s">
        <v>2123</v>
      </c>
      <c r="C13" s="4464"/>
      <c r="D13" s="4464"/>
      <c r="E13" s="4464"/>
      <c r="F13" s="4469"/>
      <c r="G13" s="4465"/>
      <c r="H13" s="4465" t="s">
        <v>1166</v>
      </c>
      <c r="I13" s="4480">
        <f>SUM(G9:G11)</f>
        <v>0</v>
      </c>
      <c r="J13" s="4464"/>
      <c r="K13" s="4464"/>
      <c r="L13" s="4481">
        <f>I13</f>
        <v>0</v>
      </c>
      <c r="M13" s="4464"/>
      <c r="N13" s="4464"/>
    </row>
    <row r="14" spans="1:20">
      <c r="A14" s="4464"/>
      <c r="B14" s="4464"/>
      <c r="C14" s="4464"/>
      <c r="D14" s="4464"/>
      <c r="E14" s="4464"/>
      <c r="F14" s="4469"/>
      <c r="G14" s="4469"/>
      <c r="H14" s="4469"/>
      <c r="I14" s="4469"/>
      <c r="J14" s="4464"/>
      <c r="K14" s="4464"/>
      <c r="L14" s="4464"/>
      <c r="M14" s="4464"/>
      <c r="N14" s="4464"/>
      <c r="T14" s="4482"/>
    </row>
    <row r="15" spans="1:20">
      <c r="A15" s="4464" t="str">
        <f>"3.  " &amp; OPEN!$P$14 &amp; " New Facilities State Aid"</f>
        <v>3.  2016-17 New Facilities State Aid</v>
      </c>
      <c r="B15" s="4464"/>
      <c r="C15" s="4470">
        <f>OPEN!$A$53</f>
        <v>0</v>
      </c>
      <c r="D15" s="4483" t="str">
        <f>"FTE x .25 x " &amp; OPEN!$P$34</f>
        <v>FTE x .25 x $3,852</v>
      </c>
      <c r="E15" s="4464"/>
      <c r="F15" s="4464"/>
      <c r="G15" s="4465"/>
      <c r="H15" s="4465" t="s">
        <v>1166</v>
      </c>
      <c r="I15" s="4480">
        <f>ROUND(ROUND(C15*0.25,1)*OPEN!$O$34,0)</f>
        <v>0</v>
      </c>
      <c r="J15" s="4464"/>
      <c r="K15" s="4459"/>
      <c r="L15" s="4481">
        <f>I15</f>
        <v>0</v>
      </c>
      <c r="M15" s="4464"/>
      <c r="N15" s="4464"/>
    </row>
    <row r="16" spans="1:20">
      <c r="A16" s="4464"/>
      <c r="B16" s="4464"/>
      <c r="C16" s="4464"/>
      <c r="D16" s="4464"/>
      <c r="E16" s="4464"/>
      <c r="F16" s="4464"/>
      <c r="G16" s="4464"/>
      <c r="H16" s="4464"/>
      <c r="I16" s="4464"/>
      <c r="J16" s="4464"/>
      <c r="K16" s="4464"/>
      <c r="L16" s="4464"/>
      <c r="M16" s="4464"/>
      <c r="N16" s="4464"/>
    </row>
    <row r="17" spans="1:19">
      <c r="A17" s="4464" t="s">
        <v>2124</v>
      </c>
      <c r="B17" s="4464"/>
      <c r="C17" s="4464"/>
      <c r="D17" s="4464"/>
      <c r="E17" s="4464"/>
      <c r="F17" s="4464"/>
      <c r="G17" s="4464"/>
      <c r="H17" s="4464"/>
      <c r="I17" s="4464"/>
      <c r="J17" s="4464"/>
      <c r="K17" s="4464"/>
      <c r="L17" s="4464"/>
      <c r="M17" s="4464"/>
      <c r="N17" s="4464"/>
    </row>
    <row r="18" spans="1:19">
      <c r="A18" s="4464"/>
      <c r="B18" s="4464" t="str">
        <f>"A.  Cost of Living  (General Fund excl COL)"</f>
        <v>A.  Cost of Living  (General Fund excl COL)</v>
      </c>
      <c r="C18" s="4484">
        <f>L55</f>
        <v>3131576</v>
      </c>
      <c r="D18" s="4471" t="s">
        <v>1888</v>
      </c>
      <c r="E18" s="5093">
        <f>VLOOKUP($I$1,DATA!A3:AT288,39,FALSE)</f>
        <v>0</v>
      </c>
      <c r="F18" s="4485" t="s">
        <v>1166</v>
      </c>
      <c r="G18" s="4486">
        <f>ROUND((C18*E18),0)</f>
        <v>0</v>
      </c>
      <c r="H18" s="4487"/>
      <c r="I18" s="4488"/>
      <c r="J18" s="4464"/>
      <c r="K18" s="4489" t="s">
        <v>2524</v>
      </c>
      <c r="L18" s="4464"/>
      <c r="M18" s="4464"/>
      <c r="N18" s="4490"/>
    </row>
    <row r="19" spans="1:19">
      <c r="A19" s="4464"/>
      <c r="B19" s="4464" t="s">
        <v>2125</v>
      </c>
      <c r="C19" s="4464"/>
      <c r="D19" s="4464"/>
      <c r="E19" s="4464"/>
      <c r="F19" s="4485" t="s">
        <v>1166</v>
      </c>
      <c r="G19" s="4484">
        <f>IF(R21&gt;MAX(R19,R20),MAX(R19,R20),R21)</f>
        <v>0</v>
      </c>
      <c r="H19" s="4473"/>
      <c r="I19" s="4464"/>
      <c r="J19" s="4464"/>
      <c r="K19" s="4464"/>
      <c r="L19" s="4464"/>
      <c r="M19" s="4491" t="s">
        <v>2126</v>
      </c>
      <c r="N19" s="4492" t="s">
        <v>2468</v>
      </c>
      <c r="O19" s="4493"/>
      <c r="P19" s="4493"/>
      <c r="Q19" s="4493"/>
      <c r="R19" s="4494">
        <f>VLOOKUP($I$1,DATA!A3:AT288,46,FALSE)</f>
        <v>0</v>
      </c>
      <c r="S19" s="4495"/>
    </row>
    <row r="20" spans="1:19">
      <c r="A20" s="4464"/>
      <c r="B20" s="4464" t="s">
        <v>2127</v>
      </c>
      <c r="C20" s="4464"/>
      <c r="D20" s="4464"/>
      <c r="E20" s="4464"/>
      <c r="F20" s="4485" t="s">
        <v>1166</v>
      </c>
      <c r="G20" s="4484">
        <f>IF(R24&gt;MAX(R22,R23),MAX(R22,R23),R24)</f>
        <v>0</v>
      </c>
      <c r="H20" s="4473"/>
      <c r="I20" s="4464"/>
      <c r="J20" s="4464"/>
      <c r="K20" s="4464"/>
      <c r="L20" s="4464"/>
      <c r="M20" s="4496"/>
      <c r="N20" s="4492" t="str">
        <f>"Declining Enrollment Tax appeal " &amp; OPEN!P14</f>
        <v>Declining Enrollment Tax appeal 2016-17</v>
      </c>
      <c r="O20" s="4493"/>
      <c r="P20" s="4493"/>
      <c r="Q20" s="4493"/>
      <c r="R20" s="4497">
        <f>OPEN!$A$85</f>
        <v>0</v>
      </c>
      <c r="S20" s="4493"/>
    </row>
    <row r="21" spans="1:19" ht="13.5" thickBot="1">
      <c r="A21" s="4464"/>
      <c r="B21" s="4464" t="s">
        <v>2128</v>
      </c>
      <c r="C21" s="4464"/>
      <c r="D21" s="4464"/>
      <c r="E21" s="4464"/>
      <c r="F21" s="4464"/>
      <c r="G21" s="4485"/>
      <c r="H21" s="4465" t="s">
        <v>1166</v>
      </c>
      <c r="I21" s="4480">
        <f>MIN(I18,G18)+G19+G20</f>
        <v>0</v>
      </c>
      <c r="J21" s="4464"/>
      <c r="K21" s="4464"/>
      <c r="L21" s="4481">
        <f>G19+G20</f>
        <v>0</v>
      </c>
      <c r="M21" s="4496"/>
      <c r="N21" s="4496"/>
      <c r="O21" s="4493"/>
      <c r="P21" s="4493"/>
      <c r="Q21" s="4491" t="s">
        <v>2129</v>
      </c>
      <c r="R21" s="4498"/>
      <c r="S21" s="4493"/>
    </row>
    <row r="22" spans="1:19" ht="13.5" thickTop="1">
      <c r="A22" s="4464"/>
      <c r="B22" s="4464"/>
      <c r="C22" s="4464"/>
      <c r="D22" s="4464"/>
      <c r="E22" s="4464"/>
      <c r="F22" s="4464"/>
      <c r="G22" s="4485"/>
      <c r="H22" s="4465"/>
      <c r="I22" s="4473"/>
      <c r="J22" s="4464"/>
      <c r="K22" s="4464"/>
      <c r="L22" s="4464"/>
      <c r="M22" s="4491" t="s">
        <v>2130</v>
      </c>
      <c r="N22" s="4499" t="s">
        <v>2469</v>
      </c>
      <c r="O22" s="4499"/>
      <c r="P22" s="4499"/>
      <c r="Q22" s="4499"/>
      <c r="R22" s="4494">
        <f>VLOOKUP($I$1,DATA!A3:AU288,47,FALSE)</f>
        <v>0</v>
      </c>
      <c r="S22" s="4495"/>
    </row>
    <row r="23" spans="1:19">
      <c r="A23" s="4464" t="s">
        <v>2131</v>
      </c>
      <c r="B23" s="4464"/>
      <c r="C23" s="4464"/>
      <c r="D23" s="4464"/>
      <c r="E23" s="4464"/>
      <c r="F23" s="4464"/>
      <c r="G23" s="4485"/>
      <c r="H23" s="4465"/>
      <c r="I23" s="4473"/>
      <c r="J23" s="4464"/>
      <c r="K23" s="4464"/>
      <c r="L23" s="4464"/>
      <c r="M23" s="4496"/>
      <c r="N23" s="4499" t="str">
        <f>"Ancillary Facilities Tax Appeal " &amp; OPEN!P14</f>
        <v>Ancillary Facilities Tax Appeal 2016-17</v>
      </c>
      <c r="O23" s="4499"/>
      <c r="P23" s="4499"/>
      <c r="Q23" s="4499"/>
      <c r="R23" s="4500">
        <f>OPEN!$A$84</f>
        <v>0</v>
      </c>
      <c r="S23" s="4493"/>
    </row>
    <row r="24" spans="1:19" ht="13.5" thickBot="1">
      <c r="A24" s="4464"/>
      <c r="B24" s="4464" t="s">
        <v>2470</v>
      </c>
      <c r="C24" s="4464"/>
      <c r="D24" s="4464"/>
      <c r="E24" s="4501"/>
      <c r="F24" s="4485" t="s">
        <v>1166</v>
      </c>
      <c r="G24" s="5094">
        <f>VLOOKUP($I$1,DATA!A3:AT288,40,FALSE)</f>
        <v>0</v>
      </c>
      <c r="H24" s="4465"/>
      <c r="I24" s="4473"/>
      <c r="J24" s="4464"/>
      <c r="K24" s="4464"/>
      <c r="L24" s="4464"/>
      <c r="M24" s="4496"/>
      <c r="N24" s="4496"/>
      <c r="O24" s="4493"/>
      <c r="P24" s="4493"/>
      <c r="Q24" s="4491" t="s">
        <v>2132</v>
      </c>
      <c r="R24" s="4498"/>
      <c r="S24" s="4493"/>
    </row>
    <row r="25" spans="1:19" ht="13.5" thickTop="1">
      <c r="A25" s="4464"/>
      <c r="B25" s="4464" t="str">
        <f>"B.  " &amp; OPEN!P14 &amp;" Federal Impact Aid"</f>
        <v>B.  2016-17 Federal Impact Aid</v>
      </c>
      <c r="C25" s="4464"/>
      <c r="D25" s="4502">
        <f>OPEN!$A$117</f>
        <v>0</v>
      </c>
      <c r="E25" s="4501" t="s">
        <v>2133</v>
      </c>
      <c r="F25" s="4485" t="s">
        <v>1166</v>
      </c>
      <c r="G25" s="4503">
        <f>ROUND(D25*0.7,0)</f>
        <v>0</v>
      </c>
      <c r="H25" s="4465"/>
      <c r="I25" s="4473"/>
      <c r="J25" s="4464"/>
      <c r="K25" s="4464"/>
      <c r="L25" s="4464"/>
      <c r="M25" s="4464"/>
      <c r="N25" s="4504"/>
    </row>
    <row r="26" spans="1:19">
      <c r="A26" s="4464"/>
      <c r="B26" s="4464" t="s">
        <v>2134</v>
      </c>
      <c r="C26" s="4464"/>
      <c r="D26" s="4464"/>
      <c r="E26" s="4464"/>
      <c r="F26" s="4464"/>
      <c r="G26" s="4485"/>
      <c r="H26" s="4465" t="s">
        <v>1166</v>
      </c>
      <c r="I26" s="4480">
        <f>IF((G24-G25)&lt;=0,0,G24-G25)</f>
        <v>0</v>
      </c>
      <c r="J26" s="4464"/>
      <c r="K26" s="4464"/>
      <c r="L26" s="4481">
        <f>I26</f>
        <v>0</v>
      </c>
      <c r="M26" s="4464"/>
      <c r="N26" s="4504"/>
    </row>
    <row r="27" spans="1:19">
      <c r="A27" s="4464"/>
      <c r="B27" s="4464"/>
      <c r="C27" s="4464"/>
      <c r="D27" s="4464"/>
      <c r="E27" s="4464"/>
      <c r="F27" s="4464"/>
      <c r="G27" s="4485"/>
      <c r="H27" s="4465"/>
      <c r="I27" s="4473"/>
      <c r="J27" s="4464"/>
      <c r="K27" s="4464"/>
      <c r="L27" s="4464"/>
      <c r="M27" s="4464"/>
      <c r="N27" s="4504"/>
    </row>
    <row r="28" spans="1:19">
      <c r="A28" s="4464" t="s">
        <v>2135</v>
      </c>
      <c r="B28" s="4464"/>
      <c r="C28" s="4470">
        <f>I94</f>
        <v>348.1</v>
      </c>
      <c r="D28" s="4471" t="s">
        <v>2119</v>
      </c>
      <c r="E28" s="4505">
        <f>OPEN!$N$34</f>
        <v>0</v>
      </c>
      <c r="F28" s="4464"/>
      <c r="G28" s="4485"/>
      <c r="H28" s="4465" t="s">
        <v>1166</v>
      </c>
      <c r="I28" s="4506">
        <f>ROUND(C28*E28,0)</f>
        <v>0</v>
      </c>
      <c r="J28" s="4511" t="s">
        <v>2647</v>
      </c>
      <c r="K28" s="4464"/>
      <c r="L28" s="4481">
        <f>I28</f>
        <v>0</v>
      </c>
      <c r="M28" s="4464"/>
      <c r="N28" s="4504"/>
    </row>
    <row r="29" spans="1:19">
      <c r="A29" s="4464"/>
      <c r="B29" s="4464"/>
      <c r="C29" s="4507"/>
      <c r="D29" s="4471"/>
      <c r="E29" s="4508"/>
      <c r="F29" s="4464"/>
      <c r="G29" s="4485"/>
      <c r="H29" s="4465"/>
      <c r="I29" s="4509"/>
      <c r="J29" s="4464"/>
      <c r="K29" s="4464"/>
      <c r="L29" s="4464"/>
      <c r="M29" s="4464"/>
      <c r="N29" s="4504"/>
    </row>
    <row r="30" spans="1:19">
      <c r="A30" s="4464" t="str">
        <f>"7.  " &amp; OPEN!$P$14 &amp;" General State Aid (Sum of lines 1 through 6)"</f>
        <v>7.  2016-17 General State Aid (Sum of lines 1 through 6)</v>
      </c>
      <c r="B30" s="4510"/>
      <c r="C30" s="5065"/>
      <c r="D30" s="4473"/>
      <c r="E30" s="4464"/>
      <c r="F30" s="4464"/>
      <c r="G30" s="4485"/>
      <c r="H30" s="4465" t="s">
        <v>1166</v>
      </c>
      <c r="I30" s="4512">
        <f>ROUND(SUM(I6+I13+I15+I21+I26+I28),0)</f>
        <v>2322474</v>
      </c>
      <c r="J30" s="4511" t="s">
        <v>2136</v>
      </c>
      <c r="K30" s="4464"/>
      <c r="L30" s="4502">
        <f>ROUND(SUM(L6:L28),0)</f>
        <v>2322474</v>
      </c>
      <c r="M30" s="4464"/>
      <c r="N30" s="4504"/>
    </row>
    <row r="31" spans="1:19">
      <c r="A31" s="4464"/>
      <c r="B31" s="4513"/>
      <c r="C31" s="4464"/>
      <c r="D31" s="5091"/>
      <c r="E31" s="4464"/>
      <c r="F31" s="4464"/>
      <c r="G31" s="4485"/>
      <c r="H31" s="4465"/>
      <c r="I31" s="4508"/>
      <c r="J31" s="4511"/>
      <c r="K31" s="4464"/>
      <c r="L31" s="4464"/>
      <c r="M31" s="4464"/>
      <c r="N31" s="4504"/>
    </row>
    <row r="32" spans="1:19" ht="5.25" customHeight="1">
      <c r="A32" s="4464"/>
      <c r="B32" s="4464"/>
      <c r="C32" s="4464"/>
      <c r="D32" s="4464"/>
      <c r="E32" s="4464"/>
      <c r="F32" s="4464"/>
      <c r="G32" s="4485"/>
      <c r="H32" s="4465"/>
      <c r="I32" s="4508"/>
      <c r="J32" s="4511"/>
      <c r="K32" s="4464"/>
      <c r="L32" s="4464"/>
      <c r="M32" s="4464"/>
      <c r="N32" s="4504"/>
    </row>
    <row r="33" spans="1:14">
      <c r="A33" s="4464" t="str">
        <f>"8.  " &amp;  OPEN!$P$14 &amp; " Extraordinary Need State Aid (General Fund Only)"</f>
        <v>8.  2016-17 Extraordinary Need State Aid (General Fund Only)</v>
      </c>
      <c r="B33" s="4464"/>
      <c r="C33" s="4464"/>
      <c r="D33" s="4464"/>
      <c r="E33" s="4464"/>
      <c r="F33" s="4464"/>
      <c r="G33" s="4485"/>
      <c r="H33" s="4465" t="s">
        <v>1166</v>
      </c>
      <c r="I33" s="4506">
        <f>OPEN!A86</f>
        <v>0</v>
      </c>
      <c r="J33" s="4511" t="s">
        <v>2517</v>
      </c>
      <c r="K33" s="4464"/>
      <c r="L33" s="4481">
        <f>I33</f>
        <v>0</v>
      </c>
      <c r="M33" s="4464"/>
      <c r="N33" s="4504"/>
    </row>
    <row r="34" spans="1:14">
      <c r="A34" s="4464"/>
      <c r="B34" s="4464"/>
      <c r="C34" s="4464"/>
      <c r="D34" s="4464"/>
      <c r="E34" s="4464"/>
      <c r="F34" s="4464"/>
      <c r="G34" s="4464"/>
      <c r="H34" s="4464"/>
      <c r="I34" s="4464"/>
      <c r="J34" s="4511"/>
      <c r="K34" s="4464"/>
      <c r="L34" s="4464"/>
      <c r="M34" s="4464"/>
      <c r="N34" s="4464"/>
    </row>
    <row r="35" spans="1:14">
      <c r="A35" s="4464" t="str">
        <f>"9.  " &amp; OPEN!$P$14 &amp;" Special Education State Aid (see Form 118)"</f>
        <v>9.  2016-17 Special Education State Aid (see Form 118)</v>
      </c>
      <c r="B35" s="4464"/>
      <c r="C35" s="4464"/>
      <c r="D35" s="4464"/>
      <c r="E35" s="4464"/>
      <c r="F35" s="4464"/>
      <c r="G35" s="4485"/>
      <c r="H35" s="4465" t="s">
        <v>1166</v>
      </c>
      <c r="I35" s="4480">
        <f>'F118'!G60</f>
        <v>522152</v>
      </c>
      <c r="J35" s="4511" t="s">
        <v>2137</v>
      </c>
      <c r="K35" s="4464"/>
      <c r="L35" s="4481">
        <f>I35</f>
        <v>522152</v>
      </c>
      <c r="M35" s="4464"/>
      <c r="N35" s="4504"/>
    </row>
    <row r="36" spans="1:14">
      <c r="A36" s="4464"/>
      <c r="B36" s="4464"/>
      <c r="C36" s="4464"/>
      <c r="D36" s="4464"/>
      <c r="E36" s="4464"/>
      <c r="F36" s="4464"/>
      <c r="G36" s="4464"/>
      <c r="H36" s="4464"/>
      <c r="I36" s="4464"/>
      <c r="J36" s="4511"/>
      <c r="K36" s="4464"/>
      <c r="L36" s="4464"/>
      <c r="M36" s="4464"/>
      <c r="N36" s="4464"/>
    </row>
    <row r="37" spans="1:14">
      <c r="A37" s="4464" t="str">
        <f>"10.  " &amp; OPEN!$P$14 &amp; " KPERS State Aid (see Form 195)"</f>
        <v>10.  2016-17 KPERS State Aid (see Form 195)</v>
      </c>
      <c r="B37" s="4464"/>
      <c r="C37" s="4464"/>
      <c r="D37" s="4464"/>
      <c r="E37" s="4464"/>
      <c r="F37" s="4464"/>
      <c r="G37" s="4485"/>
      <c r="H37" s="4465" t="s">
        <v>1166</v>
      </c>
      <c r="I37" s="4506">
        <f>'F195'!H32</f>
        <v>266624</v>
      </c>
      <c r="J37" s="4511" t="s">
        <v>2138</v>
      </c>
      <c r="K37" s="4464"/>
      <c r="L37" s="4481">
        <f>I37</f>
        <v>266624</v>
      </c>
      <c r="M37" s="4464"/>
      <c r="N37" s="4504"/>
    </row>
    <row r="38" spans="1:14">
      <c r="A38" s="4464"/>
      <c r="B38" s="4464"/>
      <c r="C38" s="4464"/>
      <c r="D38" s="4464"/>
      <c r="E38" s="4464"/>
      <c r="F38" s="4464"/>
      <c r="G38" s="4464"/>
      <c r="H38" s="4464"/>
      <c r="I38" s="4464"/>
      <c r="J38" s="4511"/>
      <c r="K38" s="4464"/>
      <c r="L38" s="4464"/>
      <c r="M38" s="4464"/>
      <c r="N38" s="4464"/>
    </row>
    <row r="39" spans="1:14">
      <c r="A39" s="4464" t="str">
        <f>"11.  " &amp; OPEN!$P$14  &amp; " Total State Aid Flow-Thru General Fund (Lines 7 through 10)"</f>
        <v>11.  2016-17 Total State Aid Flow-Thru General Fund (Lines 7 through 10)</v>
      </c>
      <c r="B39" s="4464"/>
      <c r="C39" s="4464"/>
      <c r="D39" s="4464"/>
      <c r="E39" s="4464"/>
      <c r="F39" s="4464"/>
      <c r="G39" s="4485"/>
      <c r="H39" s="4465" t="s">
        <v>1166</v>
      </c>
      <c r="I39" s="4512">
        <f>SUM(I30:I37)</f>
        <v>3111250</v>
      </c>
      <c r="J39" s="4464"/>
      <c r="K39" s="4464"/>
      <c r="L39" s="4514">
        <f>SUM(L30:L37)</f>
        <v>3111250</v>
      </c>
      <c r="M39" s="4464"/>
      <c r="N39" s="4490"/>
    </row>
    <row r="40" spans="1:14">
      <c r="A40" s="4464"/>
      <c r="B40" s="4464"/>
      <c r="C40" s="4464"/>
      <c r="D40" s="4464"/>
      <c r="E40" s="4464"/>
      <c r="F40" s="4464"/>
      <c r="G40" s="4485"/>
      <c r="H40" s="4465"/>
      <c r="I40" s="5092"/>
      <c r="J40" s="4464"/>
      <c r="K40" s="4464"/>
      <c r="L40" s="4514"/>
      <c r="M40" s="4464"/>
      <c r="N40" s="4464"/>
    </row>
    <row r="41" spans="1:14">
      <c r="A41" s="4464" t="str">
        <f>"12.  6/30/" &amp; OPEN!Q5 &amp; " Unencumbered Cash Balance (General Fund)"</f>
        <v>12.  6/30/2016 Unencumbered Cash Balance (General Fund)</v>
      </c>
      <c r="B41" s="4464"/>
      <c r="C41" s="4464"/>
      <c r="D41" s="4464"/>
      <c r="E41" s="4464"/>
      <c r="F41" s="4464"/>
      <c r="G41" s="4485"/>
      <c r="H41" s="4465" t="s">
        <v>1166</v>
      </c>
      <c r="I41" s="4512">
        <f>'C06'!E9</f>
        <v>0</v>
      </c>
      <c r="J41" s="4464"/>
      <c r="K41" s="4464"/>
      <c r="L41" s="4514">
        <f>I41</f>
        <v>0</v>
      </c>
      <c r="M41" s="4464"/>
      <c r="N41" s="4464"/>
    </row>
    <row r="42" spans="1:14">
      <c r="A42" s="4464"/>
      <c r="B42" s="4464"/>
      <c r="C42" s="4464"/>
      <c r="D42" s="4464"/>
      <c r="E42" s="4464"/>
      <c r="F42" s="4464"/>
      <c r="G42" s="4485"/>
      <c r="H42" s="4485"/>
      <c r="I42" s="4508"/>
      <c r="J42" s="4464"/>
      <c r="K42" s="4464"/>
      <c r="L42" s="4464"/>
      <c r="M42" s="4464"/>
      <c r="N42" s="4464"/>
    </row>
    <row r="43" spans="1:14">
      <c r="A43" s="4515" t="str">
        <f>"13.  "&amp;OPEN!$P$4&amp;" Mineral Production Tax (General Fund)"</f>
        <v>13.  2016-2017 Mineral Production Tax (General Fund)</v>
      </c>
      <c r="B43" s="4515"/>
      <c r="C43" s="4515"/>
      <c r="D43" s="4515"/>
      <c r="E43" s="4515"/>
      <c r="F43" s="4515"/>
      <c r="G43" s="4515"/>
      <c r="H43" s="4465" t="s">
        <v>1166</v>
      </c>
      <c r="I43" s="4516">
        <f>'C06'!$E$36</f>
        <v>16326</v>
      </c>
      <c r="J43" s="4517" t="s">
        <v>2518</v>
      </c>
      <c r="K43" s="4471"/>
      <c r="L43" s="4514">
        <f>I43</f>
        <v>16326</v>
      </c>
      <c r="M43" s="4464"/>
      <c r="N43" s="4464"/>
    </row>
    <row r="44" spans="1:14">
      <c r="A44" s="4515"/>
      <c r="B44" s="4515"/>
      <c r="C44" s="4515"/>
      <c r="D44" s="4515"/>
      <c r="E44" s="4515"/>
      <c r="F44" s="4515"/>
      <c r="G44" s="4515"/>
      <c r="H44" s="4515"/>
      <c r="I44" s="4518"/>
      <c r="J44" s="4464"/>
      <c r="K44" s="4464"/>
      <c r="L44" s="4464"/>
      <c r="M44" s="4464"/>
      <c r="N44" s="4464"/>
    </row>
    <row r="45" spans="1:14">
      <c r="A45" s="4515" t="str">
        <f>"14.  "&amp;OPEN!$P$4&amp;" Federal Impact Aid PL 382 (formerly PL 874)"</f>
        <v>14.  2016-2017 Federal Impact Aid PL 382 (formerly PL 874)</v>
      </c>
      <c r="B45" s="4515"/>
      <c r="C45" s="4515"/>
      <c r="D45" s="4515"/>
      <c r="E45" s="4515"/>
      <c r="F45" s="4515"/>
      <c r="G45" s="4515"/>
      <c r="H45" s="4465" t="s">
        <v>1166</v>
      </c>
      <c r="I45" s="4516">
        <f>'C06'!$E$45</f>
        <v>0</v>
      </c>
      <c r="J45" s="4517" t="s">
        <v>2519</v>
      </c>
      <c r="K45" s="4464"/>
      <c r="L45" s="4514">
        <f>I45</f>
        <v>0</v>
      </c>
      <c r="M45" s="4464"/>
    </row>
    <row r="46" spans="1:14">
      <c r="A46" s="4515"/>
      <c r="B46" s="4515"/>
      <c r="C46" s="4515"/>
      <c r="D46" s="4515"/>
      <c r="E46" s="4515"/>
      <c r="F46" s="4515"/>
      <c r="G46" s="4515"/>
      <c r="H46" s="4515"/>
      <c r="I46" s="4518"/>
      <c r="J46" s="4464"/>
      <c r="K46" s="4464"/>
      <c r="L46" s="4464"/>
      <c r="M46" s="4464"/>
    </row>
    <row r="47" spans="1:14">
      <c r="A47" s="4515" t="str">
        <f>"15.  "&amp;OPEN!$P$4&amp;" Pupil Tuition (General Fund only)"</f>
        <v>15.  2016-2017 Pupil Tuition (General Fund only)</v>
      </c>
      <c r="B47" s="4515"/>
      <c r="C47" s="4515"/>
      <c r="D47" s="4515"/>
      <c r="E47" s="4515"/>
      <c r="F47" s="4515"/>
      <c r="G47" s="4515"/>
      <c r="H47" s="4465" t="s">
        <v>1166</v>
      </c>
      <c r="I47" s="4516">
        <f>'C06'!$E$20+'C06'!$E$21+'C06'!$E$22</f>
        <v>0</v>
      </c>
      <c r="J47" s="4517" t="s">
        <v>2520</v>
      </c>
      <c r="L47" s="4519">
        <f>I47</f>
        <v>0</v>
      </c>
      <c r="M47" s="4464"/>
    </row>
    <row r="48" spans="1:14">
      <c r="A48" s="4515"/>
      <c r="B48" s="4515"/>
      <c r="C48" s="4515"/>
      <c r="D48" s="4515"/>
      <c r="E48" s="4515"/>
      <c r="F48" s="4515"/>
      <c r="G48" s="4515"/>
      <c r="H48" s="4515"/>
      <c r="I48" s="4518"/>
      <c r="M48" s="4464"/>
    </row>
    <row r="49" spans="1:14">
      <c r="A49" s="4515" t="str">
        <f>"16.  Transfers From Authorized Funds (Code 06 Line 165)"</f>
        <v>16.  Transfers From Authorized Funds (Code 06 Line 165)</v>
      </c>
      <c r="B49" s="4515"/>
      <c r="C49" s="4515"/>
      <c r="D49" s="4515"/>
      <c r="E49" s="4515"/>
      <c r="F49" s="4515"/>
      <c r="G49" s="4515"/>
      <c r="H49" s="4520" t="s">
        <v>1166</v>
      </c>
      <c r="I49" s="4521">
        <f>'C06'!$E$47</f>
        <v>0</v>
      </c>
      <c r="J49" s="4517" t="s">
        <v>2521</v>
      </c>
      <c r="L49" s="4519"/>
      <c r="M49" s="4511" t="s">
        <v>2646</v>
      </c>
    </row>
    <row r="50" spans="1:14">
      <c r="A50" s="4515"/>
      <c r="B50" s="4515"/>
      <c r="C50" s="4515"/>
      <c r="D50" s="4515"/>
      <c r="E50" s="4515"/>
      <c r="F50" s="4515"/>
      <c r="G50" s="4515"/>
      <c r="H50" s="4515"/>
      <c r="I50" s="4522"/>
    </row>
    <row r="51" spans="1:14">
      <c r="A51" s="4515" t="str">
        <f>"17.  Interest on idle funds"</f>
        <v>17.  Interest on idle funds</v>
      </c>
      <c r="B51" s="4515"/>
      <c r="C51" s="4515"/>
      <c r="D51" s="4515"/>
      <c r="E51" s="4515"/>
      <c r="F51" s="4515"/>
      <c r="G51" s="4515"/>
      <c r="H51" s="4465" t="s">
        <v>1166</v>
      </c>
      <c r="I51" s="4523">
        <f>'C06'!$E$24</f>
        <v>4000</v>
      </c>
      <c r="J51" s="4517" t="s">
        <v>2522</v>
      </c>
      <c r="K51" s="4511"/>
      <c r="L51" s="4514">
        <f>I51</f>
        <v>4000</v>
      </c>
    </row>
    <row r="52" spans="1:14">
      <c r="A52" s="4515"/>
      <c r="B52" s="4515"/>
      <c r="C52" s="4515"/>
      <c r="D52" s="4515"/>
      <c r="E52" s="4515"/>
      <c r="F52" s="4515"/>
      <c r="G52" s="4515"/>
      <c r="H52" s="4465"/>
      <c r="I52" s="5095"/>
      <c r="J52" s="4517"/>
      <c r="K52" s="4511"/>
      <c r="L52" s="4514"/>
    </row>
    <row r="53" spans="1:14">
      <c r="A53" s="4515" t="str">
        <f>"18.  Miscellaneous"</f>
        <v>18.  Miscellaneous</v>
      </c>
      <c r="B53" s="4515"/>
      <c r="C53" s="4515"/>
      <c r="D53" s="4515"/>
      <c r="E53" s="4515"/>
      <c r="F53" s="4515"/>
      <c r="G53" s="4515"/>
      <c r="H53" s="4465" t="s">
        <v>1166</v>
      </c>
      <c r="I53" s="4523">
        <f>'C06'!E30</f>
        <v>0</v>
      </c>
      <c r="J53" s="4517" t="s">
        <v>2523</v>
      </c>
      <c r="K53" s="4511"/>
      <c r="L53" s="4514">
        <f>I53</f>
        <v>0</v>
      </c>
      <c r="N53" s="4464"/>
    </row>
    <row r="54" spans="1:14">
      <c r="A54" s="4515"/>
      <c r="B54" s="4515"/>
      <c r="C54" s="4515"/>
      <c r="D54" s="4515"/>
      <c r="E54" s="4515"/>
      <c r="F54" s="4515"/>
      <c r="G54" s="4515"/>
      <c r="H54" s="4515"/>
      <c r="I54" s="4522"/>
      <c r="N54" s="4464"/>
    </row>
    <row r="55" spans="1:14" ht="13.5" thickBot="1">
      <c r="A55" s="4515" t="str">
        <f>"19.  "&amp;OPEN!$P$4&amp;" Estimated General Fund Budget Authority (Lines 11 through 18)"</f>
        <v>19.  2016-2017 Estimated General Fund Budget Authority (Lines 11 through 18)</v>
      </c>
      <c r="B55" s="4515"/>
      <c r="C55" s="4515"/>
      <c r="D55" s="4515"/>
      <c r="E55" s="4515"/>
      <c r="F55" s="4515"/>
      <c r="G55" s="4515"/>
      <c r="H55" s="4465" t="s">
        <v>1166</v>
      </c>
      <c r="I55" s="4521">
        <f>SUM(I39:I53)</f>
        <v>3131576</v>
      </c>
      <c r="L55" s="4524">
        <f>SUM(L39:L53)</f>
        <v>3131576</v>
      </c>
      <c r="N55" s="4464"/>
    </row>
    <row r="56" spans="1:14" ht="13.5" thickTop="1">
      <c r="A56" s="4464"/>
      <c r="B56" s="4464"/>
      <c r="C56" s="4464"/>
      <c r="D56" s="4464"/>
      <c r="E56" s="4464"/>
      <c r="F56" s="4464"/>
      <c r="G56" s="4464"/>
      <c r="H56" s="4464"/>
      <c r="I56" s="4464"/>
      <c r="J56" s="4464"/>
    </row>
    <row r="57" spans="1:14">
      <c r="A57" s="4479"/>
      <c r="B57" s="4464"/>
      <c r="C57" s="4464"/>
      <c r="D57" s="4464"/>
      <c r="E57" s="4464"/>
      <c r="F57" s="4464"/>
      <c r="G57" s="4464"/>
      <c r="H57" s="4464"/>
      <c r="I57" s="4464"/>
      <c r="J57" s="4464"/>
    </row>
    <row r="58" spans="1:14">
      <c r="A58" s="4479"/>
      <c r="B58" s="5262" t="s">
        <v>2139</v>
      </c>
      <c r="C58" s="5262"/>
      <c r="D58" s="5262"/>
      <c r="E58" s="5262"/>
      <c r="F58" s="5262"/>
      <c r="G58" s="5262"/>
      <c r="H58" s="4464"/>
      <c r="I58" s="4464"/>
      <c r="J58" s="4464"/>
    </row>
    <row r="59" spans="1:14">
      <c r="B59" s="5262" t="s">
        <v>2140</v>
      </c>
      <c r="C59" s="5262"/>
      <c r="D59" s="5262"/>
      <c r="E59" s="5262"/>
      <c r="F59" s="5262"/>
      <c r="G59" s="5262"/>
    </row>
    <row r="61" spans="1:14">
      <c r="A61" s="4464" t="s">
        <v>2471</v>
      </c>
      <c r="B61" s="4468"/>
      <c r="H61" s="4465" t="s">
        <v>1166</v>
      </c>
      <c r="I61" s="5177">
        <f>VLOOKUP($I$1,DATA!A3:AT288,43,FALSE)</f>
        <v>2331801</v>
      </c>
    </row>
    <row r="62" spans="1:14">
      <c r="B62" s="4468"/>
    </row>
    <row r="63" spans="1:14">
      <c r="A63" s="4464" t="s">
        <v>2472</v>
      </c>
      <c r="B63" s="4468"/>
      <c r="C63" s="4533">
        <f>VLOOKUP($I$1,DATA!A3:AT288,34,FALSE)</f>
        <v>0</v>
      </c>
      <c r="D63" s="4483" t="str">
        <f>"Wtd FTE x " &amp; OPEN!$P$34</f>
        <v>Wtd FTE x $3,852</v>
      </c>
      <c r="E63" s="4525"/>
      <c r="H63" s="4465" t="s">
        <v>1166</v>
      </c>
      <c r="I63" s="4526">
        <f>ROUND(C63*OPEN!$O$34,0)</f>
        <v>0</v>
      </c>
    </row>
    <row r="65" spans="1:15">
      <c r="A65" s="4464" t="s">
        <v>2473</v>
      </c>
      <c r="O65" s="4489"/>
    </row>
    <row r="66" spans="1:15">
      <c r="A66" s="4464"/>
    </row>
    <row r="67" spans="1:15">
      <c r="B67" s="4464" t="s">
        <v>2141</v>
      </c>
      <c r="C67" s="4533">
        <f>VLOOKUP($I$1,DATA!A3:AT288,35,FALSE)</f>
        <v>0</v>
      </c>
      <c r="D67" s="4483" t="str">
        <f>"Wtd FTE x " &amp; OPEN!$P$34</f>
        <v>Wtd FTE x $3,852</v>
      </c>
      <c r="E67" s="4525"/>
      <c r="F67" s="4465" t="s">
        <v>1166</v>
      </c>
      <c r="G67" s="4527">
        <f>ROUND(C67*OPEN!$O$34,0)</f>
        <v>0</v>
      </c>
      <c r="H67" s="4465"/>
      <c r="I67" s="4290"/>
    </row>
    <row r="68" spans="1:15">
      <c r="B68" s="4464" t="s">
        <v>2142</v>
      </c>
      <c r="C68" s="5178">
        <f>VLOOKUP($I$1,DATA!A3:AT288,36,FALSE)</f>
        <v>0</v>
      </c>
      <c r="D68" s="4483" t="str">
        <f>"Wtd FTE x " &amp; OPEN!$P$34</f>
        <v>Wtd FTE x $3,852</v>
      </c>
      <c r="E68" s="4525"/>
      <c r="F68" s="4465" t="s">
        <v>1166</v>
      </c>
      <c r="G68" s="4527">
        <f>ROUND(C68*OPEN!$O$34,0)</f>
        <v>0</v>
      </c>
    </row>
    <row r="69" spans="1:15">
      <c r="B69" s="4464" t="s">
        <v>2143</v>
      </c>
      <c r="C69" s="5178">
        <f>VLOOKUP($I$1,DATA!A3:AT288,37,FALSE)</f>
        <v>0</v>
      </c>
      <c r="D69" s="4483" t="str">
        <f>"Wtd FTE x " &amp; OPEN!$P$34</f>
        <v>Wtd FTE x $3,852</v>
      </c>
      <c r="E69" s="4525"/>
      <c r="F69" s="4465" t="s">
        <v>1166</v>
      </c>
      <c r="G69" s="4527">
        <f>ROUND(C69*OPEN!$O$34,0)</f>
        <v>0</v>
      </c>
    </row>
    <row r="70" spans="1:15">
      <c r="B70" s="4464"/>
      <c r="C70" s="4290"/>
      <c r="D70" s="4471"/>
      <c r="E70" s="4525"/>
      <c r="F70" s="4465"/>
      <c r="G70" s="4290"/>
    </row>
    <row r="71" spans="1:15">
      <c r="B71" s="4464" t="s">
        <v>2144</v>
      </c>
      <c r="H71" s="4465" t="s">
        <v>1166</v>
      </c>
      <c r="I71" s="4526">
        <f>SUM(G67:G69)</f>
        <v>0</v>
      </c>
    </row>
    <row r="72" spans="1:15">
      <c r="B72" s="4464"/>
      <c r="H72" s="4465"/>
      <c r="I72" s="4528"/>
    </row>
    <row r="73" spans="1:15">
      <c r="A73" s="4464" t="s">
        <v>2145</v>
      </c>
      <c r="B73" s="4464"/>
      <c r="H73" s="4465" t="s">
        <v>1166</v>
      </c>
      <c r="I73" s="4526">
        <f>ROUND((I61-I63-I71)*0.004,0)</f>
        <v>9327</v>
      </c>
    </row>
    <row r="75" spans="1:15">
      <c r="A75" s="4464" t="s">
        <v>2474</v>
      </c>
      <c r="C75" s="4532">
        <f>VLOOKUP($I$1,DATA!A3:AT288,38,FALSE)</f>
        <v>0</v>
      </c>
      <c r="D75" s="4464" t="str">
        <f>"Wtd FTE x " &amp; OPEN!$P$34</f>
        <v>Wtd FTE x $3,852</v>
      </c>
      <c r="H75" s="4465" t="s">
        <v>1166</v>
      </c>
      <c r="I75" s="4526">
        <f>ROUND(C75*OPEN!$O$34,0)</f>
        <v>0</v>
      </c>
      <c r="O75" s="4489"/>
    </row>
    <row r="77" spans="1:15">
      <c r="A77" s="4464" t="s">
        <v>2475</v>
      </c>
      <c r="H77" s="4465" t="s">
        <v>1166</v>
      </c>
      <c r="I77" s="4529">
        <f>I61-SUM(I63:I75)</f>
        <v>2322474</v>
      </c>
    </row>
    <row r="78" spans="1:15">
      <c r="A78" s="4530"/>
      <c r="B78" s="4530"/>
      <c r="C78" s="4530"/>
      <c r="D78" s="4530"/>
      <c r="E78" s="4530"/>
      <c r="F78" s="4530"/>
      <c r="G78" s="4530"/>
      <c r="H78" s="4530"/>
      <c r="I78" s="4530"/>
    </row>
    <row r="80" spans="1:15">
      <c r="B80" s="5262" t="s">
        <v>2146</v>
      </c>
      <c r="C80" s="5262"/>
      <c r="D80" s="5262"/>
      <c r="E80" s="5262"/>
      <c r="F80" s="5262"/>
      <c r="G80" s="5262"/>
    </row>
    <row r="81" spans="1:9">
      <c r="B81" s="5262" t="s">
        <v>2147</v>
      </c>
      <c r="C81" s="5262"/>
      <c r="D81" s="5262"/>
      <c r="E81" s="5262"/>
      <c r="F81" s="5262"/>
      <c r="G81" s="5262"/>
    </row>
    <row r="83" spans="1:9">
      <c r="A83" s="4287" t="str">
        <f>"1.  Sept. 20, " &amp; OPEN!$P$5 &amp; ", FTE enrollment (Excludes 4 yr old at risk students.)"</f>
        <v>1.  Sept. 20, 2015, FTE enrollment (Excludes 4 yr old at risk students.)</v>
      </c>
      <c r="H83" s="4465" t="s">
        <v>1166</v>
      </c>
      <c r="I83" s="4531">
        <f>OPEN!$A$46</f>
        <v>334.8</v>
      </c>
    </row>
    <row r="85" spans="1:9">
      <c r="A85" s="4287" t="str">
        <f>"2.  Sept. 20, " &amp; OPEN!$Q$5 &amp; ", FTE enrollment (Excludes 4 yr old at risk students.)"</f>
        <v>2.  Sept. 20, 2016, FTE enrollment (Excludes 4 yr old at risk students.)</v>
      </c>
      <c r="H85" s="4465" t="s">
        <v>1166</v>
      </c>
      <c r="I85" s="4532">
        <f>OPEN!$A$47</f>
        <v>340</v>
      </c>
    </row>
    <row r="87" spans="1:9">
      <c r="A87" s="4287" t="str">
        <f>"3.  3 Year Average FTE:                             ("</f>
        <v>3.  3 Year Average FTE:                             (</v>
      </c>
      <c r="C87" s="4533">
        <f>OPEN!$A$45</f>
        <v>369.5</v>
      </c>
      <c r="D87" s="4534" t="s">
        <v>2148</v>
      </c>
      <c r="E87" s="4533">
        <f>I83</f>
        <v>334.8</v>
      </c>
      <c r="F87" s="4534" t="s">
        <v>2148</v>
      </c>
    </row>
    <row r="88" spans="1:9">
      <c r="C88" s="4471" t="str">
        <f>"(9/20/" &amp; OPEN!$O$5 &amp; " FTE)*"</f>
        <v>(9/20/2014 FTE)*</v>
      </c>
      <c r="E88" s="4471" t="s">
        <v>2149</v>
      </c>
    </row>
    <row r="89" spans="1:9">
      <c r="C89" s="4533">
        <f>I85</f>
        <v>340</v>
      </c>
      <c r="D89" s="4483" t="s">
        <v>2150</v>
      </c>
      <c r="E89" s="4532">
        <f>ROUND((C87+E87+C89)/3,1)</f>
        <v>348.1</v>
      </c>
      <c r="H89" s="4535" t="s">
        <v>1166</v>
      </c>
      <c r="I89" s="4531">
        <f>E89</f>
        <v>348.1</v>
      </c>
    </row>
    <row r="90" spans="1:9">
      <c r="C90" s="4471" t="s">
        <v>1463</v>
      </c>
      <c r="E90" s="4471" t="s">
        <v>2151</v>
      </c>
    </row>
    <row r="92" spans="1:9">
      <c r="A92" s="4464" t="str">
        <f>"4.  Sept. 20, " &amp; OPEN!$Q$5 &amp; ", 4 yr old at risk students"</f>
        <v>4.  Sept. 20, 2016, 4 yr old at risk students</v>
      </c>
      <c r="H92" s="4535" t="s">
        <v>1166</v>
      </c>
      <c r="I92" s="4536">
        <f>OPEN!$A$48</f>
        <v>0</v>
      </c>
    </row>
    <row r="94" spans="1:9">
      <c r="A94" s="4287" t="str">
        <f>"5.  FTE to be used for General State Aid Over-Proration Calcation (MAX Line 1, 2 or 3 then add to Line 4)"</f>
        <v>5.  FTE to be used for General State Aid Over-Proration Calcation (MAX Line 1, 2 or 3 then add to Line 4)</v>
      </c>
      <c r="H94" s="4535" t="s">
        <v>1166</v>
      </c>
      <c r="I94" s="4537">
        <f>MAX(I83,I85,I89)+I92</f>
        <v>348.1</v>
      </c>
    </row>
    <row r="95" spans="1:9">
      <c r="A95" s="4464" t="s">
        <v>2152</v>
      </c>
    </row>
    <row r="96" spans="1:9">
      <c r="B96" s="4464"/>
    </row>
    <row r="97" spans="2:2">
      <c r="B97" s="4464"/>
    </row>
  </sheetData>
  <sheetProtection algorithmName="SHA-512" hashValue="UyuVaAQOqgqK1J+8mmHJ0UvvwR5I1SmySDQzkd39CC9Xqm6rq4pvTs7TT9+Cg2BUDmrOAy0Htfkf/2LFL4hn3w==" saltValue="ILnc5w/rKk5rOV5P6oF8Hw==" spinCount="100000" sheet="1" objects="1" scenarios="1"/>
  <mergeCells count="7">
    <mergeCell ref="B81:G81"/>
    <mergeCell ref="A2:I2"/>
    <mergeCell ref="A3:I3"/>
    <mergeCell ref="A4:I4"/>
    <mergeCell ref="B58:G58"/>
    <mergeCell ref="B59:G59"/>
    <mergeCell ref="B80:G80"/>
  </mergeCells>
  <hyperlinks>
    <hyperlink ref="K1" location="Contents!A1" display="Return to Contents page"/>
  </hyperlinks>
  <printOptions horizontalCentered="1"/>
  <pageMargins left="0.3" right="0.3" top="0.5" bottom="0.5" header="0.3" footer="0.3"/>
  <pageSetup scale="96" orientation="portrait" blackAndWhite="1" r:id="rId1"/>
  <headerFooter>
    <oddFooter>&amp;L&amp;D &amp;T&amp;CForm 151</oddFooter>
  </headerFooter>
  <rowBreaks count="1" manualBreakCount="1">
    <brk id="55" max="8" man="1"/>
  </rowBreaks>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4" tint="0.39997558519241921"/>
    <pageSetUpPr fitToPage="1"/>
  </sheetPr>
  <dimension ref="A1:M309"/>
  <sheetViews>
    <sheetView topLeftCell="A11" workbookViewId="0">
      <selection activeCell="F35" sqref="F35"/>
    </sheetView>
  </sheetViews>
  <sheetFormatPr defaultColWidth="10.7109375" defaultRowHeight="12" customHeight="1"/>
  <cols>
    <col min="1" max="1" width="40.42578125" style="2267" customWidth="1"/>
    <col min="2" max="2" width="6" style="2305" customWidth="1"/>
    <col min="3" max="3" width="14.7109375" style="2261" customWidth="1"/>
    <col min="4" max="4" width="14" style="2261" customWidth="1"/>
    <col min="5" max="5" width="14.28515625" style="2261" customWidth="1"/>
    <col min="6" max="6" width="14" style="2261" customWidth="1"/>
    <col min="7" max="7" width="2.85546875" style="2261" customWidth="1"/>
    <col min="8" max="8" width="20.85546875" style="2261" customWidth="1"/>
    <col min="9" max="9" width="10.7109375" style="2261" customWidth="1"/>
    <col min="10" max="10" width="6.140625" style="2261" customWidth="1"/>
    <col min="11" max="16384" width="10.7109375" style="2261"/>
  </cols>
  <sheetData>
    <row r="1" spans="1:13" ht="12" customHeight="1">
      <c r="A1" s="2258" t="s">
        <v>1019</v>
      </c>
      <c r="B1" s="2259">
        <f>OPEN!$B$4</f>
        <v>270</v>
      </c>
      <c r="C1" s="2260"/>
      <c r="D1" s="2260"/>
      <c r="E1" s="2260"/>
      <c r="F1" s="2258" t="s">
        <v>1020</v>
      </c>
      <c r="H1" s="3013" t="s">
        <v>866</v>
      </c>
    </row>
    <row r="2" spans="1:13" ht="12" customHeight="1">
      <c r="A2" s="2260"/>
      <c r="B2" s="2262"/>
      <c r="C2" s="2260"/>
      <c r="D2" s="2260"/>
      <c r="E2" s="2260"/>
      <c r="F2" s="2258" t="s">
        <v>1212</v>
      </c>
    </row>
    <row r="3" spans="1:13" ht="12" customHeight="1">
      <c r="A3" s="2260"/>
      <c r="B3" s="2262"/>
      <c r="C3" s="2260"/>
      <c r="D3" s="2260"/>
      <c r="E3" s="2260"/>
      <c r="F3" s="2258" t="str">
        <f>OPEN!N2</f>
        <v>2016-2017</v>
      </c>
    </row>
    <row r="4" spans="1:13" ht="12" customHeight="1">
      <c r="A4" s="2260"/>
      <c r="B4" s="2262"/>
      <c r="C4" s="2260"/>
      <c r="D4" s="2260"/>
      <c r="E4" s="2260"/>
      <c r="F4" s="2260"/>
    </row>
    <row r="5" spans="1:13" ht="12" customHeight="1">
      <c r="A5" s="2260"/>
      <c r="B5" s="2262"/>
      <c r="C5" s="2263" t="s">
        <v>1213</v>
      </c>
      <c r="D5" s="2263" t="s">
        <v>1213</v>
      </c>
      <c r="E5" s="2263" t="s">
        <v>1213</v>
      </c>
      <c r="F5" s="2263" t="s">
        <v>10</v>
      </c>
    </row>
    <row r="6" spans="1:13" ht="12" customHeight="1">
      <c r="A6" s="2264"/>
      <c r="B6" s="2265" t="s">
        <v>1045</v>
      </c>
      <c r="C6" s="2266" t="str">
        <f>OPEN!N4</f>
        <v>2014-2015</v>
      </c>
      <c r="D6" s="2266" t="str">
        <f>OPEN!O4</f>
        <v>2015-2016</v>
      </c>
      <c r="E6" s="2266" t="str">
        <f>OPEN!P4</f>
        <v>2016-2017</v>
      </c>
      <c r="F6" s="2266" t="s">
        <v>758</v>
      </c>
      <c r="K6" s="2267"/>
      <c r="L6" s="2267"/>
      <c r="M6" s="2267"/>
    </row>
    <row r="7" spans="1:13" ht="12" customHeight="1">
      <c r="A7" s="2264" t="str">
        <f>OPEN!S49</f>
        <v>RECREATION COMMISSION</v>
      </c>
      <c r="B7" s="2268">
        <v>84</v>
      </c>
      <c r="C7" s="2269" t="s">
        <v>1139</v>
      </c>
      <c r="D7" s="2269" t="s">
        <v>1139</v>
      </c>
      <c r="E7" s="2269" t="s">
        <v>1215</v>
      </c>
      <c r="F7" s="2269" t="s">
        <v>16</v>
      </c>
    </row>
    <row r="8" spans="1:13" ht="12" customHeight="1">
      <c r="A8" s="2270"/>
      <c r="B8" s="2271" t="s">
        <v>1051</v>
      </c>
      <c r="C8" s="2272">
        <v>1</v>
      </c>
      <c r="D8" s="2272">
        <v>2</v>
      </c>
      <c r="E8" s="2272">
        <v>3</v>
      </c>
      <c r="F8" s="2272">
        <v>4</v>
      </c>
    </row>
    <row r="9" spans="1:13" ht="12" customHeight="1">
      <c r="A9" s="2273" t="s">
        <v>1218</v>
      </c>
      <c r="B9" s="2271">
        <v>1</v>
      </c>
      <c r="C9" s="2274">
        <v>121452</v>
      </c>
      <c r="D9" s="2275">
        <f>C36</f>
        <v>135197</v>
      </c>
      <c r="E9" s="2275">
        <f>D36</f>
        <v>108944</v>
      </c>
      <c r="F9" s="2276">
        <f>E9</f>
        <v>108944</v>
      </c>
    </row>
    <row r="10" spans="1:13" ht="12" customHeight="1">
      <c r="A10" s="2277" t="s">
        <v>1403</v>
      </c>
      <c r="B10" s="2268">
        <v>3</v>
      </c>
      <c r="C10" s="2278"/>
      <c r="D10" s="2278"/>
      <c r="E10" s="2279"/>
      <c r="F10" s="2279"/>
    </row>
    <row r="11" spans="1:13" ht="12" customHeight="1">
      <c r="A11" s="2280" t="s">
        <v>19</v>
      </c>
      <c r="B11" s="2265"/>
      <c r="C11" s="2281"/>
      <c r="D11" s="2281"/>
      <c r="E11" s="2279"/>
      <c r="F11" s="2279"/>
    </row>
    <row r="12" spans="1:13" ht="12" customHeight="1">
      <c r="A12" s="2277" t="s">
        <v>816</v>
      </c>
      <c r="B12" s="2268"/>
      <c r="C12" s="2279"/>
      <c r="D12" s="2279"/>
      <c r="E12" s="2279"/>
      <c r="F12" s="2279"/>
    </row>
    <row r="13" spans="1:13" ht="12" customHeight="1">
      <c r="A13" s="2277" t="s">
        <v>817</v>
      </c>
      <c r="B13" s="2268"/>
      <c r="C13" s="2279"/>
      <c r="D13" s="2279"/>
      <c r="E13" s="2279"/>
      <c r="F13" s="2279"/>
    </row>
    <row r="14" spans="1:13" ht="12" customHeight="1">
      <c r="A14" s="2273" t="str">
        <f>OPEN!N8</f>
        <v xml:space="preserve">    2013  $</v>
      </c>
      <c r="B14" s="2271">
        <v>5</v>
      </c>
      <c r="C14" s="2274">
        <v>9145</v>
      </c>
      <c r="D14" s="2279"/>
      <c r="E14" s="2279"/>
      <c r="F14" s="2279"/>
    </row>
    <row r="15" spans="1:13" ht="12" customHeight="1">
      <c r="A15" s="2282" t="str">
        <f>OPEN!N9</f>
        <v xml:space="preserve">    2014  $</v>
      </c>
      <c r="B15" s="2283">
        <v>10</v>
      </c>
      <c r="C15" s="2284">
        <v>128975</v>
      </c>
      <c r="D15" s="2274">
        <v>71040</v>
      </c>
      <c r="E15" s="2279"/>
      <c r="F15" s="2279"/>
    </row>
    <row r="16" spans="1:13" ht="12" customHeight="1">
      <c r="A16" s="2273" t="str">
        <f>OPEN!N10</f>
        <v xml:space="preserve">    2015  $</v>
      </c>
      <c r="B16" s="2271">
        <v>15</v>
      </c>
      <c r="C16" s="2281"/>
      <c r="D16" s="2275">
        <f>'C04'!E24</f>
        <v>93813</v>
      </c>
      <c r="E16" s="2275">
        <f>'F110'!M33</f>
        <v>9239</v>
      </c>
      <c r="F16" s="2275">
        <f>E16</f>
        <v>9239</v>
      </c>
    </row>
    <row r="17" spans="1:10" ht="12" customHeight="1">
      <c r="A17" s="2282" t="str">
        <f>OPEN!O11</f>
        <v xml:space="preserve">    2016* $</v>
      </c>
      <c r="B17" s="2283">
        <v>20</v>
      </c>
      <c r="C17" s="2279"/>
      <c r="D17" s="2281"/>
      <c r="E17" s="2276">
        <f>'C04'!L24</f>
        <v>86132</v>
      </c>
      <c r="F17" s="2281"/>
    </row>
    <row r="18" spans="1:10" ht="12" customHeight="1">
      <c r="A18" s="2282" t="s">
        <v>1876</v>
      </c>
      <c r="B18" s="2283">
        <v>25</v>
      </c>
      <c r="C18" s="2274">
        <v>2693</v>
      </c>
      <c r="D18" s="4131">
        <v>1877</v>
      </c>
      <c r="E18" s="2275">
        <f>0.667*F18</f>
        <v>251</v>
      </c>
      <c r="F18" s="3374">
        <f>'F110'!M37</f>
        <v>376</v>
      </c>
    </row>
    <row r="19" spans="1:10" ht="12" customHeight="1">
      <c r="A19" s="2282" t="s">
        <v>821</v>
      </c>
      <c r="B19" s="2283">
        <v>30</v>
      </c>
      <c r="C19" s="2284">
        <v>16698</v>
      </c>
      <c r="D19" s="2284">
        <v>8926</v>
      </c>
      <c r="E19" s="2274">
        <v>9000</v>
      </c>
      <c r="F19" s="2276">
        <f>E19</f>
        <v>9000</v>
      </c>
    </row>
    <row r="20" spans="1:10" ht="12" customHeight="1">
      <c r="A20" s="2273" t="s">
        <v>820</v>
      </c>
      <c r="B20" s="2271">
        <v>35</v>
      </c>
      <c r="C20" s="2281"/>
      <c r="D20" s="2281"/>
      <c r="E20" s="2285"/>
      <c r="F20" s="2274"/>
    </row>
    <row r="21" spans="1:10" ht="12" customHeight="1">
      <c r="A21" s="2280" t="s">
        <v>822</v>
      </c>
      <c r="B21" s="2265"/>
      <c r="C21" s="2279"/>
      <c r="D21" s="2279"/>
      <c r="E21" s="2279"/>
      <c r="F21" s="2285"/>
    </row>
    <row r="22" spans="1:10" ht="12" customHeight="1">
      <c r="A22" s="2273" t="s">
        <v>285</v>
      </c>
      <c r="B22" s="2271">
        <v>45</v>
      </c>
      <c r="C22" s="2274">
        <v>7103</v>
      </c>
      <c r="D22" s="2274">
        <v>5554</v>
      </c>
      <c r="E22" s="2275">
        <f>IF(ISERROR('F194'!H83+'F194'!H25+'F194'!$P$83+'F194'!$P$25),0,('F194'!H83+'F194'!H25+'F194'!$P$83+'F194'!$P$25))</f>
        <v>6797</v>
      </c>
      <c r="F22" s="2275">
        <f>E22</f>
        <v>6797</v>
      </c>
    </row>
    <row r="23" spans="1:10" ht="12" customHeight="1">
      <c r="A23" s="2282" t="s">
        <v>820</v>
      </c>
      <c r="B23" s="2283">
        <v>50</v>
      </c>
      <c r="C23" s="2281"/>
      <c r="D23" s="2281"/>
      <c r="E23" s="2281"/>
      <c r="F23" s="2276">
        <f>F22*0.5</f>
        <v>3399</v>
      </c>
    </row>
    <row r="24" spans="1:10" ht="12" customHeight="1">
      <c r="A24" s="2273" t="s">
        <v>31</v>
      </c>
      <c r="B24" s="2271">
        <v>55</v>
      </c>
      <c r="C24" s="2274">
        <v>122</v>
      </c>
      <c r="D24" s="2274">
        <v>115</v>
      </c>
      <c r="E24" s="2275">
        <f>IF(ISERROR('F194'!$L$83+'F194'!$L$25),0,('F194'!$L$83+'F194'!$L$25))</f>
        <v>138</v>
      </c>
      <c r="F24" s="2276">
        <f>E24</f>
        <v>138</v>
      </c>
    </row>
    <row r="25" spans="1:10" ht="12" customHeight="1">
      <c r="A25" s="2273" t="s">
        <v>32</v>
      </c>
      <c r="B25" s="2271">
        <v>56</v>
      </c>
      <c r="C25" s="2279"/>
      <c r="D25" s="2279"/>
      <c r="E25" s="2279"/>
      <c r="F25" s="2276">
        <f>F24*0.5</f>
        <v>69</v>
      </c>
    </row>
    <row r="26" spans="1:10" ht="12" customHeight="1">
      <c r="A26" s="5150" t="s">
        <v>1870</v>
      </c>
      <c r="B26" s="5151">
        <v>57</v>
      </c>
      <c r="C26" s="4245"/>
      <c r="D26" s="4245">
        <v>640</v>
      </c>
      <c r="E26" s="2275">
        <f>IF(ISERROR('F194'!R83+'F194'!R25),0,('F194'!R83+'F194'!R25))</f>
        <v>894</v>
      </c>
      <c r="F26" s="2276">
        <f>E26</f>
        <v>894</v>
      </c>
    </row>
    <row r="27" spans="1:10" ht="12" customHeight="1">
      <c r="A27" s="5150" t="s">
        <v>32</v>
      </c>
      <c r="B27" s="5151">
        <v>58</v>
      </c>
      <c r="C27" s="2279"/>
      <c r="D27" s="2279"/>
      <c r="E27" s="5152"/>
      <c r="F27" s="2276">
        <f>F26*0.5</f>
        <v>447</v>
      </c>
    </row>
    <row r="28" spans="1:10" ht="12" customHeight="1">
      <c r="A28" s="2273" t="s">
        <v>1939</v>
      </c>
      <c r="B28" s="2271">
        <v>60</v>
      </c>
      <c r="C28" s="2278">
        <v>33</v>
      </c>
      <c r="D28" s="2278">
        <v>29</v>
      </c>
      <c r="E28" s="2275">
        <f>IF(ISERROR('F194'!N83+'F194'!N25),0,('F194'!N83+'F194'!N25))</f>
        <v>0</v>
      </c>
      <c r="F28" s="2276">
        <f>E28</f>
        <v>0</v>
      </c>
    </row>
    <row r="29" spans="1:10" ht="12" customHeight="1">
      <c r="A29" s="2291" t="s">
        <v>820</v>
      </c>
      <c r="B29" s="3408">
        <v>65</v>
      </c>
      <c r="C29" s="2288"/>
      <c r="D29" s="3373"/>
      <c r="E29" s="3373"/>
      <c r="F29" s="2285">
        <f>F28*0.5</f>
        <v>0</v>
      </c>
    </row>
    <row r="30" spans="1:10" ht="12" customHeight="1">
      <c r="A30" s="2289" t="s">
        <v>52</v>
      </c>
      <c r="B30" s="3409">
        <v>70</v>
      </c>
      <c r="C30" s="2275">
        <f>SUM(C9:C29)</f>
        <v>286221</v>
      </c>
      <c r="D30" s="3374">
        <f>SUM(D9:D29)</f>
        <v>317191</v>
      </c>
      <c r="E30" s="3374">
        <f>SUM(E9:E29)</f>
        <v>221395</v>
      </c>
      <c r="F30" s="2276">
        <f>SUM(F9:F29)</f>
        <v>139303</v>
      </c>
    </row>
    <row r="31" spans="1:10" ht="12" customHeight="1">
      <c r="A31" s="2291" t="s">
        <v>874</v>
      </c>
      <c r="B31" s="2266"/>
      <c r="C31" s="2279"/>
      <c r="D31" s="2279"/>
      <c r="E31" s="2281"/>
      <c r="F31" s="2281"/>
    </row>
    <row r="32" spans="1:10" ht="12" customHeight="1">
      <c r="A32" s="2292" t="s">
        <v>913</v>
      </c>
      <c r="B32" s="2293">
        <v>75</v>
      </c>
      <c r="C32" s="2278">
        <v>151024</v>
      </c>
      <c r="D32" s="2278">
        <v>208247</v>
      </c>
      <c r="E32" s="2278">
        <v>161500</v>
      </c>
      <c r="F32" s="2279"/>
      <c r="H32" s="2267"/>
      <c r="I32" s="2267"/>
      <c r="J32" s="2267"/>
    </row>
    <row r="33" spans="1:10" ht="12" customHeight="1">
      <c r="A33" s="2286" t="s">
        <v>917</v>
      </c>
      <c r="B33" s="2287">
        <v>175</v>
      </c>
      <c r="C33" s="2276">
        <f>SUM(C31:C32)</f>
        <v>151024</v>
      </c>
      <c r="D33" s="2276">
        <f>SUM(D31:D32)</f>
        <v>208247</v>
      </c>
      <c r="E33" s="2276">
        <f>SUM(E31:E32)</f>
        <v>161500</v>
      </c>
      <c r="F33" s="2275">
        <f>E33</f>
        <v>161500</v>
      </c>
      <c r="H33" s="3024" t="s">
        <v>1312</v>
      </c>
      <c r="I33" s="3025"/>
      <c r="J33" s="3025"/>
    </row>
    <row r="34" spans="1:10" ht="12" customHeight="1">
      <c r="A34" s="2292" t="s">
        <v>910</v>
      </c>
      <c r="B34" s="2293">
        <v>180</v>
      </c>
      <c r="C34" s="2294" t="s">
        <v>51</v>
      </c>
      <c r="D34" s="2294" t="s">
        <v>51</v>
      </c>
      <c r="E34" s="2294" t="s">
        <v>1189</v>
      </c>
      <c r="F34" s="2284">
        <v>65300</v>
      </c>
      <c r="H34" s="3026" t="s">
        <v>1313</v>
      </c>
      <c r="I34" s="3025"/>
      <c r="J34" s="3025"/>
    </row>
    <row r="35" spans="1:10" ht="12" customHeight="1">
      <c r="A35" s="2295" t="s">
        <v>55</v>
      </c>
      <c r="B35" s="2290">
        <v>185</v>
      </c>
      <c r="C35" s="2294" t="s">
        <v>51</v>
      </c>
      <c r="D35" s="2294" t="s">
        <v>51</v>
      </c>
      <c r="E35" s="2294" t="s">
        <v>1189</v>
      </c>
      <c r="F35" s="2276">
        <f>SUM(F33:F34)</f>
        <v>226800</v>
      </c>
      <c r="H35" s="3027">
        <f>ROUND((OPEN!N53*'C02'!F23)/1000,0)</f>
        <v>93628</v>
      </c>
      <c r="I35" s="3025"/>
      <c r="J35" s="3025"/>
    </row>
    <row r="36" spans="1:10" ht="12" customHeight="1">
      <c r="A36" s="2292" t="s">
        <v>1250</v>
      </c>
      <c r="B36" s="2293">
        <v>190</v>
      </c>
      <c r="C36" s="2275">
        <f>SUM(C30-C33)</f>
        <v>135197</v>
      </c>
      <c r="D36" s="2275">
        <f>SUM(D30-D33)</f>
        <v>108944</v>
      </c>
      <c r="E36" s="2275">
        <f>SUM(E30-E33)</f>
        <v>59895</v>
      </c>
      <c r="F36" s="2296" t="s">
        <v>1189</v>
      </c>
      <c r="H36" s="3193"/>
      <c r="I36" s="3194"/>
      <c r="J36" s="3194"/>
    </row>
    <row r="37" spans="1:10" ht="12" customHeight="1">
      <c r="A37" s="2297" t="s">
        <v>908</v>
      </c>
      <c r="B37" s="2287">
        <v>195</v>
      </c>
      <c r="C37" s="2298" t="s">
        <v>768</v>
      </c>
      <c r="D37" s="2299"/>
      <c r="E37" s="2300"/>
      <c r="F37" s="2276">
        <f>SUM(F35-F30)</f>
        <v>87497</v>
      </c>
      <c r="H37" s="3195" t="s">
        <v>397</v>
      </c>
      <c r="I37" s="3197">
        <f>IF(ISERROR(F39/OPEN!N53*1000),"Check errors below",F39/OPEN!N53*1000)</f>
        <v>2.96</v>
      </c>
      <c r="J37" s="3194"/>
    </row>
    <row r="38" spans="1:10" ht="12" customHeight="1">
      <c r="A38" s="2301" t="s">
        <v>908</v>
      </c>
      <c r="B38" s="2293">
        <v>200</v>
      </c>
      <c r="C38" s="2298" t="s">
        <v>763</v>
      </c>
      <c r="D38" s="2299"/>
      <c r="E38" s="2300"/>
      <c r="F38" s="2276">
        <f>F37*'C01'!$F$119/100</f>
        <v>6125</v>
      </c>
      <c r="H38" s="3196" t="str">
        <f>OPEN!N40</f>
        <v/>
      </c>
      <c r="I38" s="3194"/>
      <c r="J38" s="3194"/>
    </row>
    <row r="39" spans="1:10" ht="12" customHeight="1">
      <c r="A39" s="2297"/>
      <c r="B39" s="2287">
        <v>205</v>
      </c>
      <c r="C39" s="2298" t="str">
        <f>OPEN!N6</f>
        <v>Amount of 2016 Tax to be Levied</v>
      </c>
      <c r="D39" s="2299"/>
      <c r="E39" s="2300"/>
      <c r="F39" s="2276">
        <f>SUM(F37:F38)</f>
        <v>93622</v>
      </c>
    </row>
    <row r="40" spans="1:10" ht="12" customHeight="1">
      <c r="A40" s="2301"/>
      <c r="B40" s="2791"/>
      <c r="C40" s="2260"/>
      <c r="D40" s="2260"/>
      <c r="E40" s="2260"/>
      <c r="F40" s="2260" t="str">
        <f>IF(H40&gt;'C02'!$F$23,"Error!!!"," ")</f>
        <v xml:space="preserve"> </v>
      </c>
      <c r="H40" s="2260">
        <f>ROUND(F39/OPEN!N53*1000,3)</f>
        <v>2.96</v>
      </c>
    </row>
    <row r="41" spans="1:10" ht="12" customHeight="1">
      <c r="A41" s="2297"/>
      <c r="B41" s="2302"/>
      <c r="C41" s="2260"/>
      <c r="D41" s="2260"/>
      <c r="E41" s="2260"/>
      <c r="F41" s="2260" t="str">
        <f>IF(F40="Error!!!","Levy Amt &gt; mills authorized on Code 02"," ")</f>
        <v xml:space="preserve"> </v>
      </c>
    </row>
    <row r="42" spans="1:10" ht="12" customHeight="1">
      <c r="A42" s="2297" t="s">
        <v>918</v>
      </c>
      <c r="B42" s="2302"/>
      <c r="C42" s="2260"/>
      <c r="D42" s="2260"/>
      <c r="E42" s="2260"/>
      <c r="F42" s="2260"/>
      <c r="H42" s="4253" t="str">
        <f>IF(F37&lt;0,"Line 195 should NOT be negative - increase resources or decrease expenditures","")</f>
        <v/>
      </c>
    </row>
    <row r="43" spans="1:10" ht="12" customHeight="1">
      <c r="A43" s="2297"/>
      <c r="B43" s="2791" t="s">
        <v>1364</v>
      </c>
      <c r="C43" s="2260"/>
      <c r="D43" s="2260"/>
      <c r="E43" s="2260"/>
      <c r="F43" s="2260"/>
    </row>
    <row r="44" spans="1:10" ht="12" customHeight="1">
      <c r="A44" s="2297"/>
      <c r="B44" s="2302"/>
      <c r="C44" s="2260"/>
      <c r="D44" s="2260"/>
      <c r="E44" s="2260"/>
      <c r="F44" s="4254" t="str">
        <f>IF(F37&lt;0,"ERROR:  Line 195 Neg.","")</f>
        <v/>
      </c>
    </row>
    <row r="45" spans="1:10" ht="12" customHeight="1">
      <c r="A45" s="2260"/>
      <c r="B45" s="2263"/>
      <c r="C45" s="2260"/>
      <c r="D45" s="2260"/>
      <c r="E45" s="2260"/>
      <c r="F45" s="2260"/>
    </row>
    <row r="46" spans="1:10" ht="12" customHeight="1">
      <c r="A46" s="2260"/>
      <c r="B46" s="2263"/>
      <c r="C46" s="2260"/>
      <c r="D46" s="2260"/>
      <c r="E46" s="2260"/>
      <c r="F46" s="2260"/>
    </row>
    <row r="47" spans="1:10" ht="12" customHeight="1">
      <c r="A47" s="2260"/>
      <c r="B47" s="2263"/>
      <c r="C47" s="2260"/>
      <c r="D47" s="2260"/>
      <c r="E47" s="2260"/>
      <c r="F47" s="2260"/>
    </row>
    <row r="48" spans="1:10" ht="12" customHeight="1">
      <c r="A48" s="2260"/>
      <c r="B48" s="2263"/>
      <c r="C48" s="2260"/>
      <c r="D48" s="2260"/>
      <c r="E48" s="2260"/>
      <c r="F48" s="2260"/>
    </row>
    <row r="49" spans="1:6" ht="12" customHeight="1">
      <c r="A49" s="2260"/>
      <c r="B49" s="2263"/>
      <c r="C49" s="2260"/>
      <c r="D49" s="2260"/>
      <c r="E49" s="2260"/>
      <c r="F49" s="2260"/>
    </row>
    <row r="50" spans="1:6" ht="12" customHeight="1">
      <c r="A50" s="2260"/>
      <c r="B50" s="2263"/>
      <c r="C50" s="2260"/>
      <c r="D50" s="2260"/>
      <c r="E50" s="2260"/>
      <c r="F50" s="2260"/>
    </row>
    <row r="51" spans="1:6" ht="12" customHeight="1">
      <c r="A51" s="2260"/>
      <c r="B51" s="2263"/>
      <c r="C51" s="2260"/>
      <c r="D51" s="2260"/>
      <c r="E51" s="2260"/>
      <c r="F51" s="2260"/>
    </row>
    <row r="52" spans="1:6" ht="12" customHeight="1">
      <c r="A52" s="2260"/>
      <c r="B52" s="2263"/>
      <c r="C52" s="2260"/>
      <c r="D52" s="2260"/>
      <c r="E52" s="2260"/>
      <c r="F52" s="2260"/>
    </row>
    <row r="53" spans="1:6" ht="12" customHeight="1">
      <c r="A53" s="2260"/>
      <c r="B53" s="2263"/>
      <c r="C53" s="2260"/>
      <c r="D53" s="2260"/>
      <c r="E53" s="2260"/>
      <c r="F53" s="2260"/>
    </row>
    <row r="54" spans="1:6" ht="12" customHeight="1">
      <c r="A54" s="2260"/>
      <c r="B54" s="2263"/>
      <c r="C54" s="2260"/>
      <c r="D54" s="2260"/>
      <c r="E54" s="2260"/>
      <c r="F54" s="2260"/>
    </row>
    <row r="55" spans="1:6" ht="12" hidden="1" customHeight="1">
      <c r="A55" s="2260"/>
      <c r="B55" s="2263"/>
      <c r="C55" s="2260"/>
      <c r="D55" s="2260"/>
      <c r="E55" s="2260"/>
      <c r="F55" s="2260"/>
    </row>
    <row r="56" spans="1:6" ht="12" hidden="1" customHeight="1">
      <c r="A56" s="2260"/>
      <c r="B56" s="2263"/>
      <c r="C56" s="2260"/>
      <c r="D56" s="2260"/>
      <c r="E56" s="2260"/>
      <c r="F56" s="2260"/>
    </row>
    <row r="57" spans="1:6" ht="12" customHeight="1">
      <c r="A57" s="2260"/>
      <c r="B57" s="2263"/>
      <c r="C57" s="2260"/>
      <c r="D57" s="2260"/>
      <c r="E57" s="2260"/>
      <c r="F57" s="2260"/>
    </row>
    <row r="58" spans="1:6" ht="12" customHeight="1">
      <c r="A58" s="2260"/>
      <c r="B58" s="2263"/>
      <c r="C58" s="2260"/>
      <c r="D58" s="2260"/>
      <c r="E58" s="2260"/>
      <c r="F58" s="2260"/>
    </row>
    <row r="59" spans="1:6" ht="12" customHeight="1">
      <c r="A59" s="2260"/>
      <c r="B59" s="2263"/>
      <c r="C59" s="2260"/>
      <c r="D59" s="2260"/>
      <c r="E59" s="2260"/>
      <c r="F59" s="2260"/>
    </row>
    <row r="60" spans="1:6" ht="12" customHeight="1">
      <c r="A60" s="2260"/>
      <c r="B60" s="2263"/>
      <c r="C60" s="2260"/>
      <c r="D60" s="2260"/>
      <c r="E60" s="2260"/>
      <c r="F60" s="2260"/>
    </row>
    <row r="61" spans="1:6" ht="12" customHeight="1">
      <c r="A61" s="2260"/>
      <c r="B61" s="2263"/>
      <c r="C61" s="2260"/>
      <c r="D61" s="2260"/>
      <c r="E61" s="2260"/>
      <c r="F61" s="2260"/>
    </row>
    <row r="62" spans="1:6" ht="12" customHeight="1">
      <c r="A62" s="2303"/>
      <c r="B62" s="2303"/>
      <c r="C62" s="2303"/>
      <c r="D62" s="2303"/>
      <c r="E62" s="2303"/>
      <c r="F62" s="2303"/>
    </row>
    <row r="63" spans="1:6" ht="12" customHeight="1">
      <c r="A63" s="2260"/>
      <c r="B63" s="2263"/>
      <c r="C63" s="2304"/>
      <c r="D63" s="2304"/>
      <c r="E63" s="2304"/>
      <c r="F63" s="2304"/>
    </row>
    <row r="64" spans="1:6" ht="12" customHeight="1">
      <c r="A64" s="2260"/>
      <c r="B64" s="2263"/>
      <c r="C64" s="2304"/>
      <c r="D64" s="2304"/>
      <c r="E64" s="2304"/>
      <c r="F64" s="2304"/>
    </row>
    <row r="65" spans="1:6" ht="12" customHeight="1">
      <c r="A65" s="2260"/>
      <c r="B65" s="2263"/>
      <c r="C65" s="2304"/>
      <c r="D65" s="2304"/>
      <c r="E65" s="2304"/>
      <c r="F65" s="2304"/>
    </row>
    <row r="66" spans="1:6" ht="12" customHeight="1">
      <c r="A66" s="2260"/>
      <c r="B66" s="2263"/>
      <c r="C66" s="2304"/>
      <c r="D66" s="2304"/>
      <c r="E66" s="2304"/>
      <c r="F66" s="2304"/>
    </row>
    <row r="67" spans="1:6" ht="12" customHeight="1">
      <c r="A67" s="2260"/>
      <c r="B67" s="2263"/>
      <c r="C67" s="2304"/>
      <c r="D67" s="2304"/>
      <c r="E67" s="2304"/>
      <c r="F67" s="2304"/>
    </row>
    <row r="68" spans="1:6" ht="12" customHeight="1">
      <c r="A68" s="2260"/>
      <c r="B68" s="2263"/>
      <c r="C68" s="2304"/>
      <c r="D68" s="2304"/>
      <c r="E68" s="2304"/>
      <c r="F68" s="2304"/>
    </row>
    <row r="69" spans="1:6" ht="12" customHeight="1">
      <c r="A69" s="2260"/>
      <c r="B69" s="2263"/>
      <c r="C69" s="2304"/>
      <c r="D69" s="2304"/>
      <c r="E69" s="2304"/>
      <c r="F69" s="2304"/>
    </row>
    <row r="70" spans="1:6" ht="12" customHeight="1">
      <c r="A70" s="2260"/>
      <c r="B70" s="2263"/>
      <c r="C70" s="2304"/>
      <c r="D70" s="2304"/>
      <c r="E70" s="2304"/>
      <c r="F70" s="2304"/>
    </row>
    <row r="71" spans="1:6" ht="12" customHeight="1">
      <c r="A71" s="2260"/>
      <c r="B71" s="2263"/>
      <c r="C71" s="2304"/>
      <c r="D71" s="2304"/>
      <c r="E71" s="2304"/>
      <c r="F71" s="2304"/>
    </row>
    <row r="72" spans="1:6" ht="12" customHeight="1">
      <c r="A72" s="2260"/>
      <c r="B72" s="2263"/>
      <c r="C72" s="2304"/>
      <c r="D72" s="2304"/>
      <c r="E72" s="2304"/>
      <c r="F72" s="2304"/>
    </row>
    <row r="73" spans="1:6" ht="12" customHeight="1">
      <c r="A73" s="2260"/>
      <c r="B73" s="2263"/>
      <c r="C73" s="2304"/>
      <c r="D73" s="2304"/>
      <c r="E73" s="2304"/>
      <c r="F73" s="2304"/>
    </row>
    <row r="74" spans="1:6" ht="12" customHeight="1">
      <c r="A74" s="2260"/>
      <c r="B74" s="2263"/>
      <c r="C74" s="2304"/>
      <c r="D74" s="2304"/>
      <c r="E74" s="2304"/>
      <c r="F74" s="2304"/>
    </row>
    <row r="75" spans="1:6" ht="12" customHeight="1">
      <c r="A75" s="2260"/>
      <c r="B75" s="2263"/>
      <c r="C75" s="2304"/>
      <c r="D75" s="2304"/>
      <c r="E75" s="2304"/>
      <c r="F75" s="2304"/>
    </row>
    <row r="76" spans="1:6" ht="12" customHeight="1">
      <c r="A76" s="2260"/>
      <c r="B76" s="2263"/>
      <c r="C76" s="2304"/>
      <c r="D76" s="2304"/>
      <c r="E76" s="2304"/>
      <c r="F76" s="2304"/>
    </row>
    <row r="77" spans="1:6" ht="12" customHeight="1">
      <c r="A77" s="2260"/>
      <c r="B77" s="2263"/>
      <c r="C77" s="2304"/>
      <c r="D77" s="2304"/>
      <c r="E77" s="2304"/>
      <c r="F77" s="2304"/>
    </row>
    <row r="78" spans="1:6" ht="12" customHeight="1">
      <c r="A78" s="2260"/>
      <c r="B78" s="2263"/>
      <c r="C78" s="2304"/>
      <c r="D78" s="2304"/>
      <c r="E78" s="2304"/>
      <c r="F78" s="2304"/>
    </row>
    <row r="79" spans="1:6" ht="12" customHeight="1">
      <c r="A79" s="2260"/>
      <c r="B79" s="2263"/>
      <c r="C79" s="2304"/>
      <c r="D79" s="2304"/>
      <c r="E79" s="2304"/>
      <c r="F79" s="2304"/>
    </row>
    <row r="80" spans="1:6" ht="12" customHeight="1">
      <c r="A80" s="2260"/>
      <c r="B80" s="2263"/>
      <c r="C80" s="2304"/>
      <c r="D80" s="2304"/>
      <c r="E80" s="2304"/>
      <c r="F80" s="2304"/>
    </row>
    <row r="81" spans="1:6" ht="12" customHeight="1">
      <c r="A81" s="2260"/>
      <c r="B81" s="2263"/>
      <c r="C81" s="2304"/>
      <c r="D81" s="2304"/>
      <c r="E81" s="2304"/>
      <c r="F81" s="2304"/>
    </row>
    <row r="82" spans="1:6" ht="12" customHeight="1">
      <c r="A82" s="2260"/>
      <c r="B82" s="2263"/>
      <c r="C82" s="2304"/>
      <c r="D82" s="2304"/>
      <c r="E82" s="2304"/>
      <c r="F82" s="2304"/>
    </row>
    <row r="83" spans="1:6" ht="12" customHeight="1">
      <c r="A83" s="2260"/>
      <c r="B83" s="2263"/>
      <c r="C83" s="2304"/>
      <c r="D83" s="2304"/>
      <c r="E83" s="2304"/>
      <c r="F83" s="2304"/>
    </row>
    <row r="84" spans="1:6" ht="12" customHeight="1">
      <c r="A84" s="2260"/>
      <c r="B84" s="2263"/>
      <c r="C84" s="2304"/>
      <c r="D84" s="2304"/>
      <c r="E84" s="2304"/>
      <c r="F84" s="2304"/>
    </row>
    <row r="85" spans="1:6" ht="12" customHeight="1">
      <c r="A85" s="2260"/>
      <c r="B85" s="2263"/>
      <c r="C85" s="2304"/>
      <c r="D85" s="2304"/>
      <c r="E85" s="2304"/>
      <c r="F85" s="2304"/>
    </row>
    <row r="86" spans="1:6" ht="12" customHeight="1">
      <c r="A86" s="2260"/>
      <c r="B86" s="2263"/>
      <c r="C86" s="2304"/>
      <c r="D86" s="2304"/>
      <c r="E86" s="2304"/>
      <c r="F86" s="2304"/>
    </row>
    <row r="87" spans="1:6" ht="12" customHeight="1">
      <c r="A87" s="2260"/>
      <c r="B87" s="2263"/>
      <c r="C87" s="2304"/>
      <c r="D87" s="2304"/>
      <c r="E87" s="2304"/>
      <c r="F87" s="2304"/>
    </row>
    <row r="88" spans="1:6" ht="12" customHeight="1">
      <c r="A88" s="2260"/>
      <c r="B88" s="2263"/>
      <c r="C88" s="2304"/>
      <c r="D88" s="2304"/>
      <c r="E88" s="2304"/>
      <c r="F88" s="2304"/>
    </row>
    <row r="89" spans="1:6" ht="12" customHeight="1">
      <c r="A89" s="2260"/>
      <c r="B89" s="2263"/>
      <c r="C89" s="2304"/>
      <c r="D89" s="2304"/>
      <c r="E89" s="2304"/>
      <c r="F89" s="2304"/>
    </row>
    <row r="90" spans="1:6" ht="12" customHeight="1">
      <c r="A90" s="2260"/>
      <c r="B90" s="2263"/>
      <c r="C90" s="2304"/>
      <c r="D90" s="2304"/>
      <c r="E90" s="2304"/>
      <c r="F90" s="2304"/>
    </row>
    <row r="91" spans="1:6" ht="12" customHeight="1">
      <c r="A91" s="2260"/>
      <c r="B91" s="2263"/>
      <c r="C91" s="2304"/>
      <c r="D91" s="2304"/>
      <c r="E91" s="2304"/>
      <c r="F91" s="2304"/>
    </row>
    <row r="92" spans="1:6" ht="12" customHeight="1">
      <c r="A92" s="2260"/>
      <c r="B92" s="2263"/>
      <c r="C92" s="2304"/>
      <c r="D92" s="2304"/>
      <c r="E92" s="2304"/>
      <c r="F92" s="2304"/>
    </row>
    <row r="93" spans="1:6" ht="12" customHeight="1">
      <c r="A93" s="2260"/>
      <c r="B93" s="2263"/>
      <c r="C93" s="2304"/>
      <c r="D93" s="2304"/>
      <c r="E93" s="2304"/>
      <c r="F93" s="2304"/>
    </row>
    <row r="94" spans="1:6" ht="12" customHeight="1">
      <c r="A94" s="2260"/>
      <c r="B94" s="2263"/>
      <c r="C94" s="2304"/>
      <c r="D94" s="2304"/>
      <c r="E94" s="2304"/>
      <c r="F94" s="2304"/>
    </row>
    <row r="95" spans="1:6" ht="12" customHeight="1">
      <c r="A95" s="2260"/>
      <c r="B95" s="2263"/>
      <c r="C95" s="2304"/>
      <c r="D95" s="2304"/>
      <c r="E95" s="2304"/>
      <c r="F95" s="2304"/>
    </row>
    <row r="96" spans="1:6" ht="12" customHeight="1">
      <c r="A96" s="2260"/>
      <c r="B96" s="2263"/>
      <c r="C96" s="2304"/>
      <c r="D96" s="2304"/>
      <c r="E96" s="2304"/>
      <c r="F96" s="2304"/>
    </row>
    <row r="97" spans="1:6" ht="12" customHeight="1">
      <c r="A97" s="2260"/>
      <c r="B97" s="2263"/>
      <c r="C97" s="2304"/>
      <c r="D97" s="2304"/>
      <c r="E97" s="2304"/>
      <c r="F97" s="2304"/>
    </row>
    <row r="98" spans="1:6" ht="12" customHeight="1">
      <c r="A98" s="2260"/>
      <c r="B98" s="2263"/>
      <c r="C98" s="2304"/>
      <c r="D98" s="2304"/>
      <c r="E98" s="2304"/>
      <c r="F98" s="2304"/>
    </row>
    <row r="99" spans="1:6" ht="12" customHeight="1">
      <c r="A99" s="2260"/>
      <c r="B99" s="2263"/>
      <c r="C99" s="2304"/>
      <c r="D99" s="2304"/>
      <c r="E99" s="2304"/>
      <c r="F99" s="2304"/>
    </row>
    <row r="100" spans="1:6" ht="12" customHeight="1">
      <c r="A100" s="2260"/>
      <c r="B100" s="2263"/>
      <c r="C100" s="2304"/>
      <c r="D100" s="2304"/>
      <c r="E100" s="2304"/>
      <c r="F100" s="2304"/>
    </row>
    <row r="101" spans="1:6" ht="12" customHeight="1">
      <c r="A101" s="2260"/>
      <c r="B101" s="2263"/>
      <c r="C101" s="2304"/>
      <c r="D101" s="2304"/>
      <c r="E101" s="2304"/>
      <c r="F101" s="2304"/>
    </row>
    <row r="102" spans="1:6" ht="12" customHeight="1">
      <c r="A102" s="2260"/>
      <c r="B102" s="2263"/>
      <c r="C102" s="2304"/>
      <c r="D102" s="2304"/>
      <c r="E102" s="2304"/>
      <c r="F102" s="2304"/>
    </row>
    <row r="103" spans="1:6" ht="12" customHeight="1">
      <c r="A103" s="2260"/>
      <c r="B103" s="2263"/>
      <c r="C103" s="2304"/>
      <c r="D103" s="2304"/>
      <c r="E103" s="2304"/>
      <c r="F103" s="2304"/>
    </row>
    <row r="104" spans="1:6" ht="12" customHeight="1">
      <c r="A104" s="2260"/>
      <c r="B104" s="2263"/>
      <c r="C104" s="2304"/>
      <c r="D104" s="2304"/>
      <c r="E104" s="2304"/>
      <c r="F104" s="2304"/>
    </row>
    <row r="105" spans="1:6" ht="12" customHeight="1">
      <c r="A105" s="2260"/>
      <c r="B105" s="2263"/>
      <c r="C105" s="2304"/>
      <c r="D105" s="2304"/>
      <c r="E105" s="2304"/>
      <c r="F105" s="2304"/>
    </row>
    <row r="106" spans="1:6" ht="12" customHeight="1">
      <c r="A106" s="2260"/>
      <c r="B106" s="2263"/>
      <c r="C106" s="2304"/>
      <c r="D106" s="2304"/>
      <c r="E106" s="2304"/>
      <c r="F106" s="2304"/>
    </row>
    <row r="107" spans="1:6" ht="12" customHeight="1">
      <c r="A107" s="2260"/>
      <c r="B107" s="2263"/>
      <c r="C107" s="2304"/>
      <c r="D107" s="2304"/>
      <c r="E107" s="2304"/>
      <c r="F107" s="2304"/>
    </row>
    <row r="108" spans="1:6" ht="12" customHeight="1">
      <c r="A108" s="2260"/>
      <c r="B108" s="2263"/>
      <c r="C108" s="2304"/>
      <c r="D108" s="2304"/>
      <c r="E108" s="2304"/>
      <c r="F108" s="2304"/>
    </row>
    <row r="109" spans="1:6" ht="12" customHeight="1">
      <c r="A109" s="2260"/>
      <c r="B109" s="2263"/>
      <c r="C109" s="2304"/>
      <c r="D109" s="2304"/>
      <c r="E109" s="2304"/>
      <c r="F109" s="2304"/>
    </row>
    <row r="110" spans="1:6" ht="12" customHeight="1">
      <c r="A110" s="2260"/>
      <c r="B110" s="2263"/>
      <c r="C110" s="2304"/>
      <c r="D110" s="2304"/>
      <c r="E110" s="2304"/>
      <c r="F110" s="2304"/>
    </row>
    <row r="111" spans="1:6" ht="12" customHeight="1">
      <c r="A111" s="2260"/>
      <c r="B111" s="2263"/>
      <c r="C111" s="2304"/>
      <c r="D111" s="2304"/>
      <c r="E111" s="2304"/>
      <c r="F111" s="2304"/>
    </row>
    <row r="112" spans="1:6" ht="12" customHeight="1">
      <c r="A112" s="2260"/>
      <c r="B112" s="2263"/>
      <c r="C112" s="2304"/>
      <c r="D112" s="2304"/>
      <c r="E112" s="2304"/>
      <c r="F112" s="2304"/>
    </row>
    <row r="113" spans="1:6" ht="12" customHeight="1">
      <c r="A113" s="2260"/>
      <c r="B113" s="2263"/>
      <c r="C113" s="2304"/>
      <c r="D113" s="2304"/>
      <c r="E113" s="2304"/>
      <c r="F113" s="2304"/>
    </row>
    <row r="114" spans="1:6" ht="12" customHeight="1">
      <c r="A114" s="2260"/>
      <c r="B114" s="2263"/>
      <c r="C114" s="2304"/>
      <c r="D114" s="2304"/>
      <c r="E114" s="2304"/>
      <c r="F114" s="2304"/>
    </row>
    <row r="115" spans="1:6" ht="12" customHeight="1">
      <c r="A115" s="2260"/>
      <c r="B115" s="2263"/>
      <c r="C115" s="2304"/>
      <c r="D115" s="2304"/>
      <c r="E115" s="2304"/>
      <c r="F115" s="2304"/>
    </row>
    <row r="116" spans="1:6" ht="12" customHeight="1">
      <c r="A116" s="2260"/>
      <c r="B116" s="2263"/>
      <c r="C116" s="2304"/>
      <c r="D116" s="2304"/>
      <c r="E116" s="2304"/>
      <c r="F116" s="2304"/>
    </row>
    <row r="117" spans="1:6" ht="12" customHeight="1">
      <c r="A117" s="2260"/>
      <c r="B117" s="2263"/>
      <c r="C117" s="2304"/>
      <c r="D117" s="2304"/>
      <c r="E117" s="2304"/>
      <c r="F117" s="2304"/>
    </row>
    <row r="118" spans="1:6" ht="12" customHeight="1">
      <c r="A118" s="2260"/>
      <c r="B118" s="2263"/>
      <c r="C118" s="2304"/>
      <c r="D118" s="2304"/>
      <c r="E118" s="2304"/>
      <c r="F118" s="2304"/>
    </row>
    <row r="119" spans="1:6" ht="12" customHeight="1">
      <c r="A119" s="2260"/>
      <c r="B119" s="2263"/>
      <c r="C119" s="2304"/>
      <c r="D119" s="2304"/>
      <c r="E119" s="2304"/>
      <c r="F119" s="2304"/>
    </row>
    <row r="120" spans="1:6" ht="12" customHeight="1">
      <c r="A120" s="2260"/>
      <c r="B120" s="2263"/>
      <c r="C120" s="2304"/>
      <c r="D120" s="2304"/>
      <c r="E120" s="2304"/>
      <c r="F120" s="2304"/>
    </row>
    <row r="121" spans="1:6" ht="12" customHeight="1">
      <c r="A121" s="2260"/>
      <c r="B121" s="2263"/>
      <c r="C121" s="2304"/>
      <c r="D121" s="2304"/>
      <c r="E121" s="2304"/>
      <c r="F121" s="2304"/>
    </row>
    <row r="122" spans="1:6" ht="5.0999999999999996" customHeight="1">
      <c r="A122" s="2260"/>
      <c r="B122" s="2263"/>
      <c r="C122" s="2304"/>
      <c r="D122" s="2304"/>
      <c r="E122" s="2304"/>
      <c r="F122" s="2304"/>
    </row>
    <row r="123" spans="1:6" ht="12" customHeight="1">
      <c r="A123" s="2260"/>
      <c r="B123" s="2263"/>
      <c r="C123" s="2304"/>
      <c r="D123" s="2304"/>
      <c r="E123" s="2304"/>
      <c r="F123" s="2304"/>
    </row>
    <row r="124" spans="1:6" ht="12" customHeight="1">
      <c r="A124" s="2260"/>
      <c r="B124" s="2263"/>
      <c r="C124" s="2304"/>
      <c r="D124" s="2304"/>
      <c r="E124" s="2304"/>
      <c r="F124" s="2304"/>
    </row>
    <row r="125" spans="1:6" ht="12" customHeight="1">
      <c r="A125" s="2260"/>
      <c r="B125" s="2263"/>
      <c r="C125" s="2304"/>
      <c r="D125" s="2304"/>
      <c r="E125" s="2304"/>
      <c r="F125" s="2304"/>
    </row>
    <row r="126" spans="1:6" ht="12" customHeight="1">
      <c r="A126" s="2260"/>
      <c r="B126" s="2263"/>
      <c r="C126" s="2304"/>
      <c r="D126" s="2304"/>
      <c r="E126" s="2304"/>
      <c r="F126" s="2304"/>
    </row>
    <row r="127" spans="1:6" ht="12" customHeight="1">
      <c r="A127" s="2260"/>
      <c r="B127" s="2263"/>
      <c r="C127" s="2304"/>
      <c r="D127" s="2304"/>
      <c r="E127" s="2304"/>
      <c r="F127" s="2304"/>
    </row>
    <row r="128" spans="1:6" ht="12" customHeight="1">
      <c r="A128" s="2260"/>
      <c r="B128" s="2263"/>
      <c r="C128" s="2304"/>
      <c r="D128" s="2304"/>
      <c r="E128" s="2304"/>
      <c r="F128" s="2304"/>
    </row>
    <row r="129" spans="1:6" ht="12" customHeight="1">
      <c r="A129" s="2260"/>
      <c r="B129" s="2263"/>
      <c r="C129" s="2304"/>
      <c r="D129" s="2304"/>
      <c r="E129" s="2304"/>
      <c r="F129" s="2304"/>
    </row>
    <row r="130" spans="1:6" ht="12" customHeight="1">
      <c r="A130" s="2260"/>
      <c r="B130" s="2263"/>
      <c r="C130" s="2304"/>
      <c r="D130" s="2304"/>
      <c r="E130" s="2304"/>
      <c r="F130" s="2304"/>
    </row>
    <row r="131" spans="1:6" ht="12" customHeight="1">
      <c r="A131" s="2260"/>
      <c r="B131" s="2263"/>
      <c r="C131" s="2304"/>
      <c r="D131" s="2304"/>
      <c r="E131" s="2304"/>
      <c r="F131" s="2304"/>
    </row>
    <row r="132" spans="1:6" ht="12" customHeight="1">
      <c r="A132" s="2260"/>
      <c r="B132" s="2263"/>
      <c r="C132" s="2304"/>
      <c r="D132" s="2304"/>
      <c r="E132" s="2304"/>
      <c r="F132" s="2304"/>
    </row>
    <row r="133" spans="1:6" ht="12" customHeight="1">
      <c r="A133" s="2260"/>
      <c r="B133" s="2263"/>
      <c r="C133" s="2304"/>
      <c r="D133" s="2304"/>
      <c r="E133" s="2304"/>
      <c r="F133" s="2304"/>
    </row>
    <row r="134" spans="1:6" ht="12" customHeight="1">
      <c r="A134" s="2260"/>
      <c r="B134" s="2263"/>
      <c r="C134" s="2304"/>
      <c r="D134" s="2304"/>
      <c r="E134" s="2304"/>
      <c r="F134" s="2304"/>
    </row>
    <row r="135" spans="1:6" ht="12" customHeight="1">
      <c r="A135" s="2260"/>
      <c r="B135" s="2263"/>
      <c r="C135" s="2304"/>
      <c r="D135" s="2304"/>
      <c r="E135" s="2304"/>
      <c r="F135" s="2304"/>
    </row>
    <row r="136" spans="1:6" ht="12" customHeight="1">
      <c r="A136" s="2260"/>
      <c r="B136" s="2263"/>
      <c r="C136" s="2304"/>
      <c r="D136" s="2304"/>
      <c r="E136" s="2304"/>
      <c r="F136" s="2304"/>
    </row>
    <row r="137" spans="1:6" ht="12" customHeight="1">
      <c r="A137" s="2260"/>
      <c r="B137" s="2263"/>
      <c r="C137" s="2304"/>
      <c r="D137" s="2304"/>
      <c r="E137" s="2304"/>
      <c r="F137" s="2304"/>
    </row>
    <row r="138" spans="1:6" ht="12" customHeight="1">
      <c r="A138" s="2260"/>
      <c r="B138" s="2263"/>
      <c r="C138" s="2304"/>
      <c r="D138" s="2304"/>
      <c r="E138" s="2304"/>
      <c r="F138" s="2304"/>
    </row>
    <row r="139" spans="1:6" ht="12" customHeight="1">
      <c r="A139" s="2260"/>
      <c r="B139" s="2263"/>
      <c r="C139" s="2304"/>
      <c r="D139" s="2304"/>
      <c r="E139" s="2304"/>
      <c r="F139" s="2304"/>
    </row>
    <row r="140" spans="1:6" ht="12" customHeight="1">
      <c r="A140" s="2260"/>
      <c r="B140" s="2263"/>
      <c r="C140" s="2304"/>
      <c r="D140" s="2304"/>
      <c r="E140" s="2304"/>
      <c r="F140" s="2304"/>
    </row>
    <row r="141" spans="1:6" ht="12" customHeight="1">
      <c r="A141" s="2260"/>
      <c r="B141" s="2263"/>
      <c r="C141" s="2304"/>
      <c r="D141" s="2304"/>
      <c r="E141" s="2304"/>
      <c r="F141" s="2304"/>
    </row>
    <row r="142" spans="1:6" ht="12" customHeight="1">
      <c r="A142" s="2260"/>
      <c r="B142" s="2263"/>
      <c r="C142" s="2304"/>
      <c r="D142" s="2304"/>
      <c r="E142" s="2304"/>
      <c r="F142" s="2304"/>
    </row>
    <row r="143" spans="1:6" ht="12" customHeight="1">
      <c r="A143" s="2260"/>
      <c r="B143" s="2263"/>
      <c r="C143" s="2304"/>
      <c r="D143" s="2304"/>
      <c r="E143" s="2304"/>
      <c r="F143" s="2304"/>
    </row>
    <row r="144" spans="1:6" ht="12" customHeight="1">
      <c r="A144" s="2260"/>
      <c r="B144" s="2263"/>
      <c r="C144" s="2304"/>
      <c r="D144" s="2304"/>
      <c r="E144" s="2304"/>
      <c r="F144" s="2304"/>
    </row>
    <row r="145" spans="1:6" ht="12" customHeight="1">
      <c r="A145" s="2260"/>
      <c r="B145" s="2263"/>
      <c r="C145" s="2304"/>
      <c r="D145" s="2304"/>
      <c r="E145" s="2304"/>
      <c r="F145" s="2304"/>
    </row>
    <row r="146" spans="1:6" ht="12" customHeight="1">
      <c r="A146" s="2260"/>
      <c r="B146" s="2263"/>
      <c r="C146" s="2304"/>
      <c r="D146" s="2304"/>
      <c r="E146" s="2304"/>
      <c r="F146" s="2304"/>
    </row>
    <row r="147" spans="1:6" ht="12" customHeight="1">
      <c r="A147" s="2260"/>
      <c r="B147" s="2263"/>
      <c r="C147" s="2304"/>
      <c r="D147" s="2304"/>
      <c r="E147" s="2304"/>
      <c r="F147" s="2304"/>
    </row>
    <row r="148" spans="1:6" ht="12" customHeight="1">
      <c r="A148" s="2260"/>
      <c r="B148" s="2263"/>
      <c r="C148" s="2304"/>
      <c r="D148" s="2304"/>
      <c r="E148" s="2304"/>
      <c r="F148" s="2304"/>
    </row>
    <row r="149" spans="1:6" ht="12" customHeight="1">
      <c r="A149" s="2260"/>
      <c r="B149" s="2263"/>
      <c r="C149" s="2304"/>
      <c r="D149" s="2304"/>
      <c r="E149" s="2304"/>
      <c r="F149" s="2304"/>
    </row>
    <row r="150" spans="1:6" ht="12" customHeight="1">
      <c r="A150" s="2260"/>
      <c r="B150" s="2263"/>
      <c r="C150" s="2304"/>
      <c r="D150" s="2304"/>
      <c r="E150" s="2304"/>
      <c r="F150" s="2304"/>
    </row>
    <row r="151" spans="1:6" ht="12" customHeight="1">
      <c r="A151" s="2260"/>
      <c r="B151" s="2263"/>
      <c r="C151" s="2304"/>
      <c r="D151" s="2304"/>
      <c r="E151" s="2304"/>
      <c r="F151" s="2304"/>
    </row>
    <row r="152" spans="1:6" ht="12" customHeight="1">
      <c r="A152" s="2260"/>
      <c r="B152" s="2263"/>
      <c r="C152" s="2304"/>
      <c r="D152" s="2304"/>
      <c r="E152" s="2304"/>
      <c r="F152" s="2304"/>
    </row>
    <row r="153" spans="1:6" ht="12" customHeight="1">
      <c r="A153" s="2260"/>
      <c r="B153" s="2263"/>
      <c r="C153" s="2304"/>
      <c r="D153" s="2304"/>
      <c r="E153" s="2304"/>
      <c r="F153" s="2304"/>
    </row>
    <row r="154" spans="1:6" ht="12" customHeight="1">
      <c r="A154" s="2260"/>
      <c r="B154" s="2263"/>
      <c r="C154" s="2304"/>
      <c r="D154" s="2304"/>
      <c r="E154" s="2304"/>
      <c r="F154" s="2304"/>
    </row>
    <row r="155" spans="1:6" ht="12" customHeight="1">
      <c r="A155" s="2260"/>
      <c r="B155" s="2263"/>
      <c r="C155" s="2304"/>
      <c r="D155" s="2304"/>
      <c r="E155" s="2304"/>
      <c r="F155" s="2304"/>
    </row>
    <row r="156" spans="1:6" ht="12" customHeight="1">
      <c r="A156" s="2260"/>
      <c r="B156" s="2263"/>
      <c r="C156" s="2304"/>
      <c r="D156" s="2304"/>
      <c r="E156" s="2304"/>
      <c r="F156" s="2304"/>
    </row>
    <row r="157" spans="1:6" ht="12" customHeight="1">
      <c r="A157" s="2260"/>
      <c r="B157" s="2263"/>
      <c r="C157" s="2304"/>
      <c r="D157" s="2304"/>
      <c r="E157" s="2304"/>
      <c r="F157" s="2304"/>
    </row>
    <row r="158" spans="1:6" ht="12" customHeight="1">
      <c r="A158" s="2260"/>
      <c r="B158" s="2263"/>
      <c r="C158" s="2304"/>
      <c r="D158" s="2304"/>
      <c r="E158" s="2304"/>
      <c r="F158" s="2304"/>
    </row>
    <row r="159" spans="1:6" ht="12" customHeight="1">
      <c r="A159" s="2260"/>
      <c r="B159" s="2263"/>
      <c r="C159" s="2304"/>
      <c r="D159" s="2304"/>
      <c r="E159" s="2304"/>
      <c r="F159" s="2304"/>
    </row>
    <row r="160" spans="1:6" ht="12" customHeight="1">
      <c r="A160" s="2260"/>
      <c r="B160" s="2263"/>
      <c r="C160" s="2304"/>
      <c r="D160" s="2304"/>
      <c r="E160" s="2304"/>
      <c r="F160" s="2304"/>
    </row>
    <row r="161" spans="1:6" ht="12" customHeight="1">
      <c r="A161" s="2260"/>
      <c r="B161" s="2263"/>
      <c r="C161" s="2304"/>
      <c r="D161" s="2304"/>
      <c r="E161" s="2304"/>
      <c r="F161" s="2304"/>
    </row>
    <row r="162" spans="1:6" ht="12" customHeight="1">
      <c r="A162" s="2260"/>
      <c r="B162" s="2263"/>
      <c r="C162" s="2304"/>
      <c r="D162" s="2304"/>
      <c r="E162" s="2304"/>
      <c r="F162" s="2304"/>
    </row>
    <row r="163" spans="1:6" ht="12" customHeight="1">
      <c r="A163" s="2260"/>
      <c r="B163" s="2263"/>
      <c r="C163" s="2304"/>
      <c r="D163" s="2304"/>
      <c r="E163" s="2304"/>
      <c r="F163" s="2304"/>
    </row>
    <row r="164" spans="1:6" ht="12" customHeight="1">
      <c r="A164" s="2260"/>
      <c r="B164" s="2263"/>
      <c r="C164" s="2304"/>
      <c r="D164" s="2304"/>
      <c r="E164" s="2304"/>
      <c r="F164" s="2304"/>
    </row>
    <row r="165" spans="1:6" ht="12" customHeight="1">
      <c r="A165" s="2260"/>
      <c r="B165" s="2263"/>
      <c r="C165" s="2304"/>
      <c r="D165" s="2304"/>
      <c r="E165" s="2304"/>
      <c r="F165" s="2304"/>
    </row>
    <row r="166" spans="1:6" ht="12" customHeight="1">
      <c r="A166" s="2260"/>
      <c r="B166" s="2263"/>
      <c r="C166" s="2304"/>
      <c r="D166" s="2304"/>
      <c r="E166" s="2304"/>
      <c r="F166" s="2304"/>
    </row>
    <row r="167" spans="1:6" ht="12" customHeight="1">
      <c r="A167" s="2260"/>
      <c r="B167" s="2263"/>
      <c r="C167" s="2304"/>
      <c r="D167" s="2304"/>
      <c r="E167" s="2304"/>
      <c r="F167" s="2304"/>
    </row>
    <row r="168" spans="1:6" ht="12" customHeight="1">
      <c r="A168" s="2260"/>
      <c r="B168" s="2263"/>
      <c r="C168" s="2304"/>
      <c r="D168" s="2304"/>
      <c r="E168" s="2304"/>
      <c r="F168" s="2304"/>
    </row>
    <row r="169" spans="1:6" ht="12" customHeight="1">
      <c r="A169" s="2260"/>
      <c r="B169" s="2263"/>
      <c r="C169" s="2304"/>
      <c r="D169" s="2304"/>
      <c r="E169" s="2304"/>
      <c r="F169" s="2304"/>
    </row>
    <row r="170" spans="1:6" ht="12" customHeight="1">
      <c r="A170" s="2260"/>
      <c r="B170" s="2263"/>
      <c r="C170" s="2304"/>
      <c r="D170" s="2304"/>
      <c r="E170" s="2304"/>
      <c r="F170" s="2304"/>
    </row>
    <row r="171" spans="1:6" ht="12" customHeight="1">
      <c r="A171" s="2260"/>
      <c r="B171" s="2263"/>
      <c r="C171" s="2304"/>
      <c r="D171" s="2304"/>
      <c r="E171" s="2304"/>
      <c r="F171" s="2304"/>
    </row>
    <row r="172" spans="1:6" ht="12" customHeight="1">
      <c r="A172" s="2260"/>
      <c r="B172" s="2263"/>
      <c r="C172" s="2304"/>
      <c r="D172" s="2304"/>
      <c r="E172" s="2304"/>
      <c r="F172" s="2304"/>
    </row>
    <row r="173" spans="1:6" ht="12" customHeight="1">
      <c r="A173" s="2260"/>
      <c r="B173" s="2263"/>
      <c r="C173" s="2304"/>
      <c r="D173" s="2304"/>
      <c r="E173" s="2304"/>
      <c r="F173" s="2304"/>
    </row>
    <row r="174" spans="1:6" ht="12" customHeight="1">
      <c r="A174" s="2260"/>
      <c r="B174" s="2263"/>
      <c r="C174" s="2304"/>
      <c r="D174" s="2304"/>
      <c r="E174" s="2304"/>
      <c r="F174" s="2304"/>
    </row>
    <row r="175" spans="1:6" ht="12" customHeight="1">
      <c r="A175" s="2260"/>
      <c r="B175" s="2263"/>
      <c r="C175" s="2304"/>
      <c r="D175" s="2304"/>
      <c r="E175" s="2304"/>
      <c r="F175" s="2304"/>
    </row>
    <row r="176" spans="1:6" ht="12" customHeight="1">
      <c r="A176" s="2260"/>
      <c r="B176" s="2263"/>
      <c r="C176" s="2304"/>
      <c r="D176" s="2304"/>
      <c r="E176" s="2304"/>
      <c r="F176" s="2304"/>
    </row>
    <row r="177" spans="1:6" ht="12" customHeight="1">
      <c r="A177" s="2260"/>
      <c r="B177" s="2263"/>
      <c r="C177" s="2304"/>
      <c r="D177" s="2304"/>
      <c r="E177" s="2304"/>
      <c r="F177" s="2304"/>
    </row>
    <row r="178" spans="1:6" ht="12" customHeight="1">
      <c r="A178" s="2260"/>
      <c r="B178" s="2263"/>
      <c r="C178" s="2304"/>
      <c r="D178" s="2304"/>
      <c r="E178" s="2304"/>
      <c r="F178" s="2304"/>
    </row>
    <row r="179" spans="1:6" ht="12" customHeight="1">
      <c r="A179" s="2260"/>
      <c r="B179" s="2263"/>
      <c r="C179" s="2304"/>
      <c r="D179" s="2304"/>
      <c r="E179" s="2304"/>
      <c r="F179" s="2304"/>
    </row>
    <row r="180" spans="1:6" ht="12" customHeight="1">
      <c r="A180" s="2260"/>
      <c r="B180" s="2263"/>
      <c r="C180" s="2304"/>
      <c r="D180" s="2304"/>
      <c r="E180" s="2304"/>
      <c r="F180" s="2304"/>
    </row>
    <row r="181" spans="1:6" ht="12" customHeight="1">
      <c r="A181" s="2260"/>
      <c r="B181" s="2263"/>
      <c r="C181" s="2304"/>
      <c r="D181" s="2304"/>
      <c r="E181" s="2304"/>
      <c r="F181" s="2304"/>
    </row>
    <row r="182" spans="1:6" ht="12" customHeight="1">
      <c r="A182" s="2260"/>
      <c r="B182" s="2263"/>
      <c r="C182" s="2304"/>
      <c r="D182" s="2304"/>
      <c r="E182" s="2304"/>
      <c r="F182" s="2304"/>
    </row>
    <row r="183" spans="1:6" ht="12" customHeight="1">
      <c r="A183" s="2260"/>
      <c r="B183" s="2263"/>
      <c r="C183" s="2304"/>
      <c r="D183" s="2304"/>
      <c r="E183" s="2304"/>
      <c r="F183" s="2304"/>
    </row>
    <row r="184" spans="1:6" ht="12" customHeight="1">
      <c r="A184" s="2260"/>
      <c r="B184" s="2263"/>
      <c r="C184" s="2304"/>
      <c r="D184" s="2304"/>
      <c r="E184" s="2304"/>
      <c r="F184" s="2304"/>
    </row>
    <row r="185" spans="1:6" ht="12" customHeight="1">
      <c r="A185" s="2260"/>
      <c r="B185" s="2263"/>
      <c r="C185" s="2304"/>
      <c r="D185" s="2304"/>
      <c r="E185" s="2304"/>
      <c r="F185" s="2304"/>
    </row>
    <row r="186" spans="1:6" ht="12" customHeight="1">
      <c r="A186" s="2260"/>
      <c r="B186" s="2263"/>
      <c r="C186" s="2304"/>
      <c r="D186" s="2304"/>
      <c r="E186" s="2304"/>
      <c r="F186" s="2304"/>
    </row>
    <row r="187" spans="1:6" ht="12" customHeight="1">
      <c r="A187" s="2260"/>
      <c r="B187" s="2263"/>
      <c r="C187" s="2304"/>
      <c r="D187" s="2304"/>
      <c r="E187" s="2304"/>
      <c r="F187" s="2304"/>
    </row>
    <row r="188" spans="1:6" ht="12" customHeight="1">
      <c r="A188" s="2260"/>
      <c r="B188" s="2263"/>
      <c r="C188" s="2304"/>
      <c r="D188" s="2304"/>
      <c r="E188" s="2304"/>
      <c r="F188" s="2304"/>
    </row>
    <row r="189" spans="1:6" ht="12" customHeight="1">
      <c r="A189" s="2260"/>
      <c r="B189" s="2263"/>
      <c r="C189" s="2304"/>
      <c r="D189" s="2304"/>
      <c r="E189" s="2304"/>
      <c r="F189" s="2304"/>
    </row>
    <row r="190" spans="1:6" ht="12" customHeight="1">
      <c r="A190" s="2260"/>
      <c r="B190" s="2263"/>
      <c r="C190" s="2304"/>
      <c r="D190" s="2304"/>
      <c r="E190" s="2304"/>
      <c r="F190" s="2304"/>
    </row>
    <row r="191" spans="1:6" ht="12" customHeight="1">
      <c r="A191" s="2260"/>
      <c r="B191" s="2263"/>
      <c r="C191" s="2304"/>
      <c r="D191" s="2304"/>
      <c r="E191" s="2304"/>
      <c r="F191" s="2304"/>
    </row>
    <row r="192" spans="1:6" ht="12" customHeight="1">
      <c r="A192" s="2260"/>
      <c r="B192" s="2263"/>
      <c r="C192" s="2304"/>
      <c r="D192" s="2304"/>
      <c r="E192" s="2304"/>
      <c r="F192" s="2304"/>
    </row>
    <row r="193" spans="1:6" ht="12" customHeight="1">
      <c r="A193" s="2260"/>
      <c r="B193" s="2263"/>
      <c r="C193" s="2304"/>
      <c r="D193" s="2304"/>
      <c r="E193" s="2304"/>
      <c r="F193" s="2304"/>
    </row>
    <row r="194" spans="1:6" ht="12" customHeight="1">
      <c r="A194" s="2260"/>
      <c r="B194" s="2263"/>
      <c r="C194" s="2304"/>
      <c r="D194" s="2304"/>
      <c r="E194" s="2304"/>
      <c r="F194" s="2304"/>
    </row>
    <row r="195" spans="1:6" ht="12" customHeight="1">
      <c r="A195" s="2260"/>
      <c r="B195" s="2263"/>
      <c r="C195" s="2304"/>
      <c r="D195" s="2304"/>
      <c r="E195" s="2304"/>
      <c r="F195" s="2304"/>
    </row>
    <row r="196" spans="1:6" ht="12" customHeight="1">
      <c r="A196" s="2260"/>
      <c r="B196" s="2263"/>
      <c r="C196" s="2304"/>
      <c r="D196" s="2304"/>
      <c r="E196" s="2304"/>
      <c r="F196" s="2304"/>
    </row>
    <row r="197" spans="1:6" ht="12" customHeight="1">
      <c r="A197" s="2260"/>
      <c r="B197" s="2263"/>
      <c r="C197" s="2304"/>
      <c r="D197" s="2304"/>
      <c r="E197" s="2304"/>
      <c r="F197" s="2304"/>
    </row>
    <row r="198" spans="1:6" ht="12" customHeight="1">
      <c r="A198" s="2260"/>
      <c r="B198" s="2263"/>
      <c r="C198" s="2304"/>
      <c r="D198" s="2304"/>
      <c r="E198" s="2304"/>
      <c r="F198" s="2304"/>
    </row>
    <row r="199" spans="1:6" ht="12" customHeight="1">
      <c r="A199" s="2260"/>
      <c r="B199" s="2263"/>
      <c r="C199" s="2304"/>
      <c r="D199" s="2304"/>
      <c r="E199" s="2304"/>
      <c r="F199" s="2304"/>
    </row>
    <row r="200" spans="1:6" ht="12" customHeight="1">
      <c r="A200" s="2260"/>
      <c r="B200" s="2263"/>
      <c r="C200" s="2304"/>
      <c r="D200" s="2304"/>
      <c r="E200" s="2304"/>
      <c r="F200" s="2304"/>
    </row>
    <row r="201" spans="1:6" ht="12" customHeight="1">
      <c r="A201" s="2260"/>
      <c r="B201" s="2263"/>
      <c r="C201" s="2304"/>
      <c r="D201" s="2304"/>
      <c r="E201" s="2304"/>
      <c r="F201" s="2304"/>
    </row>
    <row r="202" spans="1:6" ht="12" customHeight="1">
      <c r="A202" s="2260"/>
      <c r="B202" s="2263"/>
      <c r="C202" s="2304"/>
      <c r="D202" s="2304"/>
      <c r="E202" s="2304"/>
      <c r="F202" s="2304"/>
    </row>
    <row r="203" spans="1:6" ht="12" customHeight="1">
      <c r="A203" s="2260"/>
      <c r="B203" s="2263"/>
      <c r="C203" s="2304"/>
      <c r="D203" s="2304"/>
      <c r="E203" s="2304"/>
      <c r="F203" s="2304"/>
    </row>
    <row r="204" spans="1:6" ht="12" customHeight="1">
      <c r="A204" s="2260"/>
      <c r="B204" s="2263"/>
      <c r="C204" s="2304"/>
      <c r="D204" s="2304"/>
      <c r="E204" s="2304"/>
      <c r="F204" s="2304"/>
    </row>
    <row r="205" spans="1:6" ht="12" customHeight="1">
      <c r="A205" s="2260"/>
      <c r="B205" s="2263"/>
      <c r="C205" s="2304"/>
      <c r="D205" s="2304"/>
      <c r="E205" s="2304"/>
      <c r="F205" s="2304"/>
    </row>
    <row r="206" spans="1:6" ht="12" customHeight="1">
      <c r="A206" s="2260"/>
      <c r="B206" s="2263"/>
      <c r="C206" s="2304"/>
      <c r="D206" s="2304"/>
      <c r="E206" s="2304"/>
      <c r="F206" s="2304"/>
    </row>
    <row r="207" spans="1:6" ht="12" customHeight="1">
      <c r="A207" s="2260"/>
      <c r="B207" s="2263"/>
      <c r="C207" s="2304"/>
      <c r="D207" s="2304"/>
      <c r="E207" s="2304"/>
      <c r="F207" s="2304"/>
    </row>
    <row r="208" spans="1:6" ht="12" customHeight="1">
      <c r="A208" s="2260"/>
      <c r="B208" s="2263"/>
      <c r="C208" s="2304"/>
      <c r="D208" s="2304"/>
      <c r="E208" s="2304"/>
      <c r="F208" s="2304"/>
    </row>
    <row r="209" spans="1:6" ht="12" customHeight="1">
      <c r="A209" s="2260"/>
      <c r="B209" s="2263"/>
      <c r="C209" s="2304"/>
      <c r="D209" s="2304"/>
      <c r="E209" s="2304"/>
      <c r="F209" s="2304"/>
    </row>
    <row r="210" spans="1:6" ht="12" customHeight="1">
      <c r="A210" s="2260"/>
      <c r="B210" s="2263"/>
      <c r="C210" s="2304"/>
      <c r="D210" s="2304"/>
      <c r="E210" s="2304"/>
      <c r="F210" s="2304"/>
    </row>
    <row r="211" spans="1:6" ht="12" customHeight="1">
      <c r="A211" s="2260"/>
      <c r="B211" s="2263"/>
      <c r="C211" s="2304"/>
      <c r="D211" s="2304"/>
      <c r="E211" s="2304"/>
      <c r="F211" s="2304"/>
    </row>
    <row r="212" spans="1:6" ht="12" customHeight="1">
      <c r="A212" s="2260"/>
      <c r="B212" s="2263"/>
      <c r="C212" s="2304"/>
      <c r="D212" s="2304"/>
      <c r="E212" s="2304"/>
      <c r="F212" s="2304"/>
    </row>
    <row r="213" spans="1:6" ht="12" customHeight="1">
      <c r="A213" s="2260"/>
      <c r="B213" s="2263"/>
      <c r="C213" s="2304"/>
      <c r="D213" s="2304"/>
      <c r="E213" s="2304"/>
      <c r="F213" s="2304"/>
    </row>
    <row r="214" spans="1:6" ht="12" customHeight="1">
      <c r="A214" s="2260"/>
      <c r="B214" s="2263"/>
      <c r="C214" s="2304"/>
      <c r="D214" s="2304"/>
      <c r="E214" s="2304"/>
      <c r="F214" s="2304"/>
    </row>
    <row r="215" spans="1:6" ht="12" customHeight="1">
      <c r="A215" s="2260"/>
      <c r="B215" s="2263"/>
      <c r="C215" s="2304"/>
      <c r="D215" s="2304"/>
      <c r="E215" s="2304"/>
      <c r="F215" s="2304"/>
    </row>
    <row r="216" spans="1:6" ht="12" customHeight="1">
      <c r="A216" s="2260"/>
      <c r="B216" s="2263"/>
      <c r="C216" s="2304"/>
      <c r="D216" s="2304"/>
      <c r="E216" s="2304"/>
      <c r="F216" s="2304"/>
    </row>
    <row r="217" spans="1:6" ht="12" customHeight="1">
      <c r="A217" s="2260"/>
      <c r="B217" s="2263"/>
      <c r="C217" s="2304"/>
      <c r="D217" s="2304"/>
      <c r="E217" s="2304"/>
      <c r="F217" s="2304"/>
    </row>
    <row r="218" spans="1:6" ht="12" customHeight="1">
      <c r="A218" s="2260"/>
      <c r="B218" s="2263"/>
      <c r="C218" s="2304"/>
      <c r="D218" s="2304"/>
      <c r="E218" s="2304"/>
      <c r="F218" s="2304"/>
    </row>
    <row r="219" spans="1:6" ht="12" customHeight="1">
      <c r="A219" s="2260"/>
      <c r="B219" s="2263"/>
      <c r="C219" s="2304"/>
      <c r="D219" s="2304"/>
      <c r="E219" s="2304"/>
      <c r="F219" s="2304"/>
    </row>
    <row r="220" spans="1:6" ht="12" customHeight="1">
      <c r="A220" s="2260"/>
      <c r="B220" s="2263"/>
      <c r="C220" s="2304"/>
      <c r="D220" s="2304"/>
      <c r="E220" s="2304"/>
      <c r="F220" s="2304"/>
    </row>
    <row r="221" spans="1:6" ht="12" customHeight="1">
      <c r="A221" s="2260"/>
      <c r="B221" s="2263"/>
      <c r="C221" s="2304"/>
      <c r="D221" s="2304"/>
      <c r="E221" s="2304"/>
      <c r="F221" s="2304"/>
    </row>
    <row r="222" spans="1:6" ht="12" customHeight="1">
      <c r="A222" s="2260"/>
      <c r="B222" s="2263"/>
      <c r="C222" s="2304"/>
      <c r="D222" s="2304"/>
      <c r="E222" s="2304"/>
      <c r="F222" s="2304"/>
    </row>
    <row r="223" spans="1:6" ht="12" customHeight="1">
      <c r="A223" s="2260"/>
      <c r="B223" s="2263"/>
      <c r="C223" s="2304"/>
      <c r="D223" s="2304"/>
      <c r="E223" s="2304"/>
      <c r="F223" s="2304"/>
    </row>
    <row r="224" spans="1:6" ht="12" customHeight="1">
      <c r="A224" s="2260"/>
      <c r="B224" s="2263"/>
      <c r="C224" s="2304"/>
      <c r="D224" s="2304"/>
      <c r="E224" s="2304"/>
      <c r="F224" s="2304"/>
    </row>
    <row r="225" spans="1:6" ht="12" customHeight="1">
      <c r="A225" s="2260"/>
      <c r="B225" s="2263"/>
      <c r="C225" s="2304"/>
      <c r="D225" s="2304"/>
      <c r="E225" s="2304"/>
      <c r="F225" s="2304"/>
    </row>
    <row r="226" spans="1:6" ht="12" customHeight="1">
      <c r="A226" s="2260"/>
      <c r="B226" s="2263"/>
      <c r="C226" s="2304"/>
      <c r="D226" s="2304"/>
      <c r="E226" s="2304"/>
      <c r="F226" s="2304"/>
    </row>
    <row r="227" spans="1:6" ht="12" customHeight="1">
      <c r="A227" s="2260"/>
      <c r="B227" s="2263"/>
      <c r="C227" s="2304"/>
      <c r="D227" s="2304"/>
      <c r="E227" s="2304"/>
      <c r="F227" s="2304"/>
    </row>
    <row r="228" spans="1:6" ht="12" customHeight="1">
      <c r="A228" s="2260"/>
      <c r="B228" s="2263"/>
      <c r="C228" s="2304"/>
      <c r="D228" s="2304"/>
      <c r="E228" s="2304"/>
      <c r="F228" s="2304"/>
    </row>
    <row r="229" spans="1:6" ht="12" customHeight="1">
      <c r="A229" s="2260"/>
      <c r="B229" s="2263"/>
      <c r="C229" s="2304"/>
      <c r="D229" s="2304"/>
      <c r="E229" s="2304"/>
      <c r="F229" s="2304"/>
    </row>
    <row r="230" spans="1:6" ht="12" customHeight="1">
      <c r="A230" s="2260"/>
      <c r="B230" s="2263"/>
      <c r="C230" s="2304"/>
      <c r="D230" s="2304"/>
      <c r="E230" s="2304"/>
      <c r="F230" s="2304"/>
    </row>
    <row r="231" spans="1:6" ht="12" customHeight="1">
      <c r="A231" s="2260"/>
      <c r="B231" s="2263"/>
      <c r="C231" s="2304"/>
      <c r="D231" s="2304"/>
      <c r="E231" s="2304"/>
      <c r="F231" s="2304"/>
    </row>
    <row r="232" spans="1:6" ht="12" customHeight="1">
      <c r="A232" s="2260"/>
      <c r="B232" s="2263"/>
      <c r="C232" s="2304"/>
      <c r="D232" s="2304"/>
      <c r="E232" s="2304"/>
      <c r="F232" s="2304"/>
    </row>
    <row r="233" spans="1:6" ht="12" customHeight="1">
      <c r="A233" s="2260"/>
      <c r="B233" s="2263"/>
      <c r="C233" s="2304"/>
      <c r="D233" s="2304"/>
      <c r="E233" s="2304"/>
      <c r="F233" s="2304"/>
    </row>
    <row r="234" spans="1:6" ht="12" customHeight="1">
      <c r="A234" s="2260"/>
      <c r="B234" s="2263"/>
      <c r="C234" s="2304"/>
      <c r="D234" s="2304"/>
      <c r="E234" s="2304"/>
      <c r="F234" s="2304"/>
    </row>
    <row r="235" spans="1:6" ht="12" customHeight="1">
      <c r="A235" s="2260"/>
      <c r="B235" s="2263"/>
      <c r="C235" s="2304"/>
      <c r="D235" s="2304"/>
      <c r="E235" s="2304"/>
      <c r="F235" s="2304"/>
    </row>
    <row r="236" spans="1:6" ht="12" customHeight="1">
      <c r="A236" s="2260"/>
      <c r="B236" s="2263"/>
      <c r="C236" s="2304"/>
      <c r="D236" s="2304"/>
      <c r="E236" s="2304"/>
      <c r="F236" s="2304"/>
    </row>
    <row r="237" spans="1:6" ht="12" customHeight="1">
      <c r="A237" s="2260"/>
      <c r="B237" s="2263"/>
      <c r="C237" s="2304"/>
      <c r="D237" s="2304"/>
      <c r="E237" s="2304"/>
      <c r="F237" s="2304"/>
    </row>
    <row r="238" spans="1:6" ht="12" customHeight="1">
      <c r="A238" s="2260"/>
      <c r="B238" s="2263"/>
      <c r="C238" s="2304"/>
      <c r="D238" s="2304"/>
      <c r="E238" s="2304"/>
      <c r="F238" s="2304"/>
    </row>
    <row r="239" spans="1:6" ht="12" customHeight="1">
      <c r="A239" s="2260"/>
      <c r="B239" s="2263"/>
      <c r="C239" s="2304"/>
      <c r="D239" s="2304"/>
      <c r="E239" s="2304"/>
      <c r="F239" s="2304"/>
    </row>
    <row r="240" spans="1:6" ht="12" customHeight="1">
      <c r="A240" s="2260"/>
      <c r="B240" s="2263"/>
      <c r="C240" s="2304"/>
      <c r="D240" s="2304"/>
      <c r="E240" s="2304"/>
      <c r="F240" s="2304"/>
    </row>
    <row r="241" spans="1:6" ht="12" customHeight="1">
      <c r="A241" s="2260"/>
      <c r="B241" s="2263"/>
      <c r="C241" s="2304"/>
      <c r="D241" s="2304"/>
      <c r="E241" s="2304"/>
      <c r="F241" s="2304"/>
    </row>
    <row r="242" spans="1:6" ht="12" customHeight="1">
      <c r="A242" s="2260"/>
      <c r="B242" s="2263"/>
      <c r="C242" s="2304"/>
      <c r="D242" s="2304"/>
      <c r="E242" s="2304"/>
      <c r="F242" s="2304"/>
    </row>
    <row r="243" spans="1:6" ht="12" customHeight="1">
      <c r="A243" s="2260"/>
      <c r="B243" s="2263"/>
      <c r="C243" s="2304"/>
      <c r="D243" s="2304"/>
      <c r="E243" s="2304"/>
      <c r="F243" s="2304"/>
    </row>
    <row r="244" spans="1:6" ht="12" customHeight="1">
      <c r="A244" s="2260"/>
      <c r="B244" s="2263"/>
      <c r="C244" s="2304"/>
      <c r="D244" s="2304"/>
      <c r="E244" s="2304"/>
      <c r="F244" s="2304"/>
    </row>
    <row r="245" spans="1:6" ht="12" customHeight="1">
      <c r="A245" s="2260"/>
      <c r="B245" s="2263"/>
      <c r="C245" s="2304"/>
      <c r="D245" s="2304"/>
      <c r="E245" s="2304"/>
      <c r="F245" s="2304"/>
    </row>
    <row r="246" spans="1:6" ht="12" customHeight="1">
      <c r="A246" s="2260"/>
      <c r="B246" s="2263"/>
      <c r="C246" s="2304"/>
      <c r="D246" s="2304"/>
      <c r="E246" s="2304"/>
      <c r="F246" s="2304"/>
    </row>
    <row r="247" spans="1:6" ht="12" customHeight="1">
      <c r="A247" s="2260"/>
      <c r="B247" s="2263"/>
      <c r="C247" s="2304"/>
      <c r="D247" s="2304"/>
      <c r="E247" s="2304"/>
      <c r="F247" s="2304"/>
    </row>
    <row r="248" spans="1:6" ht="12" customHeight="1">
      <c r="A248" s="2260"/>
      <c r="B248" s="2263"/>
      <c r="C248" s="2304"/>
      <c r="D248" s="2304"/>
      <c r="E248" s="2304"/>
      <c r="F248" s="2304"/>
    </row>
    <row r="249" spans="1:6" ht="12" customHeight="1">
      <c r="A249" s="2260"/>
      <c r="B249" s="2263"/>
      <c r="C249" s="2304"/>
      <c r="D249" s="2304"/>
      <c r="E249" s="2304"/>
      <c r="F249" s="2304"/>
    </row>
    <row r="250" spans="1:6" ht="12" customHeight="1">
      <c r="A250" s="2260"/>
      <c r="B250" s="2263"/>
      <c r="C250" s="2304"/>
      <c r="D250" s="2304"/>
      <c r="E250" s="2304"/>
      <c r="F250" s="2304"/>
    </row>
    <row r="251" spans="1:6" ht="12" customHeight="1">
      <c r="A251" s="2260"/>
      <c r="B251" s="2263"/>
      <c r="C251" s="2304"/>
      <c r="D251" s="2304"/>
      <c r="E251" s="2304"/>
      <c r="F251" s="2304"/>
    </row>
    <row r="252" spans="1:6" ht="12" customHeight="1">
      <c r="A252" s="2260"/>
      <c r="B252" s="2263"/>
      <c r="C252" s="2304"/>
      <c r="D252" s="2304"/>
      <c r="E252" s="2304"/>
      <c r="F252" s="2304"/>
    </row>
    <row r="253" spans="1:6" ht="12" customHeight="1">
      <c r="A253" s="2260"/>
      <c r="B253" s="2263"/>
      <c r="C253" s="2304"/>
      <c r="D253" s="2304"/>
      <c r="E253" s="2304"/>
      <c r="F253" s="2304"/>
    </row>
    <row r="254" spans="1:6" ht="12" customHeight="1">
      <c r="A254" s="2260"/>
      <c r="B254" s="2263"/>
      <c r="C254" s="2304"/>
      <c r="D254" s="2304"/>
      <c r="E254" s="2304"/>
      <c r="F254" s="2304"/>
    </row>
    <row r="255" spans="1:6" ht="12" customHeight="1">
      <c r="A255" s="2260"/>
      <c r="B255" s="2263"/>
      <c r="C255" s="2304"/>
      <c r="D255" s="2304"/>
      <c r="E255" s="2304"/>
      <c r="F255" s="2304"/>
    </row>
    <row r="256" spans="1:6" ht="12" customHeight="1">
      <c r="A256" s="2260"/>
      <c r="B256" s="2263"/>
      <c r="C256" s="2304"/>
      <c r="D256" s="2304"/>
      <c r="E256" s="2304"/>
      <c r="F256" s="2304"/>
    </row>
    <row r="257" spans="1:6" ht="12" customHeight="1">
      <c r="A257" s="2260"/>
      <c r="B257" s="2263"/>
      <c r="C257" s="2304"/>
      <c r="D257" s="2304"/>
      <c r="E257" s="2304"/>
      <c r="F257" s="2304"/>
    </row>
    <row r="258" spans="1:6" ht="12" customHeight="1">
      <c r="A258" s="2260"/>
      <c r="B258" s="2263"/>
      <c r="C258" s="2304"/>
      <c r="D258" s="2304"/>
      <c r="E258" s="2304"/>
      <c r="F258" s="2304"/>
    </row>
    <row r="259" spans="1:6" ht="12" customHeight="1">
      <c r="A259" s="2260"/>
      <c r="B259" s="2263"/>
      <c r="C259" s="2304"/>
      <c r="D259" s="2304"/>
      <c r="E259" s="2304"/>
      <c r="F259" s="2304"/>
    </row>
    <row r="260" spans="1:6" ht="12" customHeight="1">
      <c r="A260" s="2260"/>
      <c r="B260" s="2263"/>
      <c r="C260" s="2304"/>
      <c r="D260" s="2304"/>
      <c r="E260" s="2304"/>
      <c r="F260" s="2304"/>
    </row>
    <row r="261" spans="1:6" ht="12" customHeight="1">
      <c r="A261" s="2260"/>
      <c r="B261" s="2263"/>
      <c r="C261" s="2304"/>
      <c r="D261" s="2304"/>
      <c r="E261" s="2304"/>
      <c r="F261" s="2304"/>
    </row>
    <row r="262" spans="1:6" ht="12" customHeight="1">
      <c r="A262" s="2260"/>
      <c r="B262" s="2263"/>
      <c r="C262" s="2304"/>
      <c r="D262" s="2304"/>
      <c r="E262" s="2304"/>
      <c r="F262" s="2304"/>
    </row>
    <row r="263" spans="1:6" ht="12" customHeight="1">
      <c r="A263" s="2260"/>
      <c r="B263" s="2263"/>
      <c r="C263" s="2304"/>
      <c r="D263" s="2304"/>
      <c r="E263" s="2304"/>
      <c r="F263" s="2304"/>
    </row>
    <row r="264" spans="1:6" ht="12" customHeight="1">
      <c r="A264" s="2260"/>
      <c r="B264" s="2263"/>
      <c r="C264" s="2304"/>
      <c r="D264" s="2304"/>
      <c r="E264" s="2304"/>
      <c r="F264" s="2304"/>
    </row>
    <row r="265" spans="1:6" ht="12" customHeight="1">
      <c r="A265" s="2260"/>
      <c r="B265" s="2263"/>
      <c r="C265" s="2304"/>
      <c r="D265" s="2304"/>
      <c r="E265" s="2304"/>
      <c r="F265" s="2304"/>
    </row>
    <row r="266" spans="1:6" ht="12" customHeight="1">
      <c r="A266" s="2260"/>
      <c r="B266" s="2263"/>
      <c r="C266" s="2304"/>
      <c r="D266" s="2304"/>
      <c r="E266" s="2304"/>
      <c r="F266" s="2304"/>
    </row>
    <row r="267" spans="1:6" ht="12" customHeight="1">
      <c r="A267" s="2260"/>
      <c r="B267" s="2263"/>
      <c r="C267" s="2304"/>
      <c r="D267" s="2304"/>
      <c r="E267" s="2304"/>
      <c r="F267" s="2304"/>
    </row>
    <row r="268" spans="1:6" ht="12" customHeight="1">
      <c r="A268" s="2260"/>
      <c r="B268" s="2263"/>
      <c r="C268" s="2304"/>
      <c r="D268" s="2304"/>
      <c r="E268" s="2304"/>
      <c r="F268" s="2304"/>
    </row>
    <row r="269" spans="1:6" ht="12" customHeight="1">
      <c r="A269" s="2260"/>
      <c r="B269" s="2263"/>
      <c r="C269" s="2304"/>
      <c r="D269" s="2304"/>
      <c r="E269" s="2304"/>
      <c r="F269" s="2304"/>
    </row>
    <row r="270" spans="1:6" ht="12" customHeight="1">
      <c r="A270" s="2260"/>
      <c r="B270" s="2263"/>
      <c r="C270" s="2304"/>
      <c r="D270" s="2304"/>
      <c r="E270" s="2304"/>
      <c r="F270" s="2304"/>
    </row>
    <row r="271" spans="1:6" ht="12" customHeight="1">
      <c r="A271" s="2260"/>
      <c r="B271" s="2263"/>
      <c r="C271" s="2304"/>
      <c r="D271" s="2304"/>
      <c r="E271" s="2304"/>
      <c r="F271" s="2304"/>
    </row>
    <row r="272" spans="1:6" ht="12" customHeight="1">
      <c r="A272" s="2260"/>
      <c r="B272" s="2263"/>
      <c r="C272" s="2304"/>
      <c r="D272" s="2304"/>
      <c r="E272" s="2304"/>
      <c r="F272" s="2304"/>
    </row>
    <row r="273" spans="1:6" ht="12" customHeight="1">
      <c r="A273" s="2260"/>
      <c r="B273" s="2263"/>
      <c r="C273" s="2304"/>
      <c r="D273" s="2304"/>
      <c r="E273" s="2304"/>
      <c r="F273" s="2304"/>
    </row>
    <row r="274" spans="1:6" ht="12" customHeight="1">
      <c r="A274" s="2260"/>
      <c r="B274" s="2263"/>
      <c r="C274" s="2304"/>
      <c r="D274" s="2304"/>
      <c r="E274" s="2304"/>
      <c r="F274" s="2304"/>
    </row>
    <row r="275" spans="1:6" ht="12" customHeight="1">
      <c r="A275" s="2260"/>
      <c r="B275" s="2263"/>
      <c r="C275" s="2304"/>
      <c r="D275" s="2304"/>
      <c r="E275" s="2304"/>
      <c r="F275" s="2304"/>
    </row>
    <row r="276" spans="1:6" ht="12" customHeight="1">
      <c r="A276" s="2260"/>
      <c r="B276" s="2263"/>
      <c r="C276" s="2304"/>
      <c r="D276" s="2304"/>
      <c r="E276" s="2304"/>
      <c r="F276" s="2304"/>
    </row>
    <row r="277" spans="1:6" ht="12" customHeight="1">
      <c r="A277" s="2260"/>
      <c r="B277" s="2263"/>
      <c r="C277" s="2304"/>
      <c r="D277" s="2304"/>
      <c r="E277" s="2304"/>
      <c r="F277" s="2304"/>
    </row>
    <row r="278" spans="1:6" ht="12" customHeight="1">
      <c r="A278" s="2260"/>
      <c r="B278" s="2263"/>
      <c r="C278" s="2304"/>
      <c r="D278" s="2304"/>
      <c r="E278" s="2304"/>
      <c r="F278" s="2304"/>
    </row>
    <row r="279" spans="1:6" ht="12" customHeight="1">
      <c r="A279" s="2260"/>
      <c r="B279" s="2263"/>
      <c r="C279" s="2304"/>
      <c r="D279" s="2304"/>
      <c r="E279" s="2304"/>
      <c r="F279" s="2304"/>
    </row>
    <row r="280" spans="1:6" ht="12" customHeight="1">
      <c r="A280" s="2260"/>
      <c r="B280" s="2263"/>
      <c r="C280" s="2304"/>
      <c r="D280" s="2304"/>
      <c r="E280" s="2304"/>
      <c r="F280" s="2304"/>
    </row>
    <row r="281" spans="1:6" ht="12" customHeight="1">
      <c r="A281" s="2260"/>
      <c r="B281" s="2263"/>
      <c r="C281" s="2304"/>
      <c r="D281" s="2304"/>
      <c r="E281" s="2304"/>
      <c r="F281" s="2304"/>
    </row>
    <row r="282" spans="1:6" ht="12" customHeight="1">
      <c r="A282" s="2260"/>
      <c r="B282" s="2263"/>
      <c r="C282" s="2304"/>
      <c r="D282" s="2304"/>
      <c r="E282" s="2304"/>
      <c r="F282" s="2304"/>
    </row>
    <row r="283" spans="1:6" ht="12" customHeight="1">
      <c r="A283" s="2260"/>
      <c r="B283" s="2263"/>
      <c r="C283" s="2304"/>
      <c r="D283" s="2304"/>
      <c r="E283" s="2304"/>
      <c r="F283" s="2304"/>
    </row>
    <row r="284" spans="1:6" ht="12" customHeight="1">
      <c r="A284" s="2260"/>
      <c r="B284" s="2263"/>
      <c r="C284" s="2304"/>
      <c r="D284" s="2304"/>
      <c r="E284" s="2304"/>
      <c r="F284" s="2304"/>
    </row>
    <row r="285" spans="1:6" ht="12" customHeight="1">
      <c r="A285" s="2260"/>
      <c r="B285" s="2263"/>
      <c r="C285" s="2304"/>
      <c r="D285" s="2304"/>
      <c r="E285" s="2304"/>
      <c r="F285" s="2304"/>
    </row>
    <row r="286" spans="1:6" ht="12" customHeight="1">
      <c r="A286" s="2260"/>
      <c r="B286" s="2263"/>
      <c r="C286" s="2304"/>
      <c r="D286" s="2304"/>
      <c r="E286" s="2304"/>
      <c r="F286" s="2304"/>
    </row>
    <row r="287" spans="1:6" ht="12" customHeight="1">
      <c r="A287" s="2260"/>
      <c r="B287" s="2263"/>
      <c r="C287" s="2304"/>
      <c r="D287" s="2304"/>
      <c r="E287" s="2304"/>
      <c r="F287" s="2304"/>
    </row>
    <row r="288" spans="1:6" ht="12" customHeight="1">
      <c r="A288" s="2260"/>
      <c r="B288" s="2263"/>
      <c r="C288" s="2304"/>
      <c r="D288" s="2304"/>
      <c r="E288" s="2304"/>
      <c r="F288" s="2304"/>
    </row>
    <row r="289" spans="1:6" ht="12" customHeight="1">
      <c r="A289" s="2260"/>
      <c r="B289" s="2263"/>
      <c r="C289" s="2304"/>
      <c r="D289" s="2304"/>
      <c r="E289" s="2304"/>
      <c r="F289" s="2304"/>
    </row>
    <row r="290" spans="1:6" ht="12" customHeight="1">
      <c r="A290" s="2260"/>
      <c r="B290" s="2263"/>
      <c r="C290" s="2304"/>
      <c r="D290" s="2304"/>
      <c r="E290" s="2304"/>
      <c r="F290" s="2304"/>
    </row>
    <row r="291" spans="1:6" ht="12" customHeight="1">
      <c r="A291" s="2260"/>
      <c r="B291" s="2263"/>
      <c r="C291" s="2304"/>
      <c r="D291" s="2304"/>
      <c r="E291" s="2304"/>
      <c r="F291" s="2304"/>
    </row>
    <row r="292" spans="1:6" ht="12" customHeight="1">
      <c r="A292" s="2260"/>
      <c r="B292" s="2263"/>
      <c r="C292" s="2304"/>
      <c r="D292" s="2304"/>
      <c r="E292" s="2304"/>
      <c r="F292" s="2304"/>
    </row>
    <row r="293" spans="1:6" ht="12" customHeight="1">
      <c r="A293" s="2260"/>
      <c r="B293" s="2263"/>
      <c r="C293" s="2304"/>
      <c r="D293" s="2304"/>
      <c r="E293" s="2304"/>
      <c r="F293" s="2304"/>
    </row>
    <row r="294" spans="1:6" ht="12" customHeight="1">
      <c r="A294" s="2260"/>
      <c r="B294" s="2263"/>
      <c r="C294" s="2304"/>
      <c r="D294" s="2304"/>
      <c r="E294" s="2304"/>
      <c r="F294" s="2304"/>
    </row>
    <row r="295" spans="1:6" ht="12" customHeight="1">
      <c r="A295" s="2260"/>
      <c r="B295" s="2263"/>
      <c r="C295" s="2304"/>
      <c r="D295" s="2304"/>
      <c r="E295" s="2304"/>
      <c r="F295" s="2304"/>
    </row>
    <row r="296" spans="1:6" ht="12" customHeight="1">
      <c r="A296" s="2260"/>
      <c r="B296" s="2263"/>
      <c r="C296" s="2304"/>
      <c r="D296" s="2304"/>
      <c r="E296" s="2304"/>
      <c r="F296" s="2304"/>
    </row>
    <row r="297" spans="1:6" ht="12" customHeight="1">
      <c r="A297" s="2260"/>
      <c r="B297" s="2263"/>
      <c r="C297" s="2304"/>
      <c r="D297" s="2304"/>
      <c r="E297" s="2304"/>
      <c r="F297" s="2304"/>
    </row>
    <row r="298" spans="1:6" ht="12" customHeight="1">
      <c r="A298" s="2260"/>
      <c r="B298" s="2263"/>
      <c r="C298" s="2304"/>
      <c r="D298" s="2304"/>
      <c r="E298" s="2304"/>
      <c r="F298" s="2304"/>
    </row>
    <row r="299" spans="1:6" ht="12" customHeight="1">
      <c r="A299" s="2260"/>
      <c r="B299" s="2263"/>
      <c r="C299" s="2304"/>
      <c r="D299" s="2304"/>
      <c r="E299" s="2304"/>
      <c r="F299" s="2304"/>
    </row>
    <row r="300" spans="1:6" ht="12" customHeight="1">
      <c r="A300" s="2260"/>
      <c r="B300" s="2263"/>
      <c r="C300" s="2304"/>
      <c r="D300" s="2304"/>
      <c r="E300" s="2304"/>
      <c r="F300" s="2304"/>
    </row>
    <row r="301" spans="1:6" ht="12" customHeight="1">
      <c r="A301" s="2260"/>
      <c r="B301" s="2263"/>
      <c r="C301" s="2304"/>
      <c r="D301" s="2304"/>
      <c r="E301" s="2304"/>
      <c r="F301" s="2304"/>
    </row>
    <row r="302" spans="1:6" ht="12" customHeight="1">
      <c r="A302" s="2260"/>
      <c r="B302" s="2263"/>
      <c r="C302" s="2304"/>
      <c r="D302" s="2304"/>
      <c r="E302" s="2304"/>
      <c r="F302" s="2304"/>
    </row>
    <row r="303" spans="1:6" ht="12" customHeight="1">
      <c r="A303" s="2260"/>
      <c r="B303" s="2263"/>
      <c r="C303" s="2304"/>
      <c r="D303" s="2304"/>
      <c r="E303" s="2304"/>
      <c r="F303" s="2304"/>
    </row>
    <row r="304" spans="1:6" ht="12" customHeight="1">
      <c r="A304" s="2260"/>
      <c r="B304" s="2263"/>
      <c r="C304" s="2304"/>
      <c r="D304" s="2304"/>
      <c r="E304" s="2304"/>
      <c r="F304" s="2304"/>
    </row>
    <row r="305" spans="1:6" ht="12" customHeight="1">
      <c r="A305" s="2260"/>
      <c r="B305" s="2263"/>
      <c r="C305" s="2304"/>
      <c r="D305" s="2304"/>
      <c r="E305" s="2304"/>
      <c r="F305" s="2304"/>
    </row>
    <row r="306" spans="1:6" ht="12" customHeight="1">
      <c r="A306" s="2260"/>
      <c r="B306" s="2263"/>
      <c r="C306" s="2304"/>
      <c r="D306" s="2304"/>
      <c r="E306" s="2304"/>
      <c r="F306" s="2304"/>
    </row>
    <row r="307" spans="1:6" ht="12" customHeight="1">
      <c r="A307" s="2260"/>
      <c r="B307" s="2263"/>
      <c r="C307" s="2304"/>
      <c r="D307" s="2304"/>
      <c r="E307" s="2304"/>
      <c r="F307" s="2304"/>
    </row>
    <row r="308" spans="1:6" ht="12" customHeight="1">
      <c r="A308" s="2260"/>
      <c r="B308" s="2263"/>
      <c r="C308" s="2304"/>
      <c r="D308" s="2304"/>
      <c r="E308" s="2304"/>
      <c r="F308" s="2304"/>
    </row>
    <row r="309" spans="1:6" ht="12" customHeight="1">
      <c r="A309" s="2260"/>
      <c r="B309" s="2263"/>
      <c r="C309" s="2304"/>
      <c r="D309" s="2304"/>
      <c r="E309" s="2304"/>
      <c r="F309" s="2304"/>
    </row>
  </sheetData>
  <sheetProtection algorithmName="SHA-512" hashValue="05m58XKuVsDfyT2w6mXpKuwjS21sqtiyWzcNN3N9mn3WIj5wcgNwCptPWPKDsp8x6H7n7KOmgufFd8JQjGcr+g==" saltValue="AD+lu4ril5Z7RrJuKIdZMA==" spinCount="100000" sheet="1" objects="1" scenarios="1"/>
  <phoneticPr fontId="10" type="noConversion"/>
  <dataValidations count="3">
    <dataValidation type="whole" operator="greaterThanOrEqual" showInputMessage="1" showErrorMessage="1" errorTitle="Invalid beginning cash balance" error="Please enter a number or press the enter key or enter zero." sqref="C9">
      <formula1>-1000000000</formula1>
    </dataValidation>
    <dataValidation type="whole" operator="greaterThanOrEqual" showInputMessage="1" showErrorMessage="1" errorTitle="Invalid Data Entry" error="Please enter a positive number or press the delete key or enter zero." sqref="C10:D10 C14 C15:D15 C18:D18 C19:E19 F20 C22:D22 C24:D24 C28:D28 C32:E32 F34">
      <formula1>0</formula1>
    </dataValidation>
    <dataValidation type="whole" operator="greaterThanOrEqual" allowBlank="1" showInputMessage="1" showErrorMessage="1" errorTitle="Invlalid Data Entry" error="Please enter a positive number or press the delete key or enter zero." sqref="C26">
      <formula1>0</formula1>
    </dataValidation>
  </dataValidations>
  <hyperlinks>
    <hyperlink ref="H1" location="Contents!F1" display="Return to Contents page"/>
  </hyperlinks>
  <printOptions horizontalCentered="1"/>
  <pageMargins left="0.25" right="0.25" top="0.5" bottom="0.5" header="0.5" footer="0.5"/>
  <pageSetup orientation="portrait" blackAndWhite="1" r:id="rId1"/>
  <headerFooter alignWithMargins="0">
    <oddFooter>&amp;L&amp;D     &amp;T&amp;CCode No. 84</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4" tint="0.39997558519241921"/>
    <pageSetUpPr fitToPage="1"/>
  </sheetPr>
  <dimension ref="A1:M307"/>
  <sheetViews>
    <sheetView workbookViewId="0">
      <selection activeCell="C9" sqref="C9"/>
    </sheetView>
  </sheetViews>
  <sheetFormatPr defaultColWidth="9.42578125" defaultRowHeight="12" customHeight="1"/>
  <cols>
    <col min="1" max="1" width="40.28515625" style="2315" customWidth="1"/>
    <col min="2" max="2" width="5.85546875" style="2351" customWidth="1"/>
    <col min="3" max="3" width="14.7109375" style="2309" customWidth="1"/>
    <col min="4" max="4" width="13.140625" style="2309" customWidth="1"/>
    <col min="5" max="5" width="13.7109375" style="2309" customWidth="1"/>
    <col min="6" max="6" width="14" style="2309" customWidth="1"/>
    <col min="7" max="7" width="3.140625" style="2309" customWidth="1"/>
    <col min="8" max="8" width="20.85546875" style="2309" customWidth="1"/>
    <col min="9" max="16384" width="9.42578125" style="2309"/>
  </cols>
  <sheetData>
    <row r="1" spans="1:13" ht="12" customHeight="1">
      <c r="A1" s="2306" t="s">
        <v>987</v>
      </c>
      <c r="B1" s="2307">
        <f>OPEN!$B$4</f>
        <v>270</v>
      </c>
      <c r="C1" s="2308"/>
      <c r="D1" s="2308"/>
      <c r="E1" s="2308"/>
      <c r="F1" s="2306" t="s">
        <v>1020</v>
      </c>
      <c r="H1" s="3013" t="s">
        <v>866</v>
      </c>
    </row>
    <row r="2" spans="1:13" ht="12" customHeight="1">
      <c r="A2" s="2308"/>
      <c r="B2" s="2310"/>
      <c r="C2" s="2308"/>
      <c r="D2" s="2308"/>
      <c r="E2" s="2308"/>
      <c r="F2" s="2306" t="s">
        <v>1212</v>
      </c>
    </row>
    <row r="3" spans="1:13" ht="12" customHeight="1">
      <c r="A3" s="2308"/>
      <c r="B3" s="2310"/>
      <c r="C3" s="2308"/>
      <c r="D3" s="2308"/>
      <c r="E3" s="2308"/>
      <c r="F3" s="2306" t="str">
        <f>OPEN!N2</f>
        <v>2016-2017</v>
      </c>
    </row>
    <row r="4" spans="1:13" ht="12" customHeight="1">
      <c r="A4" s="2308"/>
      <c r="B4" s="2310"/>
      <c r="C4" s="2308"/>
      <c r="D4" s="2308"/>
      <c r="E4" s="2308"/>
      <c r="F4" s="2308"/>
    </row>
    <row r="5" spans="1:13" ht="12.75" customHeight="1">
      <c r="A5" s="2308"/>
      <c r="B5" s="2310"/>
      <c r="C5" s="2311" t="s">
        <v>1213</v>
      </c>
      <c r="D5" s="2311" t="s">
        <v>1213</v>
      </c>
      <c r="E5" s="2311" t="s">
        <v>1213</v>
      </c>
      <c r="F5" s="2311" t="s">
        <v>10</v>
      </c>
    </row>
    <row r="6" spans="1:13" ht="13.5" customHeight="1">
      <c r="A6" s="2312" t="str">
        <f>OPEN!S51</f>
        <v>RECREATION COMMISSION EMPLOYEE</v>
      </c>
      <c r="B6" s="2313" t="s">
        <v>1045</v>
      </c>
      <c r="C6" s="2314" t="str">
        <f>OPEN!N4</f>
        <v>2014-2015</v>
      </c>
      <c r="D6" s="2314" t="str">
        <f>OPEN!O4</f>
        <v>2015-2016</v>
      </c>
      <c r="E6" s="2314" t="str">
        <f>OPEN!P4</f>
        <v>2016-2017</v>
      </c>
      <c r="F6" s="2314" t="s">
        <v>758</v>
      </c>
      <c r="K6" s="2315"/>
      <c r="L6" s="2315"/>
      <c r="M6" s="2315"/>
    </row>
    <row r="7" spans="1:13" ht="12" customHeight="1">
      <c r="A7" s="2312" t="str">
        <f>OPEN!S52</f>
        <v>BENEFITS &amp; SPECIAL LIABILITY</v>
      </c>
      <c r="B7" s="2316">
        <v>86</v>
      </c>
      <c r="C7" s="2317" t="s">
        <v>1139</v>
      </c>
      <c r="D7" s="2317" t="s">
        <v>1139</v>
      </c>
      <c r="E7" s="2317" t="s">
        <v>1215</v>
      </c>
      <c r="F7" s="2317" t="s">
        <v>16</v>
      </c>
    </row>
    <row r="8" spans="1:13" ht="12" customHeight="1">
      <c r="A8" s="2318"/>
      <c r="B8" s="2319" t="s">
        <v>1051</v>
      </c>
      <c r="C8" s="2320">
        <v>1</v>
      </c>
      <c r="D8" s="2320">
        <v>2</v>
      </c>
      <c r="E8" s="2320">
        <v>3</v>
      </c>
      <c r="F8" s="2320">
        <v>4</v>
      </c>
    </row>
    <row r="9" spans="1:13" ht="12" customHeight="1">
      <c r="A9" s="2321" t="s">
        <v>1218</v>
      </c>
      <c r="B9" s="2319">
        <v>1</v>
      </c>
      <c r="C9" s="2322"/>
      <c r="D9" s="2323">
        <f>C36</f>
        <v>0</v>
      </c>
      <c r="E9" s="2323">
        <f>D36</f>
        <v>0</v>
      </c>
      <c r="F9" s="2324">
        <f>E9</f>
        <v>0</v>
      </c>
    </row>
    <row r="10" spans="1:13" ht="12" customHeight="1">
      <c r="A10" s="2325" t="s">
        <v>1403</v>
      </c>
      <c r="B10" s="2316">
        <v>3</v>
      </c>
      <c r="C10" s="2326"/>
      <c r="D10" s="2326"/>
      <c r="E10" s="2327"/>
      <c r="F10" s="2327"/>
    </row>
    <row r="11" spans="1:13" ht="12" customHeight="1">
      <c r="A11" s="2328" t="s">
        <v>19</v>
      </c>
      <c r="B11" s="2313"/>
      <c r="C11" s="2329"/>
      <c r="D11" s="2329"/>
      <c r="E11" s="2327"/>
      <c r="F11" s="2327"/>
    </row>
    <row r="12" spans="1:13" ht="12" customHeight="1">
      <c r="A12" s="2325" t="s">
        <v>816</v>
      </c>
      <c r="B12" s="2316"/>
      <c r="C12" s="2327"/>
      <c r="D12" s="2327"/>
      <c r="E12" s="2327"/>
      <c r="F12" s="2327"/>
    </row>
    <row r="13" spans="1:13" ht="12" customHeight="1">
      <c r="A13" s="2325" t="s">
        <v>817</v>
      </c>
      <c r="B13" s="2316"/>
      <c r="C13" s="2327"/>
      <c r="D13" s="2327"/>
      <c r="E13" s="2327"/>
      <c r="F13" s="2327"/>
    </row>
    <row r="14" spans="1:13" ht="12" customHeight="1">
      <c r="A14" s="2321" t="str">
        <f>OPEN!N8</f>
        <v xml:space="preserve">    2013  $</v>
      </c>
      <c r="B14" s="2319">
        <v>5</v>
      </c>
      <c r="C14" s="2322"/>
      <c r="D14" s="2327"/>
      <c r="E14" s="2327"/>
      <c r="F14" s="2327"/>
    </row>
    <row r="15" spans="1:13" ht="12" customHeight="1">
      <c r="A15" s="2330" t="str">
        <f>OPEN!N9</f>
        <v xml:space="preserve">    2014  $</v>
      </c>
      <c r="B15" s="2331">
        <v>10</v>
      </c>
      <c r="C15" s="2332"/>
      <c r="D15" s="2322"/>
      <c r="E15" s="2327"/>
      <c r="F15" s="2327"/>
    </row>
    <row r="16" spans="1:13" ht="12" customHeight="1">
      <c r="A16" s="2321" t="str">
        <f>OPEN!N10</f>
        <v xml:space="preserve">    2015  $</v>
      </c>
      <c r="B16" s="2319">
        <v>15</v>
      </c>
      <c r="C16" s="2329"/>
      <c r="D16" s="2323">
        <f>'C04'!$E$25</f>
        <v>0</v>
      </c>
      <c r="E16" s="2323">
        <f>'F110'!$G$172</f>
        <v>0</v>
      </c>
      <c r="F16" s="2323">
        <f>E16</f>
        <v>0</v>
      </c>
      <c r="I16" s="4118"/>
    </row>
    <row r="17" spans="1:6" ht="12" customHeight="1">
      <c r="A17" s="2330" t="str">
        <f>OPEN!O11</f>
        <v xml:space="preserve">    2016* $</v>
      </c>
      <c r="B17" s="2331">
        <v>20</v>
      </c>
      <c r="C17" s="2327"/>
      <c r="D17" s="2329"/>
      <c r="E17" s="2324">
        <f>'C04'!$L$25</f>
        <v>0</v>
      </c>
      <c r="F17" s="2329"/>
    </row>
    <row r="18" spans="1:6" ht="12" customHeight="1">
      <c r="A18" s="2330" t="s">
        <v>1876</v>
      </c>
      <c r="B18" s="2331">
        <v>25</v>
      </c>
      <c r="C18" s="2322"/>
      <c r="D18" s="4132"/>
      <c r="E18" s="2323">
        <f>0.667*F18</f>
        <v>0</v>
      </c>
      <c r="F18" s="3376">
        <f>'F110'!$G$176</f>
        <v>0</v>
      </c>
    </row>
    <row r="19" spans="1:6" ht="12" customHeight="1">
      <c r="A19" s="2330" t="s">
        <v>821</v>
      </c>
      <c r="B19" s="2331">
        <v>30</v>
      </c>
      <c r="C19" s="2332"/>
      <c r="D19" s="2332"/>
      <c r="E19" s="2322"/>
      <c r="F19" s="2324">
        <f>E19</f>
        <v>0</v>
      </c>
    </row>
    <row r="20" spans="1:6" ht="12" customHeight="1">
      <c r="A20" s="2321" t="s">
        <v>820</v>
      </c>
      <c r="B20" s="2319">
        <v>35</v>
      </c>
      <c r="C20" s="2329"/>
      <c r="D20" s="2329"/>
      <c r="E20" s="2329"/>
      <c r="F20" s="2322"/>
    </row>
    <row r="21" spans="1:6" ht="12" customHeight="1">
      <c r="A21" s="2328" t="s">
        <v>822</v>
      </c>
      <c r="B21" s="2313"/>
      <c r="C21" s="2327"/>
      <c r="D21" s="2327"/>
      <c r="E21" s="2327"/>
      <c r="F21" s="2329"/>
    </row>
    <row r="22" spans="1:6" ht="12" customHeight="1">
      <c r="A22" s="2321" t="s">
        <v>289</v>
      </c>
      <c r="B22" s="2319">
        <v>45</v>
      </c>
      <c r="C22" s="2322"/>
      <c r="D22" s="2322"/>
      <c r="E22" s="2323">
        <f>IF(ISERROR('F194'!$H$84+'F194'!$H$26+'F194'!$P$84+'F194'!$P$26),0,('F194'!$H$84+'F194'!$H$26+'F194'!$P$84+'F194'!$P$26))</f>
        <v>0</v>
      </c>
      <c r="F22" s="2323">
        <f>E22</f>
        <v>0</v>
      </c>
    </row>
    <row r="23" spans="1:6" ht="12" customHeight="1">
      <c r="A23" s="2330" t="s">
        <v>820</v>
      </c>
      <c r="B23" s="2331">
        <v>50</v>
      </c>
      <c r="C23" s="2329"/>
      <c r="D23" s="2329"/>
      <c r="E23" s="2329"/>
      <c r="F23" s="2324">
        <f>F22*0.5</f>
        <v>0</v>
      </c>
    </row>
    <row r="24" spans="1:6" ht="12" customHeight="1">
      <c r="A24" s="2321" t="s">
        <v>31</v>
      </c>
      <c r="B24" s="2319">
        <v>55</v>
      </c>
      <c r="C24" s="2322"/>
      <c r="D24" s="2322"/>
      <c r="E24" s="2323">
        <f>IF(ISERROR('F194'!$L$84+'F194'!$L$26),0,('F194'!$L$84+'F194'!$L$26))</f>
        <v>0</v>
      </c>
      <c r="F24" s="2324">
        <f>E24</f>
        <v>0</v>
      </c>
    </row>
    <row r="25" spans="1:6" ht="12" customHeight="1">
      <c r="A25" s="2321" t="s">
        <v>32</v>
      </c>
      <c r="B25" s="2319">
        <v>56</v>
      </c>
      <c r="C25" s="2327"/>
      <c r="D25" s="2327"/>
      <c r="E25" s="2327"/>
      <c r="F25" s="2324">
        <f>F24*0.5</f>
        <v>0</v>
      </c>
    </row>
    <row r="26" spans="1:6" ht="12" customHeight="1">
      <c r="A26" s="5153" t="s">
        <v>1871</v>
      </c>
      <c r="B26" s="5154">
        <v>57</v>
      </c>
      <c r="C26" s="4246"/>
      <c r="D26" s="4246"/>
      <c r="E26" s="2323">
        <f>IF(ISERROR('F194'!$R$26+'F194'!$R$84),0,('F194'!$R$26+'F194'!$R$84))</f>
        <v>0</v>
      </c>
      <c r="F26" s="2324">
        <f>E26</f>
        <v>0</v>
      </c>
    </row>
    <row r="27" spans="1:6" ht="12" customHeight="1">
      <c r="A27" s="5153" t="s">
        <v>32</v>
      </c>
      <c r="B27" s="5154">
        <v>58</v>
      </c>
      <c r="C27" s="2327"/>
      <c r="D27" s="2327"/>
      <c r="E27" s="5155"/>
      <c r="F27" s="2324">
        <f>F26*0.5</f>
        <v>0</v>
      </c>
    </row>
    <row r="28" spans="1:6" ht="12" customHeight="1">
      <c r="A28" s="2321" t="s">
        <v>1939</v>
      </c>
      <c r="B28" s="2319">
        <v>60</v>
      </c>
      <c r="C28" s="2326"/>
      <c r="D28" s="2326"/>
      <c r="E28" s="2323">
        <f>IF(ISERROR('F194'!$N$26+'F194'!$N$84),0,('F194'!$N$26+'F194'!$N$84))</f>
        <v>0</v>
      </c>
      <c r="F28" s="2324">
        <f>E28</f>
        <v>0</v>
      </c>
    </row>
    <row r="29" spans="1:6" ht="12" customHeight="1">
      <c r="A29" s="2337" t="s">
        <v>820</v>
      </c>
      <c r="B29" s="3410">
        <v>65</v>
      </c>
      <c r="C29" s="2335"/>
      <c r="D29" s="3375"/>
      <c r="E29" s="3375"/>
      <c r="F29" s="2324">
        <f>F28*0.5</f>
        <v>0</v>
      </c>
    </row>
    <row r="30" spans="1:6" ht="12" customHeight="1">
      <c r="A30" s="2336" t="s">
        <v>52</v>
      </c>
      <c r="B30" s="3411">
        <v>70</v>
      </c>
      <c r="C30" s="2323">
        <f>SUM(C9:C29)</f>
        <v>0</v>
      </c>
      <c r="D30" s="3376">
        <f>SUM(D9:D29)</f>
        <v>0</v>
      </c>
      <c r="E30" s="3376">
        <f>SUM(E9:E29)</f>
        <v>0</v>
      </c>
      <c r="F30" s="2323">
        <f>SUM(F9:F29)</f>
        <v>0</v>
      </c>
    </row>
    <row r="31" spans="1:6" ht="12" customHeight="1">
      <c r="A31" s="2337" t="s">
        <v>874</v>
      </c>
      <c r="B31" s="2314"/>
      <c r="C31" s="2327"/>
      <c r="D31" s="2327"/>
      <c r="E31" s="2329"/>
      <c r="F31" s="2329"/>
    </row>
    <row r="32" spans="1:6" ht="12" customHeight="1">
      <c r="A32" s="2338" t="s">
        <v>913</v>
      </c>
      <c r="B32" s="2339">
        <v>75</v>
      </c>
      <c r="C32" s="2326"/>
      <c r="D32" s="2326"/>
      <c r="E32" s="2326"/>
      <c r="F32" s="2327"/>
    </row>
    <row r="33" spans="1:9" ht="12" customHeight="1">
      <c r="A33" s="2333" t="s">
        <v>914</v>
      </c>
      <c r="B33" s="2334">
        <v>175</v>
      </c>
      <c r="C33" s="2324">
        <f>SUM(C31:C32)</f>
        <v>0</v>
      </c>
      <c r="D33" s="2324">
        <f>SUM(D31:D32)</f>
        <v>0</v>
      </c>
      <c r="E33" s="2324">
        <f>SUM(E31:E32)</f>
        <v>0</v>
      </c>
      <c r="F33" s="2323">
        <f>E33</f>
        <v>0</v>
      </c>
    </row>
    <row r="34" spans="1:9" ht="12" customHeight="1">
      <c r="A34" s="2338" t="s">
        <v>32</v>
      </c>
      <c r="B34" s="2339">
        <v>180</v>
      </c>
      <c r="C34" s="2340" t="s">
        <v>51</v>
      </c>
      <c r="D34" s="2340" t="s">
        <v>51</v>
      </c>
      <c r="E34" s="2340" t="s">
        <v>1189</v>
      </c>
      <c r="F34" s="2332"/>
    </row>
    <row r="35" spans="1:9" ht="12" customHeight="1">
      <c r="A35" s="2341" t="s">
        <v>915</v>
      </c>
      <c r="B35" s="2342">
        <v>185</v>
      </c>
      <c r="C35" s="2340" t="s">
        <v>51</v>
      </c>
      <c r="D35" s="2340" t="s">
        <v>51</v>
      </c>
      <c r="E35" s="2340" t="s">
        <v>1189</v>
      </c>
      <c r="F35" s="2324">
        <f>SUM(F33:F34)</f>
        <v>0</v>
      </c>
    </row>
    <row r="36" spans="1:9" ht="12" customHeight="1">
      <c r="A36" s="2338" t="s">
        <v>916</v>
      </c>
      <c r="B36" s="2339">
        <v>190</v>
      </c>
      <c r="C36" s="2323">
        <f>SUM(C30-C33)</f>
        <v>0</v>
      </c>
      <c r="D36" s="2323">
        <f>SUM(D30-D33)</f>
        <v>0</v>
      </c>
      <c r="E36" s="2323">
        <f>SUM(E30-E33)</f>
        <v>0</v>
      </c>
      <c r="F36" s="2340" t="s">
        <v>1431</v>
      </c>
    </row>
    <row r="37" spans="1:9" ht="12" customHeight="1">
      <c r="A37" s="2343" t="s">
        <v>908</v>
      </c>
      <c r="B37" s="2334">
        <v>195</v>
      </c>
      <c r="C37" s="2344" t="s">
        <v>768</v>
      </c>
      <c r="D37" s="2345"/>
      <c r="E37" s="2346"/>
      <c r="F37" s="2324">
        <f>SUM(F35-F30)</f>
        <v>0</v>
      </c>
      <c r="H37" s="4256" t="str">
        <f>IF(F37&lt;0,"&lt;--Line 195 should NOT be negative - increase resources or decrease expenditures","")</f>
        <v/>
      </c>
    </row>
    <row r="38" spans="1:9" ht="12" customHeight="1">
      <c r="A38" s="2347" t="s">
        <v>908</v>
      </c>
      <c r="B38" s="2339">
        <v>200</v>
      </c>
      <c r="C38" s="2344" t="s">
        <v>763</v>
      </c>
      <c r="D38" s="2345"/>
      <c r="E38" s="2346"/>
      <c r="F38" s="2324">
        <f>F37*'C01'!$F$119/100</f>
        <v>0</v>
      </c>
    </row>
    <row r="39" spans="1:9" ht="12" customHeight="1">
      <c r="A39" s="2343"/>
      <c r="B39" s="2334">
        <v>205</v>
      </c>
      <c r="C39" s="2344" t="str">
        <f>OPEN!N6</f>
        <v>Amount of 2016 Tax to be Levied</v>
      </c>
      <c r="D39" s="2345"/>
      <c r="E39" s="2346"/>
      <c r="F39" s="2324">
        <f>SUM(F37:F38)</f>
        <v>0</v>
      </c>
      <c r="H39" s="3198" t="s">
        <v>398</v>
      </c>
      <c r="I39" s="3200">
        <f>IF(ISERROR(F39/OPEN!N56*1000),"Check errors below",F39/OPEN!N56*1000)</f>
        <v>0</v>
      </c>
    </row>
    <row r="40" spans="1:9" ht="12" customHeight="1">
      <c r="A40" s="2347"/>
      <c r="B40" s="2792"/>
      <c r="C40" s="2308"/>
      <c r="D40" s="2308"/>
      <c r="E40" s="2308"/>
      <c r="F40" s="2308"/>
      <c r="H40" s="3199" t="str">
        <f>OPEN!N40</f>
        <v/>
      </c>
      <c r="I40" s="2308"/>
    </row>
    <row r="41" spans="1:9" ht="12" customHeight="1">
      <c r="A41" s="2343" t="s">
        <v>919</v>
      </c>
      <c r="B41" s="2348"/>
      <c r="C41" s="2308"/>
      <c r="D41" s="2308"/>
      <c r="E41" s="2308"/>
      <c r="F41" s="2308"/>
    </row>
    <row r="42" spans="1:9" ht="12" customHeight="1">
      <c r="A42" s="2343"/>
      <c r="B42" s="2792" t="s">
        <v>1364</v>
      </c>
      <c r="C42" s="2308"/>
      <c r="D42" s="2308"/>
      <c r="E42" s="2308"/>
      <c r="F42" s="2308"/>
    </row>
    <row r="43" spans="1:9" ht="12" customHeight="1">
      <c r="A43" s="2343"/>
      <c r="B43" s="2348"/>
      <c r="C43" s="2308"/>
      <c r="D43" s="2308"/>
      <c r="E43" s="2308"/>
      <c r="F43" s="2308"/>
    </row>
    <row r="44" spans="1:9" ht="12" customHeight="1">
      <c r="A44" s="2308"/>
      <c r="B44" s="2311"/>
      <c r="C44" s="2308"/>
      <c r="D44" s="2308"/>
      <c r="E44" s="2308"/>
      <c r="F44" s="4255" t="str">
        <f>IF(F37&lt;0,"ERROR:  Line 195 Neg.","")</f>
        <v/>
      </c>
    </row>
    <row r="45" spans="1:9" ht="12" customHeight="1">
      <c r="A45" s="2308"/>
      <c r="B45" s="2311"/>
      <c r="C45" s="2308"/>
      <c r="D45" s="2308"/>
      <c r="E45" s="2308"/>
      <c r="F45" s="2308"/>
    </row>
    <row r="46" spans="1:9" ht="12" customHeight="1">
      <c r="A46" s="2308"/>
      <c r="B46" s="2311"/>
      <c r="C46" s="2308"/>
      <c r="D46" s="2308"/>
      <c r="E46" s="2308"/>
      <c r="F46" s="2308"/>
    </row>
    <row r="47" spans="1:9" ht="12" customHeight="1">
      <c r="A47" s="2308"/>
      <c r="B47" s="2311"/>
      <c r="C47" s="2308"/>
      <c r="D47" s="2308"/>
      <c r="E47" s="2308"/>
      <c r="F47" s="2308"/>
    </row>
    <row r="48" spans="1:9" ht="12" customHeight="1">
      <c r="A48" s="2308"/>
      <c r="B48" s="2311"/>
      <c r="C48" s="2308"/>
      <c r="D48" s="2308"/>
      <c r="E48" s="2308"/>
      <c r="F48" s="2308"/>
    </row>
    <row r="49" spans="1:6" ht="12" customHeight="1">
      <c r="A49" s="2308"/>
      <c r="B49" s="2311"/>
      <c r="C49" s="2308"/>
      <c r="D49" s="2308"/>
      <c r="E49" s="2308"/>
      <c r="F49" s="2308"/>
    </row>
    <row r="50" spans="1:6" ht="12" customHeight="1">
      <c r="A50" s="2308"/>
      <c r="B50" s="2311"/>
      <c r="C50" s="2308"/>
      <c r="D50" s="2308"/>
      <c r="E50" s="2308"/>
      <c r="F50" s="2308"/>
    </row>
    <row r="51" spans="1:6" ht="12" customHeight="1">
      <c r="A51" s="2308"/>
      <c r="B51" s="2311"/>
      <c r="C51" s="2308"/>
      <c r="D51" s="2308"/>
      <c r="E51" s="2308"/>
      <c r="F51" s="2308"/>
    </row>
    <row r="52" spans="1:6" ht="12" customHeight="1">
      <c r="A52" s="2308"/>
      <c r="B52" s="2311"/>
      <c r="C52" s="2308"/>
      <c r="D52" s="2308"/>
      <c r="E52" s="2308"/>
      <c r="F52" s="2308"/>
    </row>
    <row r="53" spans="1:6" ht="12" customHeight="1">
      <c r="A53" s="2308"/>
      <c r="B53" s="2311"/>
      <c r="C53" s="2308"/>
      <c r="D53" s="2308"/>
      <c r="E53" s="2308"/>
      <c r="F53" s="2308"/>
    </row>
    <row r="54" spans="1:6" ht="12" customHeight="1">
      <c r="A54" s="2308"/>
      <c r="B54" s="2311"/>
      <c r="C54" s="2308"/>
      <c r="D54" s="2308"/>
      <c r="E54" s="2308"/>
      <c r="F54" s="2308"/>
    </row>
    <row r="55" spans="1:6" ht="12" customHeight="1">
      <c r="A55" s="2308"/>
      <c r="B55" s="2311"/>
      <c r="C55" s="2308"/>
      <c r="D55" s="2308"/>
      <c r="E55" s="2308"/>
      <c r="F55" s="2308"/>
    </row>
    <row r="56" spans="1:6" ht="14.25" customHeight="1">
      <c r="A56" s="2308"/>
      <c r="B56" s="2311"/>
      <c r="C56" s="2308"/>
      <c r="D56" s="2308"/>
      <c r="E56" s="2308"/>
      <c r="F56" s="2308"/>
    </row>
    <row r="57" spans="1:6" ht="12" customHeight="1">
      <c r="A57" s="2308"/>
      <c r="B57" s="2311"/>
      <c r="C57" s="2308"/>
      <c r="D57" s="2308"/>
      <c r="E57" s="2308"/>
      <c r="F57" s="2308"/>
    </row>
    <row r="58" spans="1:6" ht="12.75" customHeight="1">
      <c r="A58" s="2308"/>
      <c r="B58" s="2311"/>
      <c r="C58" s="2308"/>
      <c r="D58" s="2308"/>
      <c r="E58" s="2308"/>
      <c r="F58" s="2308"/>
    </row>
    <row r="59" spans="1:6" ht="12" customHeight="1">
      <c r="A59" s="2308"/>
      <c r="B59" s="2311"/>
      <c r="C59" s="2308"/>
      <c r="D59" s="2308"/>
      <c r="E59" s="2308"/>
      <c r="F59" s="2308"/>
    </row>
    <row r="60" spans="1:6" ht="12" customHeight="1">
      <c r="A60" s="2349"/>
      <c r="B60" s="2349"/>
      <c r="C60" s="2349"/>
      <c r="D60" s="2349"/>
      <c r="E60" s="2349"/>
      <c r="F60" s="2349"/>
    </row>
    <row r="61" spans="1:6" ht="12" customHeight="1">
      <c r="A61" s="2308"/>
      <c r="B61" s="2311"/>
      <c r="C61" s="2350"/>
      <c r="D61" s="2350"/>
      <c r="E61" s="2350"/>
      <c r="F61" s="2350"/>
    </row>
    <row r="62" spans="1:6" ht="12" customHeight="1">
      <c r="A62" s="2308"/>
      <c r="B62" s="2311"/>
      <c r="C62" s="2350"/>
      <c r="D62" s="2350"/>
      <c r="E62" s="2350"/>
      <c r="F62" s="2350"/>
    </row>
    <row r="63" spans="1:6" ht="12" customHeight="1">
      <c r="A63" s="2308"/>
      <c r="B63" s="2311"/>
      <c r="C63" s="2350"/>
      <c r="D63" s="2350"/>
      <c r="E63" s="2350"/>
      <c r="F63" s="2350"/>
    </row>
    <row r="64" spans="1:6" ht="12" customHeight="1">
      <c r="A64" s="2308"/>
      <c r="B64" s="2311"/>
      <c r="C64" s="2350"/>
      <c r="D64" s="2350"/>
      <c r="E64" s="2350"/>
      <c r="F64" s="2350"/>
    </row>
    <row r="65" spans="1:6" ht="12" customHeight="1">
      <c r="A65" s="2308"/>
      <c r="B65" s="2311"/>
      <c r="C65" s="2350"/>
      <c r="D65" s="2350"/>
      <c r="E65" s="2350"/>
      <c r="F65" s="2350"/>
    </row>
    <row r="66" spans="1:6" ht="12" customHeight="1">
      <c r="A66" s="2308"/>
      <c r="B66" s="2311"/>
      <c r="C66" s="2350"/>
      <c r="D66" s="2350"/>
      <c r="E66" s="2350"/>
      <c r="F66" s="2350"/>
    </row>
    <row r="67" spans="1:6" ht="12" customHeight="1">
      <c r="A67" s="2308"/>
      <c r="B67" s="2311"/>
      <c r="C67" s="2350"/>
      <c r="D67" s="2350"/>
      <c r="E67" s="2350"/>
      <c r="F67" s="2350"/>
    </row>
    <row r="68" spans="1:6" ht="12" customHeight="1">
      <c r="A68" s="2308"/>
      <c r="B68" s="2311"/>
      <c r="C68" s="2350"/>
      <c r="D68" s="2350"/>
      <c r="E68" s="2350"/>
      <c r="F68" s="2350"/>
    </row>
    <row r="69" spans="1:6" ht="12" customHeight="1">
      <c r="A69" s="2308"/>
      <c r="B69" s="2311"/>
      <c r="C69" s="2350"/>
      <c r="D69" s="2350"/>
      <c r="E69" s="2350"/>
      <c r="F69" s="2350"/>
    </row>
    <row r="70" spans="1:6" ht="12" customHeight="1">
      <c r="A70" s="2308"/>
      <c r="B70" s="2311"/>
      <c r="C70" s="2350"/>
      <c r="D70" s="2350"/>
      <c r="E70" s="2350"/>
      <c r="F70" s="2350"/>
    </row>
    <row r="71" spans="1:6" ht="12" customHeight="1">
      <c r="A71" s="2308"/>
      <c r="B71" s="2311"/>
      <c r="C71" s="2350"/>
      <c r="D71" s="2350"/>
      <c r="E71" s="2350"/>
      <c r="F71" s="2350"/>
    </row>
    <row r="72" spans="1:6" ht="12" customHeight="1">
      <c r="A72" s="2308"/>
      <c r="B72" s="2311"/>
      <c r="C72" s="2350"/>
      <c r="D72" s="2350"/>
      <c r="E72" s="2350"/>
      <c r="F72" s="2350"/>
    </row>
    <row r="73" spans="1:6" ht="12" customHeight="1">
      <c r="A73" s="2308"/>
      <c r="B73" s="2311"/>
      <c r="C73" s="2350"/>
      <c r="D73" s="2350"/>
      <c r="E73" s="2350"/>
      <c r="F73" s="2350"/>
    </row>
    <row r="74" spans="1:6" ht="12" customHeight="1">
      <c r="A74" s="2308"/>
      <c r="B74" s="2311"/>
      <c r="C74" s="2350"/>
      <c r="D74" s="2350"/>
      <c r="E74" s="2350"/>
      <c r="F74" s="2350"/>
    </row>
    <row r="75" spans="1:6" ht="12" customHeight="1">
      <c r="A75" s="2308"/>
      <c r="B75" s="2311"/>
      <c r="C75" s="2350"/>
      <c r="D75" s="2350"/>
      <c r="E75" s="2350"/>
      <c r="F75" s="2350"/>
    </row>
    <row r="76" spans="1:6" ht="12" customHeight="1">
      <c r="A76" s="2308"/>
      <c r="B76" s="2311"/>
      <c r="C76" s="2350"/>
      <c r="D76" s="2350"/>
      <c r="E76" s="2350"/>
      <c r="F76" s="2350"/>
    </row>
    <row r="77" spans="1:6" ht="12" customHeight="1">
      <c r="A77" s="2308"/>
      <c r="B77" s="2311"/>
      <c r="C77" s="2350"/>
      <c r="D77" s="2350"/>
      <c r="E77" s="2350"/>
      <c r="F77" s="2350"/>
    </row>
    <row r="78" spans="1:6" ht="12" customHeight="1">
      <c r="A78" s="2308"/>
      <c r="B78" s="2311"/>
      <c r="C78" s="2350"/>
      <c r="D78" s="2350"/>
      <c r="E78" s="2350"/>
      <c r="F78" s="2350"/>
    </row>
    <row r="79" spans="1:6" ht="12" customHeight="1">
      <c r="A79" s="2308"/>
      <c r="B79" s="2311"/>
      <c r="C79" s="2350"/>
      <c r="D79" s="2350"/>
      <c r="E79" s="2350"/>
      <c r="F79" s="2350"/>
    </row>
    <row r="80" spans="1:6" ht="12" customHeight="1">
      <c r="A80" s="2308"/>
      <c r="B80" s="2311"/>
      <c r="C80" s="2350"/>
      <c r="D80" s="2350"/>
      <c r="E80" s="2350"/>
      <c r="F80" s="2350"/>
    </row>
    <row r="81" spans="1:6" ht="12" customHeight="1">
      <c r="A81" s="2308"/>
      <c r="B81" s="2311"/>
      <c r="C81" s="2350"/>
      <c r="D81" s="2350"/>
      <c r="E81" s="2350"/>
      <c r="F81" s="2350"/>
    </row>
    <row r="82" spans="1:6" ht="12" customHeight="1">
      <c r="A82" s="2308"/>
      <c r="B82" s="2311"/>
      <c r="C82" s="2350"/>
      <c r="D82" s="2350"/>
      <c r="E82" s="2350"/>
      <c r="F82" s="2350"/>
    </row>
    <row r="83" spans="1:6" ht="12" customHeight="1">
      <c r="A83" s="2308"/>
      <c r="B83" s="2311"/>
      <c r="C83" s="2350"/>
      <c r="D83" s="2350"/>
      <c r="E83" s="2350"/>
      <c r="F83" s="2350"/>
    </row>
    <row r="84" spans="1:6" ht="12" customHeight="1">
      <c r="A84" s="2308"/>
      <c r="B84" s="2311"/>
      <c r="C84" s="2350"/>
      <c r="D84" s="2350"/>
      <c r="E84" s="2350"/>
      <c r="F84" s="2350"/>
    </row>
    <row r="85" spans="1:6" ht="12" customHeight="1">
      <c r="A85" s="2308"/>
      <c r="B85" s="2311"/>
      <c r="C85" s="2350"/>
      <c r="D85" s="2350"/>
      <c r="E85" s="2350"/>
      <c r="F85" s="2350"/>
    </row>
    <row r="86" spans="1:6" ht="12" customHeight="1">
      <c r="A86" s="2308"/>
      <c r="B86" s="2311"/>
      <c r="C86" s="2350"/>
      <c r="D86" s="2350"/>
      <c r="E86" s="2350"/>
      <c r="F86" s="2350"/>
    </row>
    <row r="87" spans="1:6" ht="12" customHeight="1">
      <c r="A87" s="2308"/>
      <c r="B87" s="2311"/>
      <c r="C87" s="2350"/>
      <c r="D87" s="2350"/>
      <c r="E87" s="2350"/>
      <c r="F87" s="2350"/>
    </row>
    <row r="88" spans="1:6" ht="12" customHeight="1">
      <c r="A88" s="2308"/>
      <c r="B88" s="2311"/>
      <c r="C88" s="2350"/>
      <c r="D88" s="2350"/>
      <c r="E88" s="2350"/>
      <c r="F88" s="2350"/>
    </row>
    <row r="89" spans="1:6" ht="12" customHeight="1">
      <c r="A89" s="2308"/>
      <c r="B89" s="2311"/>
      <c r="C89" s="2350"/>
      <c r="D89" s="2350"/>
      <c r="E89" s="2350"/>
      <c r="F89" s="2350"/>
    </row>
    <row r="90" spans="1:6" ht="12" customHeight="1">
      <c r="A90" s="2308"/>
      <c r="B90" s="2311"/>
      <c r="C90" s="2350"/>
      <c r="D90" s="2350"/>
      <c r="E90" s="2350"/>
      <c r="F90" s="2350"/>
    </row>
    <row r="91" spans="1:6" ht="12" customHeight="1">
      <c r="A91" s="2308"/>
      <c r="B91" s="2311"/>
      <c r="C91" s="2350"/>
      <c r="D91" s="2350"/>
      <c r="E91" s="2350"/>
      <c r="F91" s="2350"/>
    </row>
    <row r="92" spans="1:6" ht="12" customHeight="1">
      <c r="A92" s="2308"/>
      <c r="B92" s="2311"/>
      <c r="C92" s="2350"/>
      <c r="D92" s="2350"/>
      <c r="E92" s="2350"/>
      <c r="F92" s="2350"/>
    </row>
    <row r="93" spans="1:6" ht="12" customHeight="1">
      <c r="A93" s="2308"/>
      <c r="B93" s="2311"/>
      <c r="C93" s="2350"/>
      <c r="D93" s="2350"/>
      <c r="E93" s="2350"/>
      <c r="F93" s="2350"/>
    </row>
    <row r="94" spans="1:6" ht="12" customHeight="1">
      <c r="A94" s="2308"/>
      <c r="B94" s="2311"/>
      <c r="C94" s="2350"/>
      <c r="D94" s="2350"/>
      <c r="E94" s="2350"/>
      <c r="F94" s="2350"/>
    </row>
    <row r="95" spans="1:6" ht="12" customHeight="1">
      <c r="A95" s="2308"/>
      <c r="B95" s="2311"/>
      <c r="C95" s="2350"/>
      <c r="D95" s="2350"/>
      <c r="E95" s="2350"/>
      <c r="F95" s="2350"/>
    </row>
    <row r="96" spans="1:6" ht="12" customHeight="1">
      <c r="A96" s="2308"/>
      <c r="B96" s="2311"/>
      <c r="C96" s="2350"/>
      <c r="D96" s="2350"/>
      <c r="E96" s="2350"/>
      <c r="F96" s="2350"/>
    </row>
    <row r="97" spans="1:6" ht="12" customHeight="1">
      <c r="A97" s="2308"/>
      <c r="B97" s="2311"/>
      <c r="C97" s="2350"/>
      <c r="D97" s="2350"/>
      <c r="E97" s="2350"/>
      <c r="F97" s="2350"/>
    </row>
    <row r="98" spans="1:6" ht="12" customHeight="1">
      <c r="A98" s="2308"/>
      <c r="B98" s="2311"/>
      <c r="C98" s="2350"/>
      <c r="D98" s="2350"/>
      <c r="E98" s="2350"/>
      <c r="F98" s="2350"/>
    </row>
    <row r="99" spans="1:6" ht="12" customHeight="1">
      <c r="A99" s="2308"/>
      <c r="B99" s="2311"/>
      <c r="C99" s="2350"/>
      <c r="D99" s="2350"/>
      <c r="E99" s="2350"/>
      <c r="F99" s="2350"/>
    </row>
    <row r="100" spans="1:6" ht="12" customHeight="1">
      <c r="A100" s="2308"/>
      <c r="B100" s="2311"/>
      <c r="C100" s="2350"/>
      <c r="D100" s="2350"/>
      <c r="E100" s="2350"/>
      <c r="F100" s="2350"/>
    </row>
    <row r="101" spans="1:6" ht="12" customHeight="1">
      <c r="A101" s="2308"/>
      <c r="B101" s="2311"/>
      <c r="C101" s="2350"/>
      <c r="D101" s="2350"/>
      <c r="E101" s="2350"/>
      <c r="F101" s="2350"/>
    </row>
    <row r="102" spans="1:6" ht="12" customHeight="1">
      <c r="A102" s="2308"/>
      <c r="B102" s="2311"/>
      <c r="C102" s="2350"/>
      <c r="D102" s="2350"/>
      <c r="E102" s="2350"/>
      <c r="F102" s="2350"/>
    </row>
    <row r="103" spans="1:6" ht="12" customHeight="1">
      <c r="A103" s="2308"/>
      <c r="B103" s="2311"/>
      <c r="C103" s="2350"/>
      <c r="D103" s="2350"/>
      <c r="E103" s="2350"/>
      <c r="F103" s="2350"/>
    </row>
    <row r="104" spans="1:6" ht="12" customHeight="1">
      <c r="A104" s="2308"/>
      <c r="B104" s="2311"/>
      <c r="C104" s="2350"/>
      <c r="D104" s="2350"/>
      <c r="E104" s="2350"/>
      <c r="F104" s="2350"/>
    </row>
    <row r="105" spans="1:6" ht="12" customHeight="1">
      <c r="A105" s="2308"/>
      <c r="B105" s="2311"/>
      <c r="C105" s="2350"/>
      <c r="D105" s="2350"/>
      <c r="E105" s="2350"/>
      <c r="F105" s="2350"/>
    </row>
    <row r="106" spans="1:6" ht="12" customHeight="1">
      <c r="A106" s="2308"/>
      <c r="B106" s="2311"/>
      <c r="C106" s="2350"/>
      <c r="D106" s="2350"/>
      <c r="E106" s="2350"/>
      <c r="F106" s="2350"/>
    </row>
    <row r="107" spans="1:6" ht="12" customHeight="1">
      <c r="A107" s="2308"/>
      <c r="B107" s="2311"/>
      <c r="C107" s="2350"/>
      <c r="D107" s="2350"/>
      <c r="E107" s="2350"/>
      <c r="F107" s="2350"/>
    </row>
    <row r="108" spans="1:6" ht="12" customHeight="1">
      <c r="A108" s="2308"/>
      <c r="B108" s="2311"/>
      <c r="C108" s="2350"/>
      <c r="D108" s="2350"/>
      <c r="E108" s="2350"/>
      <c r="F108" s="2350"/>
    </row>
    <row r="109" spans="1:6" ht="12" customHeight="1">
      <c r="A109" s="2308"/>
      <c r="B109" s="2311"/>
      <c r="C109" s="2350"/>
      <c r="D109" s="2350"/>
      <c r="E109" s="2350"/>
      <c r="F109" s="2350"/>
    </row>
    <row r="110" spans="1:6" ht="12" customHeight="1">
      <c r="A110" s="2308"/>
      <c r="B110" s="2311"/>
      <c r="C110" s="2350"/>
      <c r="D110" s="2350"/>
      <c r="E110" s="2350"/>
      <c r="F110" s="2350"/>
    </row>
    <row r="111" spans="1:6" ht="12" customHeight="1">
      <c r="A111" s="2308"/>
      <c r="B111" s="2311"/>
      <c r="C111" s="2350"/>
      <c r="D111" s="2350"/>
      <c r="E111" s="2350"/>
      <c r="F111" s="2350"/>
    </row>
    <row r="112" spans="1:6" ht="12" customHeight="1">
      <c r="A112" s="2308"/>
      <c r="B112" s="2311"/>
      <c r="C112" s="2350"/>
      <c r="D112" s="2350"/>
      <c r="E112" s="2350"/>
      <c r="F112" s="2350"/>
    </row>
    <row r="113" spans="1:6" ht="12" customHeight="1">
      <c r="A113" s="2308"/>
      <c r="B113" s="2311"/>
      <c r="C113" s="2350"/>
      <c r="D113" s="2350"/>
      <c r="E113" s="2350"/>
      <c r="F113" s="2350"/>
    </row>
    <row r="114" spans="1:6" ht="12" customHeight="1">
      <c r="A114" s="2308"/>
      <c r="B114" s="2311"/>
      <c r="C114" s="2350"/>
      <c r="D114" s="2350"/>
      <c r="E114" s="2350"/>
      <c r="F114" s="2350"/>
    </row>
    <row r="115" spans="1:6" ht="12" customHeight="1">
      <c r="A115" s="2308"/>
      <c r="B115" s="2311"/>
      <c r="C115" s="2350"/>
      <c r="D115" s="2350"/>
      <c r="E115" s="2350"/>
      <c r="F115" s="2350"/>
    </row>
    <row r="116" spans="1:6" ht="12" customHeight="1">
      <c r="A116" s="2308"/>
      <c r="B116" s="2311"/>
      <c r="C116" s="2350"/>
      <c r="D116" s="2350"/>
      <c r="E116" s="2350"/>
      <c r="F116" s="2350"/>
    </row>
    <row r="117" spans="1:6" ht="12" customHeight="1">
      <c r="A117" s="2308"/>
      <c r="B117" s="2311"/>
      <c r="C117" s="2350"/>
      <c r="D117" s="2350"/>
      <c r="E117" s="2350"/>
      <c r="F117" s="2350"/>
    </row>
    <row r="118" spans="1:6" ht="12" customHeight="1">
      <c r="A118" s="2308"/>
      <c r="B118" s="2311"/>
      <c r="C118" s="2350"/>
      <c r="D118" s="2350"/>
      <c r="E118" s="2350"/>
      <c r="F118" s="2350"/>
    </row>
    <row r="119" spans="1:6" ht="12" customHeight="1">
      <c r="A119" s="2308"/>
      <c r="B119" s="2311"/>
      <c r="C119" s="2350"/>
      <c r="D119" s="2350"/>
      <c r="E119" s="2350"/>
      <c r="F119" s="2350"/>
    </row>
    <row r="120" spans="1:6" ht="5.0999999999999996" customHeight="1">
      <c r="A120" s="2308"/>
      <c r="B120" s="2311"/>
      <c r="C120" s="2350"/>
      <c r="D120" s="2350"/>
      <c r="E120" s="2350"/>
      <c r="F120" s="2350"/>
    </row>
    <row r="121" spans="1:6" ht="12" customHeight="1">
      <c r="A121" s="2308"/>
      <c r="B121" s="2311"/>
      <c r="C121" s="2350"/>
      <c r="D121" s="2350"/>
      <c r="E121" s="2350"/>
      <c r="F121" s="2350"/>
    </row>
    <row r="122" spans="1:6" ht="12" customHeight="1">
      <c r="A122" s="2308"/>
      <c r="B122" s="2311"/>
      <c r="C122" s="2350"/>
      <c r="D122" s="2350"/>
      <c r="E122" s="2350"/>
      <c r="F122" s="2350"/>
    </row>
    <row r="123" spans="1:6" ht="12" customHeight="1">
      <c r="A123" s="2308"/>
      <c r="B123" s="2311"/>
      <c r="C123" s="2350"/>
      <c r="D123" s="2350"/>
      <c r="E123" s="2350"/>
      <c r="F123" s="2350"/>
    </row>
    <row r="124" spans="1:6" ht="12" customHeight="1">
      <c r="A124" s="2308"/>
      <c r="B124" s="2311"/>
      <c r="C124" s="2350"/>
      <c r="D124" s="2350"/>
      <c r="E124" s="2350"/>
      <c r="F124" s="2350"/>
    </row>
    <row r="125" spans="1:6" ht="12" customHeight="1">
      <c r="A125" s="2308"/>
      <c r="B125" s="2311"/>
      <c r="C125" s="2350"/>
      <c r="D125" s="2350"/>
      <c r="E125" s="2350"/>
      <c r="F125" s="2350"/>
    </row>
    <row r="126" spans="1:6" ht="12" customHeight="1">
      <c r="A126" s="2308"/>
      <c r="B126" s="2311"/>
      <c r="C126" s="2350"/>
      <c r="D126" s="2350"/>
      <c r="E126" s="2350"/>
      <c r="F126" s="2350"/>
    </row>
    <row r="127" spans="1:6" ht="12" customHeight="1">
      <c r="A127" s="2308"/>
      <c r="B127" s="2311"/>
      <c r="C127" s="2350"/>
      <c r="D127" s="2350"/>
      <c r="E127" s="2350"/>
      <c r="F127" s="2350"/>
    </row>
    <row r="128" spans="1:6" ht="12" customHeight="1">
      <c r="A128" s="2308"/>
      <c r="B128" s="2311"/>
      <c r="C128" s="2350"/>
      <c r="D128" s="2350"/>
      <c r="E128" s="2350"/>
      <c r="F128" s="2350"/>
    </row>
    <row r="129" spans="1:6" ht="12" customHeight="1">
      <c r="A129" s="2308"/>
      <c r="B129" s="2311"/>
      <c r="C129" s="2350"/>
      <c r="D129" s="2350"/>
      <c r="E129" s="2350"/>
      <c r="F129" s="2350"/>
    </row>
    <row r="130" spans="1:6" ht="12" customHeight="1">
      <c r="A130" s="2308"/>
      <c r="B130" s="2311"/>
      <c r="C130" s="2350"/>
      <c r="D130" s="2350"/>
      <c r="E130" s="2350"/>
      <c r="F130" s="2350"/>
    </row>
    <row r="131" spans="1:6" ht="12" customHeight="1">
      <c r="A131" s="2308"/>
      <c r="B131" s="2311"/>
      <c r="C131" s="2350"/>
      <c r="D131" s="2350"/>
      <c r="E131" s="2350"/>
      <c r="F131" s="2350"/>
    </row>
    <row r="132" spans="1:6" ht="12" customHeight="1">
      <c r="A132" s="2308"/>
      <c r="B132" s="2311"/>
      <c r="C132" s="2350"/>
      <c r="D132" s="2350"/>
      <c r="E132" s="2350"/>
      <c r="F132" s="2350"/>
    </row>
    <row r="133" spans="1:6" ht="12" customHeight="1">
      <c r="A133" s="2308"/>
      <c r="B133" s="2311"/>
      <c r="C133" s="2350"/>
      <c r="D133" s="2350"/>
      <c r="E133" s="2350"/>
      <c r="F133" s="2350"/>
    </row>
    <row r="134" spans="1:6" ht="12" customHeight="1">
      <c r="A134" s="2308"/>
      <c r="B134" s="2311"/>
      <c r="C134" s="2350"/>
      <c r="D134" s="2350"/>
      <c r="E134" s="2350"/>
      <c r="F134" s="2350"/>
    </row>
    <row r="135" spans="1:6" ht="12" customHeight="1">
      <c r="A135" s="2308"/>
      <c r="B135" s="2311"/>
      <c r="C135" s="2350"/>
      <c r="D135" s="2350"/>
      <c r="E135" s="2350"/>
      <c r="F135" s="2350"/>
    </row>
    <row r="136" spans="1:6" ht="12" customHeight="1">
      <c r="A136" s="2308"/>
      <c r="B136" s="2311"/>
      <c r="C136" s="2350"/>
      <c r="D136" s="2350"/>
      <c r="E136" s="2350"/>
      <c r="F136" s="2350"/>
    </row>
    <row r="137" spans="1:6" ht="12" customHeight="1">
      <c r="A137" s="2308"/>
      <c r="B137" s="2311"/>
      <c r="C137" s="2350"/>
      <c r="D137" s="2350"/>
      <c r="E137" s="2350"/>
      <c r="F137" s="2350"/>
    </row>
    <row r="138" spans="1:6" ht="12" customHeight="1">
      <c r="A138" s="2308"/>
      <c r="B138" s="2311"/>
      <c r="C138" s="2350"/>
      <c r="D138" s="2350"/>
      <c r="E138" s="2350"/>
      <c r="F138" s="2350"/>
    </row>
    <row r="139" spans="1:6" ht="12" customHeight="1">
      <c r="A139" s="2308"/>
      <c r="B139" s="2311"/>
      <c r="C139" s="2350"/>
      <c r="D139" s="2350"/>
      <c r="E139" s="2350"/>
      <c r="F139" s="2350"/>
    </row>
    <row r="140" spans="1:6" ht="12" customHeight="1">
      <c r="A140" s="2308"/>
      <c r="B140" s="2311"/>
      <c r="C140" s="2350"/>
      <c r="D140" s="2350"/>
      <c r="E140" s="2350"/>
      <c r="F140" s="2350"/>
    </row>
    <row r="141" spans="1:6" ht="12" customHeight="1">
      <c r="A141" s="2308"/>
      <c r="B141" s="2311"/>
      <c r="C141" s="2350"/>
      <c r="D141" s="2350"/>
      <c r="E141" s="2350"/>
      <c r="F141" s="2350"/>
    </row>
    <row r="142" spans="1:6" ht="12" customHeight="1">
      <c r="A142" s="2308"/>
      <c r="B142" s="2311"/>
      <c r="C142" s="2350"/>
      <c r="D142" s="2350"/>
      <c r="E142" s="2350"/>
      <c r="F142" s="2350"/>
    </row>
    <row r="143" spans="1:6" ht="12" customHeight="1">
      <c r="A143" s="2308"/>
      <c r="B143" s="2311"/>
      <c r="C143" s="2350"/>
      <c r="D143" s="2350"/>
      <c r="E143" s="2350"/>
      <c r="F143" s="2350"/>
    </row>
    <row r="144" spans="1:6" ht="12" customHeight="1">
      <c r="A144" s="2308"/>
      <c r="B144" s="2311"/>
      <c r="C144" s="2350"/>
      <c r="D144" s="2350"/>
      <c r="E144" s="2350"/>
      <c r="F144" s="2350"/>
    </row>
    <row r="145" spans="1:6" ht="12" customHeight="1">
      <c r="A145" s="2308"/>
      <c r="B145" s="2311"/>
      <c r="C145" s="2350"/>
      <c r="D145" s="2350"/>
      <c r="E145" s="2350"/>
      <c r="F145" s="2350"/>
    </row>
    <row r="146" spans="1:6" ht="12" customHeight="1">
      <c r="A146" s="2308"/>
      <c r="B146" s="2311"/>
      <c r="C146" s="2350"/>
      <c r="D146" s="2350"/>
      <c r="E146" s="2350"/>
      <c r="F146" s="2350"/>
    </row>
    <row r="147" spans="1:6" ht="12" customHeight="1">
      <c r="A147" s="2308"/>
      <c r="B147" s="2311"/>
      <c r="C147" s="2350"/>
      <c r="D147" s="2350"/>
      <c r="E147" s="2350"/>
      <c r="F147" s="2350"/>
    </row>
    <row r="148" spans="1:6" ht="12" customHeight="1">
      <c r="A148" s="2308"/>
      <c r="B148" s="2311"/>
      <c r="C148" s="2350"/>
      <c r="D148" s="2350"/>
      <c r="E148" s="2350"/>
      <c r="F148" s="2350"/>
    </row>
    <row r="149" spans="1:6" ht="12" customHeight="1">
      <c r="A149" s="2308"/>
      <c r="B149" s="2311"/>
      <c r="C149" s="2350"/>
      <c r="D149" s="2350"/>
      <c r="E149" s="2350"/>
      <c r="F149" s="2350"/>
    </row>
    <row r="150" spans="1:6" ht="12" customHeight="1">
      <c r="A150" s="2308"/>
      <c r="B150" s="2311"/>
      <c r="C150" s="2350"/>
      <c r="D150" s="2350"/>
      <c r="E150" s="2350"/>
      <c r="F150" s="2350"/>
    </row>
    <row r="151" spans="1:6" ht="12" customHeight="1">
      <c r="A151" s="2308"/>
      <c r="B151" s="2311"/>
      <c r="C151" s="2350"/>
      <c r="D151" s="2350"/>
      <c r="E151" s="2350"/>
      <c r="F151" s="2350"/>
    </row>
    <row r="152" spans="1:6" ht="12" customHeight="1">
      <c r="A152" s="2308"/>
      <c r="B152" s="2311"/>
      <c r="C152" s="2350"/>
      <c r="D152" s="2350"/>
      <c r="E152" s="2350"/>
      <c r="F152" s="2350"/>
    </row>
    <row r="153" spans="1:6" ht="12" customHeight="1">
      <c r="A153" s="2308"/>
      <c r="B153" s="2311"/>
      <c r="C153" s="2350"/>
      <c r="D153" s="2350"/>
      <c r="E153" s="2350"/>
      <c r="F153" s="2350"/>
    </row>
    <row r="154" spans="1:6" ht="12" customHeight="1">
      <c r="A154" s="2308"/>
      <c r="B154" s="2311"/>
      <c r="C154" s="2350"/>
      <c r="D154" s="2350"/>
      <c r="E154" s="2350"/>
      <c r="F154" s="2350"/>
    </row>
    <row r="155" spans="1:6" ht="12" customHeight="1">
      <c r="A155" s="2308"/>
      <c r="B155" s="2311"/>
      <c r="C155" s="2350"/>
      <c r="D155" s="2350"/>
      <c r="E155" s="2350"/>
      <c r="F155" s="2350"/>
    </row>
    <row r="156" spans="1:6" ht="12" customHeight="1">
      <c r="A156" s="2308"/>
      <c r="B156" s="2311"/>
      <c r="C156" s="2350"/>
      <c r="D156" s="2350"/>
      <c r="E156" s="2350"/>
      <c r="F156" s="2350"/>
    </row>
    <row r="157" spans="1:6" ht="12" customHeight="1">
      <c r="A157" s="2308"/>
      <c r="B157" s="2311"/>
      <c r="C157" s="2350"/>
      <c r="D157" s="2350"/>
      <c r="E157" s="2350"/>
      <c r="F157" s="2350"/>
    </row>
    <row r="158" spans="1:6" ht="12" customHeight="1">
      <c r="A158" s="2308"/>
      <c r="B158" s="2311"/>
      <c r="C158" s="2350"/>
      <c r="D158" s="2350"/>
      <c r="E158" s="2350"/>
      <c r="F158" s="2350"/>
    </row>
    <row r="159" spans="1:6" ht="12" customHeight="1">
      <c r="A159" s="2308"/>
      <c r="B159" s="2311"/>
      <c r="C159" s="2350"/>
      <c r="D159" s="2350"/>
      <c r="E159" s="2350"/>
      <c r="F159" s="2350"/>
    </row>
    <row r="160" spans="1:6" ht="12" customHeight="1">
      <c r="A160" s="2308"/>
      <c r="B160" s="2311"/>
      <c r="C160" s="2350"/>
      <c r="D160" s="2350"/>
      <c r="E160" s="2350"/>
      <c r="F160" s="2350"/>
    </row>
    <row r="161" spans="1:6" ht="12" customHeight="1">
      <c r="A161" s="2308"/>
      <c r="B161" s="2311"/>
      <c r="C161" s="2350"/>
      <c r="D161" s="2350"/>
      <c r="E161" s="2350"/>
      <c r="F161" s="2350"/>
    </row>
    <row r="162" spans="1:6" ht="12" customHeight="1">
      <c r="A162" s="2308"/>
      <c r="B162" s="2311"/>
      <c r="C162" s="2350"/>
      <c r="D162" s="2350"/>
      <c r="E162" s="2350"/>
      <c r="F162" s="2350"/>
    </row>
    <row r="163" spans="1:6" ht="12" customHeight="1">
      <c r="A163" s="2308"/>
      <c r="B163" s="2311"/>
      <c r="C163" s="2350"/>
      <c r="D163" s="2350"/>
      <c r="E163" s="2350"/>
      <c r="F163" s="2350"/>
    </row>
    <row r="164" spans="1:6" ht="12" customHeight="1">
      <c r="A164" s="2308"/>
      <c r="B164" s="2311"/>
      <c r="C164" s="2350"/>
      <c r="D164" s="2350"/>
      <c r="E164" s="2350"/>
      <c r="F164" s="2350"/>
    </row>
    <row r="165" spans="1:6" ht="12" customHeight="1">
      <c r="A165" s="2308"/>
      <c r="B165" s="2311"/>
      <c r="C165" s="2350"/>
      <c r="D165" s="2350"/>
      <c r="E165" s="2350"/>
      <c r="F165" s="2350"/>
    </row>
    <row r="166" spans="1:6" ht="12" customHeight="1">
      <c r="A166" s="2308"/>
      <c r="B166" s="2311"/>
      <c r="C166" s="2350"/>
      <c r="D166" s="2350"/>
      <c r="E166" s="2350"/>
      <c r="F166" s="2350"/>
    </row>
    <row r="167" spans="1:6" ht="12" customHeight="1">
      <c r="A167" s="2308"/>
      <c r="B167" s="2311"/>
      <c r="C167" s="2350"/>
      <c r="D167" s="2350"/>
      <c r="E167" s="2350"/>
      <c r="F167" s="2350"/>
    </row>
    <row r="168" spans="1:6" ht="12" customHeight="1">
      <c r="A168" s="2308"/>
      <c r="B168" s="2311"/>
      <c r="C168" s="2350"/>
      <c r="D168" s="2350"/>
      <c r="E168" s="2350"/>
      <c r="F168" s="2350"/>
    </row>
    <row r="169" spans="1:6" ht="12" customHeight="1">
      <c r="A169" s="2308"/>
      <c r="B169" s="2311"/>
      <c r="C169" s="2350"/>
      <c r="D169" s="2350"/>
      <c r="E169" s="2350"/>
      <c r="F169" s="2350"/>
    </row>
    <row r="170" spans="1:6" ht="12" customHeight="1">
      <c r="A170" s="2308"/>
      <c r="B170" s="2311"/>
      <c r="C170" s="2350"/>
      <c r="D170" s="2350"/>
      <c r="E170" s="2350"/>
      <c r="F170" s="2350"/>
    </row>
    <row r="171" spans="1:6" ht="12" customHeight="1">
      <c r="A171" s="2308"/>
      <c r="B171" s="2311"/>
      <c r="C171" s="2350"/>
      <c r="D171" s="2350"/>
      <c r="E171" s="2350"/>
      <c r="F171" s="2350"/>
    </row>
    <row r="172" spans="1:6" ht="12" customHeight="1">
      <c r="A172" s="2308"/>
      <c r="B172" s="2311"/>
      <c r="C172" s="2350"/>
      <c r="D172" s="2350"/>
      <c r="E172" s="2350"/>
      <c r="F172" s="2350"/>
    </row>
    <row r="173" spans="1:6" ht="12" customHeight="1">
      <c r="A173" s="2308"/>
      <c r="B173" s="2311"/>
      <c r="C173" s="2350"/>
      <c r="D173" s="2350"/>
      <c r="E173" s="2350"/>
      <c r="F173" s="2350"/>
    </row>
    <row r="174" spans="1:6" ht="12" customHeight="1">
      <c r="A174" s="2308"/>
      <c r="B174" s="2311"/>
      <c r="C174" s="2350"/>
      <c r="D174" s="2350"/>
      <c r="E174" s="2350"/>
      <c r="F174" s="2350"/>
    </row>
    <row r="175" spans="1:6" ht="12" customHeight="1">
      <c r="A175" s="2308"/>
      <c r="B175" s="2311"/>
      <c r="C175" s="2350"/>
      <c r="D175" s="2350"/>
      <c r="E175" s="2350"/>
      <c r="F175" s="2350"/>
    </row>
    <row r="176" spans="1:6" ht="12" customHeight="1">
      <c r="A176" s="2308"/>
      <c r="B176" s="2311"/>
      <c r="C176" s="2350"/>
      <c r="D176" s="2350"/>
      <c r="E176" s="2350"/>
      <c r="F176" s="2350"/>
    </row>
    <row r="177" spans="1:6" ht="12" customHeight="1">
      <c r="A177" s="2308"/>
      <c r="B177" s="2311"/>
      <c r="C177" s="2350"/>
      <c r="D177" s="2350"/>
      <c r="E177" s="2350"/>
      <c r="F177" s="2350"/>
    </row>
    <row r="178" spans="1:6" ht="12" customHeight="1">
      <c r="A178" s="2308"/>
      <c r="B178" s="2311"/>
      <c r="C178" s="2350"/>
      <c r="D178" s="2350"/>
      <c r="E178" s="2350"/>
      <c r="F178" s="2350"/>
    </row>
    <row r="179" spans="1:6" ht="12" customHeight="1">
      <c r="A179" s="2308"/>
      <c r="B179" s="2311"/>
      <c r="C179" s="2350"/>
      <c r="D179" s="2350"/>
      <c r="E179" s="2350"/>
      <c r="F179" s="2350"/>
    </row>
    <row r="180" spans="1:6" ht="12" customHeight="1">
      <c r="A180" s="2308"/>
      <c r="B180" s="2311"/>
      <c r="C180" s="2350"/>
      <c r="D180" s="2350"/>
      <c r="E180" s="2350"/>
      <c r="F180" s="2350"/>
    </row>
    <row r="181" spans="1:6" ht="12" customHeight="1">
      <c r="A181" s="2308"/>
      <c r="B181" s="2311"/>
      <c r="C181" s="2350"/>
      <c r="D181" s="2350"/>
      <c r="E181" s="2350"/>
      <c r="F181" s="2350"/>
    </row>
    <row r="182" spans="1:6" ht="12" customHeight="1">
      <c r="A182" s="2308"/>
      <c r="B182" s="2311"/>
      <c r="C182" s="2350"/>
      <c r="D182" s="2350"/>
      <c r="E182" s="2350"/>
      <c r="F182" s="2350"/>
    </row>
    <row r="183" spans="1:6" ht="12" customHeight="1">
      <c r="A183" s="2308"/>
      <c r="B183" s="2311"/>
      <c r="C183" s="2350"/>
      <c r="D183" s="2350"/>
      <c r="E183" s="2350"/>
      <c r="F183" s="2350"/>
    </row>
    <row r="184" spans="1:6" ht="12" customHeight="1">
      <c r="A184" s="2308"/>
      <c r="B184" s="2311"/>
      <c r="C184" s="2350"/>
      <c r="D184" s="2350"/>
      <c r="E184" s="2350"/>
      <c r="F184" s="2350"/>
    </row>
    <row r="185" spans="1:6" ht="12" customHeight="1">
      <c r="A185" s="2308"/>
      <c r="B185" s="2311"/>
      <c r="C185" s="2350"/>
      <c r="D185" s="2350"/>
      <c r="E185" s="2350"/>
      <c r="F185" s="2350"/>
    </row>
    <row r="186" spans="1:6" ht="12" customHeight="1">
      <c r="A186" s="2308"/>
      <c r="B186" s="2311"/>
      <c r="C186" s="2350"/>
      <c r="D186" s="2350"/>
      <c r="E186" s="2350"/>
      <c r="F186" s="2350"/>
    </row>
    <row r="187" spans="1:6" ht="12" customHeight="1">
      <c r="A187" s="2308"/>
      <c r="B187" s="2311"/>
      <c r="C187" s="2350"/>
      <c r="D187" s="2350"/>
      <c r="E187" s="2350"/>
      <c r="F187" s="2350"/>
    </row>
    <row r="188" spans="1:6" ht="12" customHeight="1">
      <c r="A188" s="2308"/>
      <c r="B188" s="2311"/>
      <c r="C188" s="2350"/>
      <c r="D188" s="2350"/>
      <c r="E188" s="2350"/>
      <c r="F188" s="2350"/>
    </row>
    <row r="189" spans="1:6" ht="12" customHeight="1">
      <c r="A189" s="2308"/>
      <c r="B189" s="2311"/>
      <c r="C189" s="2350"/>
      <c r="D189" s="2350"/>
      <c r="E189" s="2350"/>
      <c r="F189" s="2350"/>
    </row>
    <row r="190" spans="1:6" ht="12" customHeight="1">
      <c r="A190" s="2308"/>
      <c r="B190" s="2311"/>
      <c r="C190" s="2350"/>
      <c r="D190" s="2350"/>
      <c r="E190" s="2350"/>
      <c r="F190" s="2350"/>
    </row>
    <row r="191" spans="1:6" ht="12" customHeight="1">
      <c r="A191" s="2308"/>
      <c r="B191" s="2311"/>
      <c r="C191" s="2350"/>
      <c r="D191" s="2350"/>
      <c r="E191" s="2350"/>
      <c r="F191" s="2350"/>
    </row>
    <row r="192" spans="1:6" ht="12" customHeight="1">
      <c r="A192" s="2308"/>
      <c r="B192" s="2311"/>
      <c r="C192" s="2350"/>
      <c r="D192" s="2350"/>
      <c r="E192" s="2350"/>
      <c r="F192" s="2350"/>
    </row>
    <row r="193" spans="1:6" ht="12" customHeight="1">
      <c r="A193" s="2308"/>
      <c r="B193" s="2311"/>
      <c r="C193" s="2350"/>
      <c r="D193" s="2350"/>
      <c r="E193" s="2350"/>
      <c r="F193" s="2350"/>
    </row>
    <row r="194" spans="1:6" ht="12" customHeight="1">
      <c r="A194" s="2308"/>
      <c r="B194" s="2311"/>
      <c r="C194" s="2350"/>
      <c r="D194" s="2350"/>
      <c r="E194" s="2350"/>
      <c r="F194" s="2350"/>
    </row>
    <row r="195" spans="1:6" ht="12" customHeight="1">
      <c r="A195" s="2308"/>
      <c r="B195" s="2311"/>
      <c r="C195" s="2350"/>
      <c r="D195" s="2350"/>
      <c r="E195" s="2350"/>
      <c r="F195" s="2350"/>
    </row>
    <row r="196" spans="1:6" ht="12" customHeight="1">
      <c r="A196" s="2308"/>
      <c r="B196" s="2311"/>
      <c r="C196" s="2350"/>
      <c r="D196" s="2350"/>
      <c r="E196" s="2350"/>
      <c r="F196" s="2350"/>
    </row>
    <row r="197" spans="1:6" ht="12" customHeight="1">
      <c r="A197" s="2308"/>
      <c r="B197" s="2311"/>
      <c r="C197" s="2350"/>
      <c r="D197" s="2350"/>
      <c r="E197" s="2350"/>
      <c r="F197" s="2350"/>
    </row>
    <row r="198" spans="1:6" ht="12" customHeight="1">
      <c r="A198" s="2308"/>
      <c r="B198" s="2311"/>
      <c r="C198" s="2350"/>
      <c r="D198" s="2350"/>
      <c r="E198" s="2350"/>
      <c r="F198" s="2350"/>
    </row>
    <row r="199" spans="1:6" ht="12" customHeight="1">
      <c r="A199" s="2308"/>
      <c r="B199" s="2311"/>
      <c r="C199" s="2350"/>
      <c r="D199" s="2350"/>
      <c r="E199" s="2350"/>
      <c r="F199" s="2350"/>
    </row>
    <row r="200" spans="1:6" ht="12" customHeight="1">
      <c r="A200" s="2308"/>
      <c r="B200" s="2311"/>
      <c r="C200" s="2350"/>
      <c r="D200" s="2350"/>
      <c r="E200" s="2350"/>
      <c r="F200" s="2350"/>
    </row>
    <row r="201" spans="1:6" ht="12" customHeight="1">
      <c r="A201" s="2308"/>
      <c r="B201" s="2311"/>
      <c r="C201" s="2350"/>
      <c r="D201" s="2350"/>
      <c r="E201" s="2350"/>
      <c r="F201" s="2350"/>
    </row>
    <row r="202" spans="1:6" ht="12" customHeight="1">
      <c r="A202" s="2308"/>
      <c r="B202" s="2311"/>
      <c r="C202" s="2350"/>
      <c r="D202" s="2350"/>
      <c r="E202" s="2350"/>
      <c r="F202" s="2350"/>
    </row>
    <row r="203" spans="1:6" ht="12" customHeight="1">
      <c r="A203" s="2308"/>
      <c r="B203" s="2311"/>
      <c r="C203" s="2350"/>
      <c r="D203" s="2350"/>
      <c r="E203" s="2350"/>
      <c r="F203" s="2350"/>
    </row>
    <row r="204" spans="1:6" ht="12" customHeight="1">
      <c r="A204" s="2308"/>
      <c r="B204" s="2311"/>
      <c r="C204" s="2350"/>
      <c r="D204" s="2350"/>
      <c r="E204" s="2350"/>
      <c r="F204" s="2350"/>
    </row>
    <row r="205" spans="1:6" ht="12" customHeight="1">
      <c r="A205" s="2308"/>
      <c r="B205" s="2311"/>
      <c r="C205" s="2350"/>
      <c r="D205" s="2350"/>
      <c r="E205" s="2350"/>
      <c r="F205" s="2350"/>
    </row>
    <row r="206" spans="1:6" ht="12" customHeight="1">
      <c r="A206" s="2308"/>
      <c r="B206" s="2311"/>
      <c r="C206" s="2350"/>
      <c r="D206" s="2350"/>
      <c r="E206" s="2350"/>
      <c r="F206" s="2350"/>
    </row>
    <row r="207" spans="1:6" ht="12" customHeight="1">
      <c r="A207" s="2308"/>
      <c r="B207" s="2311"/>
      <c r="C207" s="2350"/>
      <c r="D207" s="2350"/>
      <c r="E207" s="2350"/>
      <c r="F207" s="2350"/>
    </row>
    <row r="208" spans="1:6" ht="12" customHeight="1">
      <c r="A208" s="2308"/>
      <c r="B208" s="2311"/>
      <c r="C208" s="2350"/>
      <c r="D208" s="2350"/>
      <c r="E208" s="2350"/>
      <c r="F208" s="2350"/>
    </row>
    <row r="209" spans="1:6" ht="12" customHeight="1">
      <c r="A209" s="2308"/>
      <c r="B209" s="2311"/>
      <c r="C209" s="2350"/>
      <c r="D209" s="2350"/>
      <c r="E209" s="2350"/>
      <c r="F209" s="2350"/>
    </row>
    <row r="210" spans="1:6" ht="12" customHeight="1">
      <c r="A210" s="2308"/>
      <c r="B210" s="2311"/>
      <c r="C210" s="2350"/>
      <c r="D210" s="2350"/>
      <c r="E210" s="2350"/>
      <c r="F210" s="2350"/>
    </row>
    <row r="211" spans="1:6" ht="12" customHeight="1">
      <c r="A211" s="2308"/>
      <c r="B211" s="2311"/>
      <c r="C211" s="2350"/>
      <c r="D211" s="2350"/>
      <c r="E211" s="2350"/>
      <c r="F211" s="2350"/>
    </row>
    <row r="212" spans="1:6" ht="12" customHeight="1">
      <c r="A212" s="2308"/>
      <c r="B212" s="2311"/>
      <c r="C212" s="2350"/>
      <c r="D212" s="2350"/>
      <c r="E212" s="2350"/>
      <c r="F212" s="2350"/>
    </row>
    <row r="213" spans="1:6" ht="12" customHeight="1">
      <c r="A213" s="2308"/>
      <c r="B213" s="2311"/>
      <c r="C213" s="2350"/>
      <c r="D213" s="2350"/>
      <c r="E213" s="2350"/>
      <c r="F213" s="2350"/>
    </row>
    <row r="214" spans="1:6" ht="12" customHeight="1">
      <c r="A214" s="2308"/>
      <c r="B214" s="2311"/>
      <c r="C214" s="2350"/>
      <c r="D214" s="2350"/>
      <c r="E214" s="2350"/>
      <c r="F214" s="2350"/>
    </row>
    <row r="215" spans="1:6" ht="12" customHeight="1">
      <c r="A215" s="2308"/>
      <c r="B215" s="2311"/>
      <c r="C215" s="2350"/>
      <c r="D215" s="2350"/>
      <c r="E215" s="2350"/>
      <c r="F215" s="2350"/>
    </row>
    <row r="216" spans="1:6" ht="12" customHeight="1">
      <c r="A216" s="2308"/>
      <c r="B216" s="2311"/>
      <c r="C216" s="2350"/>
      <c r="D216" s="2350"/>
      <c r="E216" s="2350"/>
      <c r="F216" s="2350"/>
    </row>
    <row r="217" spans="1:6" ht="12" customHeight="1">
      <c r="A217" s="2308"/>
      <c r="B217" s="2311"/>
      <c r="C217" s="2350"/>
      <c r="D217" s="2350"/>
      <c r="E217" s="2350"/>
      <c r="F217" s="2350"/>
    </row>
    <row r="218" spans="1:6" ht="12" customHeight="1">
      <c r="A218" s="2308"/>
      <c r="B218" s="2311"/>
      <c r="C218" s="2350"/>
      <c r="D218" s="2350"/>
      <c r="E218" s="2350"/>
      <c r="F218" s="2350"/>
    </row>
    <row r="219" spans="1:6" ht="12" customHeight="1">
      <c r="A219" s="2308"/>
      <c r="B219" s="2311"/>
      <c r="C219" s="2350"/>
      <c r="D219" s="2350"/>
      <c r="E219" s="2350"/>
      <c r="F219" s="2350"/>
    </row>
    <row r="220" spans="1:6" ht="12" customHeight="1">
      <c r="A220" s="2308"/>
      <c r="B220" s="2311"/>
      <c r="C220" s="2350"/>
      <c r="D220" s="2350"/>
      <c r="E220" s="2350"/>
      <c r="F220" s="2350"/>
    </row>
    <row r="221" spans="1:6" ht="12" customHeight="1">
      <c r="A221" s="2308"/>
      <c r="B221" s="2311"/>
      <c r="C221" s="2350"/>
      <c r="D221" s="2350"/>
      <c r="E221" s="2350"/>
      <c r="F221" s="2350"/>
    </row>
    <row r="222" spans="1:6" ht="12" customHeight="1">
      <c r="A222" s="2308"/>
      <c r="B222" s="2311"/>
      <c r="C222" s="2350"/>
      <c r="D222" s="2350"/>
      <c r="E222" s="2350"/>
      <c r="F222" s="2350"/>
    </row>
    <row r="223" spans="1:6" ht="12" customHeight="1">
      <c r="A223" s="2308"/>
      <c r="B223" s="2311"/>
      <c r="C223" s="2350"/>
      <c r="D223" s="2350"/>
      <c r="E223" s="2350"/>
      <c r="F223" s="2350"/>
    </row>
    <row r="224" spans="1:6" ht="12" customHeight="1">
      <c r="A224" s="2308"/>
      <c r="B224" s="2311"/>
      <c r="C224" s="2350"/>
      <c r="D224" s="2350"/>
      <c r="E224" s="2350"/>
      <c r="F224" s="2350"/>
    </row>
    <row r="225" spans="1:6" ht="12" customHeight="1">
      <c r="A225" s="2308"/>
      <c r="B225" s="2311"/>
      <c r="C225" s="2350"/>
      <c r="D225" s="2350"/>
      <c r="E225" s="2350"/>
      <c r="F225" s="2350"/>
    </row>
    <row r="226" spans="1:6" ht="12" customHeight="1">
      <c r="A226" s="2308"/>
      <c r="B226" s="2311"/>
      <c r="C226" s="2350"/>
      <c r="D226" s="2350"/>
      <c r="E226" s="2350"/>
      <c r="F226" s="2350"/>
    </row>
    <row r="227" spans="1:6" ht="12" customHeight="1">
      <c r="A227" s="2308"/>
      <c r="B227" s="2311"/>
      <c r="C227" s="2350"/>
      <c r="D227" s="2350"/>
      <c r="E227" s="2350"/>
      <c r="F227" s="2350"/>
    </row>
    <row r="228" spans="1:6" ht="12" customHeight="1">
      <c r="A228" s="2308"/>
      <c r="B228" s="2311"/>
      <c r="C228" s="2350"/>
      <c r="D228" s="2350"/>
      <c r="E228" s="2350"/>
      <c r="F228" s="2350"/>
    </row>
    <row r="229" spans="1:6" ht="12" customHeight="1">
      <c r="A229" s="2308"/>
      <c r="B229" s="2311"/>
      <c r="C229" s="2350"/>
      <c r="D229" s="2350"/>
      <c r="E229" s="2350"/>
      <c r="F229" s="2350"/>
    </row>
    <row r="230" spans="1:6" ht="12" customHeight="1">
      <c r="A230" s="2308"/>
      <c r="B230" s="2311"/>
      <c r="C230" s="2350"/>
      <c r="D230" s="2350"/>
      <c r="E230" s="2350"/>
      <c r="F230" s="2350"/>
    </row>
    <row r="231" spans="1:6" ht="12" customHeight="1">
      <c r="A231" s="2308"/>
      <c r="B231" s="2311"/>
      <c r="C231" s="2350"/>
      <c r="D231" s="2350"/>
      <c r="E231" s="2350"/>
      <c r="F231" s="2350"/>
    </row>
    <row r="232" spans="1:6" ht="12" customHeight="1">
      <c r="A232" s="2308"/>
      <c r="B232" s="2311"/>
      <c r="C232" s="2350"/>
      <c r="D232" s="2350"/>
      <c r="E232" s="2350"/>
      <c r="F232" s="2350"/>
    </row>
    <row r="233" spans="1:6" ht="12" customHeight="1">
      <c r="A233" s="2308"/>
      <c r="B233" s="2311"/>
      <c r="C233" s="2350"/>
      <c r="D233" s="2350"/>
      <c r="E233" s="2350"/>
      <c r="F233" s="2350"/>
    </row>
    <row r="234" spans="1:6" ht="12" customHeight="1">
      <c r="A234" s="2308"/>
      <c r="B234" s="2311"/>
      <c r="C234" s="2350"/>
      <c r="D234" s="2350"/>
      <c r="E234" s="2350"/>
      <c r="F234" s="2350"/>
    </row>
    <row r="235" spans="1:6" ht="12" customHeight="1">
      <c r="A235" s="2308"/>
      <c r="B235" s="2311"/>
      <c r="C235" s="2350"/>
      <c r="D235" s="2350"/>
      <c r="E235" s="2350"/>
      <c r="F235" s="2350"/>
    </row>
    <row r="236" spans="1:6" ht="12" customHeight="1">
      <c r="A236" s="2308"/>
      <c r="B236" s="2311"/>
      <c r="C236" s="2350"/>
      <c r="D236" s="2350"/>
      <c r="E236" s="2350"/>
      <c r="F236" s="2350"/>
    </row>
    <row r="237" spans="1:6" ht="12" customHeight="1">
      <c r="A237" s="2308"/>
      <c r="B237" s="2311"/>
      <c r="C237" s="2350"/>
      <c r="D237" s="2350"/>
      <c r="E237" s="2350"/>
      <c r="F237" s="2350"/>
    </row>
    <row r="238" spans="1:6" ht="12" customHeight="1">
      <c r="A238" s="2308"/>
      <c r="B238" s="2311"/>
      <c r="C238" s="2350"/>
      <c r="D238" s="2350"/>
      <c r="E238" s="2350"/>
      <c r="F238" s="2350"/>
    </row>
    <row r="239" spans="1:6" ht="12" customHeight="1">
      <c r="A239" s="2308"/>
      <c r="B239" s="2311"/>
      <c r="C239" s="2350"/>
      <c r="D239" s="2350"/>
      <c r="E239" s="2350"/>
      <c r="F239" s="2350"/>
    </row>
    <row r="240" spans="1:6" ht="12" customHeight="1">
      <c r="A240" s="2308"/>
      <c r="B240" s="2311"/>
      <c r="C240" s="2350"/>
      <c r="D240" s="2350"/>
      <c r="E240" s="2350"/>
      <c r="F240" s="2350"/>
    </row>
    <row r="241" spans="1:6" ht="12" customHeight="1">
      <c r="A241" s="2308"/>
      <c r="B241" s="2311"/>
      <c r="C241" s="2350"/>
      <c r="D241" s="2350"/>
      <c r="E241" s="2350"/>
      <c r="F241" s="2350"/>
    </row>
    <row r="242" spans="1:6" ht="12" customHeight="1">
      <c r="A242" s="2308"/>
      <c r="B242" s="2311"/>
      <c r="C242" s="2350"/>
      <c r="D242" s="2350"/>
      <c r="E242" s="2350"/>
      <c r="F242" s="2350"/>
    </row>
    <row r="243" spans="1:6" ht="12" customHeight="1">
      <c r="A243" s="2308"/>
      <c r="B243" s="2311"/>
      <c r="C243" s="2350"/>
      <c r="D243" s="2350"/>
      <c r="E243" s="2350"/>
      <c r="F243" s="2350"/>
    </row>
    <row r="244" spans="1:6" ht="12" customHeight="1">
      <c r="A244" s="2308"/>
      <c r="B244" s="2311"/>
      <c r="C244" s="2350"/>
      <c r="D244" s="2350"/>
      <c r="E244" s="2350"/>
      <c r="F244" s="2350"/>
    </row>
    <row r="245" spans="1:6" ht="12" customHeight="1">
      <c r="A245" s="2308"/>
      <c r="B245" s="2311"/>
      <c r="C245" s="2350"/>
      <c r="D245" s="2350"/>
      <c r="E245" s="2350"/>
      <c r="F245" s="2350"/>
    </row>
    <row r="246" spans="1:6" ht="12" customHeight="1">
      <c r="A246" s="2308"/>
      <c r="B246" s="2311"/>
      <c r="C246" s="2350"/>
      <c r="D246" s="2350"/>
      <c r="E246" s="2350"/>
      <c r="F246" s="2350"/>
    </row>
    <row r="247" spans="1:6" ht="12" customHeight="1">
      <c r="A247" s="2308"/>
      <c r="B247" s="2311"/>
      <c r="C247" s="2350"/>
      <c r="D247" s="2350"/>
      <c r="E247" s="2350"/>
      <c r="F247" s="2350"/>
    </row>
    <row r="248" spans="1:6" ht="12" customHeight="1">
      <c r="A248" s="2308"/>
      <c r="B248" s="2311"/>
      <c r="C248" s="2350"/>
      <c r="D248" s="2350"/>
      <c r="E248" s="2350"/>
      <c r="F248" s="2350"/>
    </row>
    <row r="249" spans="1:6" ht="12" customHeight="1">
      <c r="A249" s="2308"/>
      <c r="B249" s="2311"/>
      <c r="C249" s="2350"/>
      <c r="D249" s="2350"/>
      <c r="E249" s="2350"/>
      <c r="F249" s="2350"/>
    </row>
    <row r="250" spans="1:6" ht="12" customHeight="1">
      <c r="A250" s="2308"/>
      <c r="B250" s="2311"/>
      <c r="C250" s="2350"/>
      <c r="D250" s="2350"/>
      <c r="E250" s="2350"/>
      <c r="F250" s="2350"/>
    </row>
    <row r="251" spans="1:6" ht="12" customHeight="1">
      <c r="A251" s="2308"/>
      <c r="B251" s="2311"/>
      <c r="C251" s="2350"/>
      <c r="D251" s="2350"/>
      <c r="E251" s="2350"/>
      <c r="F251" s="2350"/>
    </row>
    <row r="252" spans="1:6" ht="12" customHeight="1">
      <c r="A252" s="2308"/>
      <c r="B252" s="2311"/>
      <c r="C252" s="2350"/>
      <c r="D252" s="2350"/>
      <c r="E252" s="2350"/>
      <c r="F252" s="2350"/>
    </row>
    <row r="253" spans="1:6" ht="12" customHeight="1">
      <c r="A253" s="2308"/>
      <c r="B253" s="2311"/>
      <c r="C253" s="2350"/>
      <c r="D253" s="2350"/>
      <c r="E253" s="2350"/>
      <c r="F253" s="2350"/>
    </row>
    <row r="254" spans="1:6" ht="12" customHeight="1">
      <c r="A254" s="2308"/>
      <c r="B254" s="2311"/>
      <c r="C254" s="2350"/>
      <c r="D254" s="2350"/>
      <c r="E254" s="2350"/>
      <c r="F254" s="2350"/>
    </row>
    <row r="255" spans="1:6" ht="12" customHeight="1">
      <c r="A255" s="2308"/>
      <c r="B255" s="2311"/>
      <c r="C255" s="2350"/>
      <c r="D255" s="2350"/>
      <c r="E255" s="2350"/>
      <c r="F255" s="2350"/>
    </row>
    <row r="256" spans="1:6" ht="12" customHeight="1">
      <c r="A256" s="2308"/>
      <c r="B256" s="2311"/>
      <c r="C256" s="2350"/>
      <c r="D256" s="2350"/>
      <c r="E256" s="2350"/>
      <c r="F256" s="2350"/>
    </row>
    <row r="257" spans="1:6" ht="12" customHeight="1">
      <c r="A257" s="2308"/>
      <c r="B257" s="2311"/>
      <c r="C257" s="2350"/>
      <c r="D257" s="2350"/>
      <c r="E257" s="2350"/>
      <c r="F257" s="2350"/>
    </row>
    <row r="258" spans="1:6" ht="12" customHeight="1">
      <c r="A258" s="2308"/>
      <c r="B258" s="2311"/>
      <c r="C258" s="2350"/>
      <c r="D258" s="2350"/>
      <c r="E258" s="2350"/>
      <c r="F258" s="2350"/>
    </row>
    <row r="259" spans="1:6" ht="12" customHeight="1">
      <c r="A259" s="2308"/>
      <c r="B259" s="2311"/>
      <c r="C259" s="2350"/>
      <c r="D259" s="2350"/>
      <c r="E259" s="2350"/>
      <c r="F259" s="2350"/>
    </row>
    <row r="260" spans="1:6" ht="12" customHeight="1">
      <c r="A260" s="2308"/>
      <c r="B260" s="2311"/>
      <c r="C260" s="2350"/>
      <c r="D260" s="2350"/>
      <c r="E260" s="2350"/>
      <c r="F260" s="2350"/>
    </row>
    <row r="261" spans="1:6" ht="12" customHeight="1">
      <c r="A261" s="2308"/>
      <c r="B261" s="2311"/>
      <c r="C261" s="2350"/>
      <c r="D261" s="2350"/>
      <c r="E261" s="2350"/>
      <c r="F261" s="2350"/>
    </row>
    <row r="262" spans="1:6" ht="12" customHeight="1">
      <c r="A262" s="2308"/>
      <c r="B262" s="2311"/>
      <c r="C262" s="2350"/>
      <c r="D262" s="2350"/>
      <c r="E262" s="2350"/>
      <c r="F262" s="2350"/>
    </row>
    <row r="263" spans="1:6" ht="12" customHeight="1">
      <c r="A263" s="2308"/>
      <c r="B263" s="2311"/>
      <c r="C263" s="2350"/>
      <c r="D263" s="2350"/>
      <c r="E263" s="2350"/>
      <c r="F263" s="2350"/>
    </row>
    <row r="264" spans="1:6" ht="12" customHeight="1">
      <c r="A264" s="2308"/>
      <c r="B264" s="2311"/>
      <c r="C264" s="2350"/>
      <c r="D264" s="2350"/>
      <c r="E264" s="2350"/>
      <c r="F264" s="2350"/>
    </row>
    <row r="265" spans="1:6" ht="12" customHeight="1">
      <c r="A265" s="2308"/>
      <c r="B265" s="2311"/>
      <c r="C265" s="2350"/>
      <c r="D265" s="2350"/>
      <c r="E265" s="2350"/>
      <c r="F265" s="2350"/>
    </row>
    <row r="266" spans="1:6" ht="12" customHeight="1">
      <c r="A266" s="2308"/>
      <c r="B266" s="2311"/>
      <c r="C266" s="2350"/>
      <c r="D266" s="2350"/>
      <c r="E266" s="2350"/>
      <c r="F266" s="2350"/>
    </row>
    <row r="267" spans="1:6" ht="12" customHeight="1">
      <c r="A267" s="2308"/>
      <c r="B267" s="2311"/>
      <c r="C267" s="2350"/>
      <c r="D267" s="2350"/>
      <c r="E267" s="2350"/>
      <c r="F267" s="2350"/>
    </row>
    <row r="268" spans="1:6" ht="12" customHeight="1">
      <c r="A268" s="2308"/>
      <c r="B268" s="2311"/>
      <c r="C268" s="2350"/>
      <c r="D268" s="2350"/>
      <c r="E268" s="2350"/>
      <c r="F268" s="2350"/>
    </row>
    <row r="269" spans="1:6" ht="12" customHeight="1">
      <c r="A269" s="2308"/>
      <c r="B269" s="2311"/>
      <c r="C269" s="2350"/>
      <c r="D269" s="2350"/>
      <c r="E269" s="2350"/>
      <c r="F269" s="2350"/>
    </row>
    <row r="270" spans="1:6" ht="12" customHeight="1">
      <c r="A270" s="2308"/>
      <c r="B270" s="2311"/>
      <c r="C270" s="2350"/>
      <c r="D270" s="2350"/>
      <c r="E270" s="2350"/>
      <c r="F270" s="2350"/>
    </row>
    <row r="271" spans="1:6" ht="12" customHeight="1">
      <c r="A271" s="2308"/>
      <c r="B271" s="2311"/>
      <c r="C271" s="2350"/>
      <c r="D271" s="2350"/>
      <c r="E271" s="2350"/>
      <c r="F271" s="2350"/>
    </row>
    <row r="272" spans="1:6" ht="12" customHeight="1">
      <c r="A272" s="2308"/>
      <c r="B272" s="2311"/>
      <c r="C272" s="2350"/>
      <c r="D272" s="2350"/>
      <c r="E272" s="2350"/>
      <c r="F272" s="2350"/>
    </row>
    <row r="273" spans="1:6" ht="12" customHeight="1">
      <c r="A273" s="2308"/>
      <c r="B273" s="2311"/>
      <c r="C273" s="2350"/>
      <c r="D273" s="2350"/>
      <c r="E273" s="2350"/>
      <c r="F273" s="2350"/>
    </row>
    <row r="274" spans="1:6" ht="12" customHeight="1">
      <c r="A274" s="2308"/>
      <c r="B274" s="2311"/>
      <c r="C274" s="2350"/>
      <c r="D274" s="2350"/>
      <c r="E274" s="2350"/>
      <c r="F274" s="2350"/>
    </row>
    <row r="275" spans="1:6" ht="12" customHeight="1">
      <c r="A275" s="2308"/>
      <c r="B275" s="2311"/>
      <c r="C275" s="2350"/>
      <c r="D275" s="2350"/>
      <c r="E275" s="2350"/>
      <c r="F275" s="2350"/>
    </row>
    <row r="276" spans="1:6" ht="12" customHeight="1">
      <c r="A276" s="2308"/>
      <c r="B276" s="2311"/>
      <c r="C276" s="2350"/>
      <c r="D276" s="2350"/>
      <c r="E276" s="2350"/>
      <c r="F276" s="2350"/>
    </row>
    <row r="277" spans="1:6" ht="12" customHeight="1">
      <c r="A277" s="2308"/>
      <c r="B277" s="2311"/>
      <c r="C277" s="2350"/>
      <c r="D277" s="2350"/>
      <c r="E277" s="2350"/>
      <c r="F277" s="2350"/>
    </row>
    <row r="278" spans="1:6" ht="12" customHeight="1">
      <c r="A278" s="2308"/>
      <c r="B278" s="2311"/>
      <c r="C278" s="2350"/>
      <c r="D278" s="2350"/>
      <c r="E278" s="2350"/>
      <c r="F278" s="2350"/>
    </row>
    <row r="279" spans="1:6" ht="12" customHeight="1">
      <c r="A279" s="2308"/>
      <c r="B279" s="2311"/>
      <c r="C279" s="2350"/>
      <c r="D279" s="2350"/>
      <c r="E279" s="2350"/>
      <c r="F279" s="2350"/>
    </row>
    <row r="280" spans="1:6" ht="12" customHeight="1">
      <c r="A280" s="2308"/>
      <c r="B280" s="2311"/>
      <c r="C280" s="2350"/>
      <c r="D280" s="2350"/>
      <c r="E280" s="2350"/>
      <c r="F280" s="2350"/>
    </row>
    <row r="281" spans="1:6" ht="12" customHeight="1">
      <c r="A281" s="2308"/>
      <c r="B281" s="2311"/>
      <c r="C281" s="2350"/>
      <c r="D281" s="2350"/>
      <c r="E281" s="2350"/>
      <c r="F281" s="2350"/>
    </row>
    <row r="282" spans="1:6" ht="12" customHeight="1">
      <c r="A282" s="2308"/>
      <c r="B282" s="2311"/>
      <c r="C282" s="2350"/>
      <c r="D282" s="2350"/>
      <c r="E282" s="2350"/>
      <c r="F282" s="2350"/>
    </row>
    <row r="283" spans="1:6" ht="12" customHeight="1">
      <c r="A283" s="2308"/>
      <c r="B283" s="2311"/>
      <c r="C283" s="2350"/>
      <c r="D283" s="2350"/>
      <c r="E283" s="2350"/>
      <c r="F283" s="2350"/>
    </row>
    <row r="284" spans="1:6" ht="12" customHeight="1">
      <c r="A284" s="2308"/>
      <c r="B284" s="2311"/>
      <c r="C284" s="2350"/>
      <c r="D284" s="2350"/>
      <c r="E284" s="2350"/>
      <c r="F284" s="2350"/>
    </row>
    <row r="285" spans="1:6" ht="12" customHeight="1">
      <c r="A285" s="2308"/>
      <c r="B285" s="2311"/>
      <c r="C285" s="2350"/>
      <c r="D285" s="2350"/>
      <c r="E285" s="2350"/>
      <c r="F285" s="2350"/>
    </row>
    <row r="286" spans="1:6" ht="12" customHeight="1">
      <c r="A286" s="2308"/>
      <c r="B286" s="2311"/>
      <c r="C286" s="2350"/>
      <c r="D286" s="2350"/>
      <c r="E286" s="2350"/>
      <c r="F286" s="2350"/>
    </row>
    <row r="287" spans="1:6" ht="12" customHeight="1">
      <c r="A287" s="2308"/>
      <c r="B287" s="2311"/>
      <c r="C287" s="2350"/>
      <c r="D287" s="2350"/>
      <c r="E287" s="2350"/>
      <c r="F287" s="2350"/>
    </row>
    <row r="288" spans="1:6" ht="12" customHeight="1">
      <c r="A288" s="2308"/>
      <c r="B288" s="2311"/>
      <c r="C288" s="2350"/>
      <c r="D288" s="2350"/>
      <c r="E288" s="2350"/>
      <c r="F288" s="2350"/>
    </row>
    <row r="289" spans="1:6" ht="12" customHeight="1">
      <c r="A289" s="2308"/>
      <c r="B289" s="2311"/>
      <c r="C289" s="2350"/>
      <c r="D289" s="2350"/>
      <c r="E289" s="2350"/>
      <c r="F289" s="2350"/>
    </row>
    <row r="290" spans="1:6" ht="12" customHeight="1">
      <c r="A290" s="2308"/>
      <c r="B290" s="2311"/>
      <c r="C290" s="2350"/>
      <c r="D290" s="2350"/>
      <c r="E290" s="2350"/>
      <c r="F290" s="2350"/>
    </row>
    <row r="291" spans="1:6" ht="12" customHeight="1">
      <c r="A291" s="2308"/>
      <c r="B291" s="2311"/>
      <c r="C291" s="2350"/>
      <c r="D291" s="2350"/>
      <c r="E291" s="2350"/>
      <c r="F291" s="2350"/>
    </row>
    <row r="292" spans="1:6" ht="12" customHeight="1">
      <c r="A292" s="2308"/>
      <c r="B292" s="2311"/>
      <c r="C292" s="2350"/>
      <c r="D292" s="2350"/>
      <c r="E292" s="2350"/>
      <c r="F292" s="2350"/>
    </row>
    <row r="293" spans="1:6" ht="12" customHeight="1">
      <c r="A293" s="2308"/>
      <c r="B293" s="2311"/>
      <c r="C293" s="2350"/>
      <c r="D293" s="2350"/>
      <c r="E293" s="2350"/>
      <c r="F293" s="2350"/>
    </row>
    <row r="294" spans="1:6" ht="12" customHeight="1">
      <c r="A294" s="2308"/>
      <c r="B294" s="2311"/>
      <c r="C294" s="2350"/>
      <c r="D294" s="2350"/>
      <c r="E294" s="2350"/>
      <c r="F294" s="2350"/>
    </row>
    <row r="295" spans="1:6" ht="12" customHeight="1">
      <c r="A295" s="2308"/>
      <c r="B295" s="2311"/>
      <c r="C295" s="2350"/>
      <c r="D295" s="2350"/>
      <c r="E295" s="2350"/>
      <c r="F295" s="2350"/>
    </row>
    <row r="296" spans="1:6" ht="12" customHeight="1">
      <c r="A296" s="2308"/>
      <c r="B296" s="2311"/>
      <c r="C296" s="2350"/>
      <c r="D296" s="2350"/>
      <c r="E296" s="2350"/>
      <c r="F296" s="2350"/>
    </row>
    <row r="297" spans="1:6" ht="12" customHeight="1">
      <c r="A297" s="2308"/>
      <c r="B297" s="2311"/>
      <c r="C297" s="2350"/>
      <c r="D297" s="2350"/>
      <c r="E297" s="2350"/>
      <c r="F297" s="2350"/>
    </row>
    <row r="298" spans="1:6" ht="12" customHeight="1">
      <c r="A298" s="2308"/>
      <c r="B298" s="2311"/>
      <c r="C298" s="2350"/>
      <c r="D298" s="2350"/>
      <c r="E298" s="2350"/>
      <c r="F298" s="2350"/>
    </row>
    <row r="299" spans="1:6" ht="12" customHeight="1">
      <c r="A299" s="2308"/>
      <c r="B299" s="2311"/>
      <c r="C299" s="2350"/>
      <c r="D299" s="2350"/>
      <c r="E299" s="2350"/>
      <c r="F299" s="2350"/>
    </row>
    <row r="300" spans="1:6" ht="12" customHeight="1">
      <c r="A300" s="2308"/>
      <c r="B300" s="2311"/>
      <c r="C300" s="2350"/>
      <c r="D300" s="2350"/>
      <c r="E300" s="2350"/>
      <c r="F300" s="2350"/>
    </row>
    <row r="301" spans="1:6" ht="12" customHeight="1">
      <c r="A301" s="2308"/>
      <c r="B301" s="2311"/>
      <c r="C301" s="2350"/>
      <c r="D301" s="2350"/>
      <c r="E301" s="2350"/>
      <c r="F301" s="2350"/>
    </row>
    <row r="302" spans="1:6" ht="12" customHeight="1">
      <c r="A302" s="2308"/>
      <c r="B302" s="2311"/>
      <c r="C302" s="2350"/>
      <c r="D302" s="2350"/>
      <c r="E302" s="2350"/>
      <c r="F302" s="2350"/>
    </row>
    <row r="303" spans="1:6" ht="12" customHeight="1">
      <c r="A303" s="2308"/>
      <c r="B303" s="2311"/>
      <c r="C303" s="2350"/>
      <c r="D303" s="2350"/>
      <c r="E303" s="2350"/>
      <c r="F303" s="2350"/>
    </row>
    <row r="304" spans="1:6" ht="12" customHeight="1">
      <c r="A304" s="2308"/>
      <c r="B304" s="2311"/>
      <c r="C304" s="2350"/>
      <c r="D304" s="2350"/>
      <c r="E304" s="2350"/>
      <c r="F304" s="2350"/>
    </row>
    <row r="305" spans="1:6" ht="12" customHeight="1">
      <c r="A305" s="2308"/>
      <c r="B305" s="2311"/>
      <c r="C305" s="2350"/>
      <c r="D305" s="2350"/>
      <c r="E305" s="2350"/>
      <c r="F305" s="2350"/>
    </row>
    <row r="306" spans="1:6" ht="12" customHeight="1">
      <c r="A306" s="2308"/>
      <c r="B306" s="2311"/>
      <c r="C306" s="2350"/>
      <c r="D306" s="2350"/>
      <c r="E306" s="2350"/>
      <c r="F306" s="2350"/>
    </row>
    <row r="307" spans="1:6" ht="12" customHeight="1">
      <c r="A307" s="2308"/>
      <c r="B307" s="2311"/>
      <c r="C307" s="2350"/>
      <c r="D307" s="2350"/>
      <c r="E307" s="2350"/>
      <c r="F307" s="2350"/>
    </row>
  </sheetData>
  <sheetProtection algorithmName="SHA-512" hashValue="gRObz/J/7ZLJWNaBSqkbRK/Khbk5q03DAOXzUqtnqvxGPBVotBoImry19Z/MJFO2m3gjPiouevusR1pgGp26rQ==" saltValue="I0ylyy6JaiuW6dz0/W6XvQ==" spinCount="100000" sheet="1" objects="1" scenarios="1"/>
  <phoneticPr fontId="37" type="noConversion"/>
  <dataValidations count="2">
    <dataValidation type="whole" operator="greaterThanOrEqual" showInputMessage="1" showErrorMessage="1" errorTitle="Invalid beginning cash balance" error="Please enter a number or press the delete key or enter zero." sqref="C9">
      <formula1>-1000000000</formula1>
    </dataValidation>
    <dataValidation type="whole" operator="greaterThanOrEqual" showInputMessage="1" showErrorMessage="1" errorTitle="Invalid Data Entry" error="Please enter a positive number or press the delete key or enter zero." sqref="C10:D10 C14 C15:D15 C18:D18 C19:E19 F20 C22:D22 C28:D28 C24:D24 C32:E32 F34 C26">
      <formula1>0</formula1>
    </dataValidation>
  </dataValidations>
  <hyperlinks>
    <hyperlink ref="H1" location="Contents!F1" display="Return to Contents page"/>
  </hyperlinks>
  <printOptions horizontalCentered="1"/>
  <pageMargins left="0.25" right="0.25" top="0.5" bottom="0.5" header="0.5" footer="0.5"/>
  <pageSetup orientation="portrait" blackAndWhite="1" r:id="rId1"/>
  <headerFooter alignWithMargins="0">
    <oddFooter>&amp;L&amp;"Geneva,Regular"&amp;D     &amp;T &amp;CCode No. 86</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4" tint="0.39997558519241921"/>
  </sheetPr>
  <dimension ref="A1:R95"/>
  <sheetViews>
    <sheetView topLeftCell="A55" zoomScaleNormal="100" workbookViewId="0"/>
  </sheetViews>
  <sheetFormatPr defaultColWidth="10.7109375" defaultRowHeight="14.25"/>
  <cols>
    <col min="1" max="1" width="36.140625" style="2356" customWidth="1"/>
    <col min="2" max="2" width="4.85546875" style="2424" customWidth="1"/>
    <col min="3" max="3" width="15.7109375" style="2363" customWidth="1"/>
    <col min="4" max="4" width="7" style="2363" customWidth="1"/>
    <col min="5" max="5" width="15.7109375" style="2363" customWidth="1"/>
    <col min="6" max="6" width="6.85546875" style="2363" customWidth="1"/>
    <col min="7" max="7" width="15.7109375" style="2363" customWidth="1"/>
    <col min="8" max="8" width="13.7109375" style="2363" customWidth="1"/>
    <col min="9" max="9" width="8.140625" style="2363" customWidth="1"/>
    <col min="10" max="10" width="21" style="2363" customWidth="1"/>
    <col min="11" max="11" width="18.5703125" style="2363" customWidth="1"/>
    <col min="12" max="12" width="17.5703125" style="2363" customWidth="1"/>
    <col min="13" max="13" width="13.7109375" style="2363" customWidth="1"/>
    <col min="14" max="14" width="16.28515625" style="2363" customWidth="1"/>
    <col min="15" max="16384" width="10.7109375" style="2363"/>
  </cols>
  <sheetData>
    <row r="1" spans="1:14" s="2356" customFormat="1" ht="12.75" customHeight="1">
      <c r="A1" s="2352" t="s">
        <v>1020</v>
      </c>
      <c r="B1" s="2353"/>
      <c r="C1" s="2354"/>
      <c r="D1" s="2354"/>
      <c r="E1" s="2354"/>
      <c r="F1" s="2354"/>
      <c r="G1" s="2354"/>
      <c r="H1" s="2355" t="s">
        <v>1019</v>
      </c>
      <c r="I1" s="2354">
        <f>OPEN!$B$4</f>
        <v>270</v>
      </c>
      <c r="J1" s="3013" t="s">
        <v>866</v>
      </c>
      <c r="K1" s="2354"/>
      <c r="L1" s="2354"/>
      <c r="M1" s="2354"/>
      <c r="N1" s="2354"/>
    </row>
    <row r="2" spans="1:14" s="2356" customFormat="1" ht="14.25" customHeight="1">
      <c r="A2" s="2352" t="s">
        <v>920</v>
      </c>
      <c r="B2" s="2353"/>
      <c r="C2" s="2354"/>
      <c r="D2" s="2354"/>
      <c r="E2" s="2354"/>
      <c r="F2" s="2354"/>
      <c r="G2" s="2354"/>
      <c r="H2" s="2354"/>
      <c r="I2" s="2357"/>
      <c r="J2" s="2354"/>
      <c r="K2" s="2354"/>
      <c r="L2" s="2354"/>
      <c r="M2" s="2354"/>
      <c r="N2" s="2354"/>
    </row>
    <row r="3" spans="1:14" s="2356" customFormat="1" ht="12.75" customHeight="1">
      <c r="A3" s="2352" t="str">
        <f>OPEN!N2</f>
        <v>2016-2017</v>
      </c>
      <c r="B3" s="2353"/>
      <c r="C3" s="2354"/>
      <c r="D3" s="2354"/>
      <c r="E3" s="2354"/>
      <c r="F3" s="2354"/>
      <c r="G3" s="2354"/>
      <c r="H3" s="2354"/>
      <c r="I3" s="2354"/>
      <c r="J3" s="2354"/>
      <c r="K3" s="2354"/>
      <c r="L3" s="2354"/>
      <c r="M3" s="2354"/>
      <c r="N3" s="2354"/>
    </row>
    <row r="4" spans="1:14" s="2356" customFormat="1">
      <c r="A4" s="2358" t="str">
        <f>"NOTICE OF HEARING "&amp;OPEN!P4&amp;" BUDGET"</f>
        <v>NOTICE OF HEARING 2016-2017 BUDGET</v>
      </c>
      <c r="B4" s="2359"/>
      <c r="C4" s="2359"/>
      <c r="D4" s="2359"/>
      <c r="E4" s="2359"/>
      <c r="F4" s="2359"/>
      <c r="G4" s="2359"/>
      <c r="H4" s="2359"/>
      <c r="I4" s="2359"/>
      <c r="J4" s="2354"/>
      <c r="K4" s="2354"/>
      <c r="L4" s="2354"/>
      <c r="M4" s="2354"/>
      <c r="N4" s="2354"/>
    </row>
    <row r="5" spans="1:14" s="2356" customFormat="1" ht="5.0999999999999996" customHeight="1">
      <c r="A5" s="2359"/>
      <c r="B5" s="2359"/>
      <c r="C5" s="2359"/>
      <c r="D5" s="2359"/>
      <c r="E5" s="2359"/>
      <c r="F5" s="2359"/>
      <c r="G5" s="2359"/>
      <c r="H5" s="2359"/>
      <c r="I5" s="2359"/>
      <c r="J5" s="2354"/>
      <c r="K5" s="2354"/>
      <c r="L5" s="2354"/>
      <c r="M5" s="2354"/>
      <c r="N5" s="2354"/>
    </row>
    <row r="6" spans="1:14" ht="12" customHeight="1">
      <c r="A6" s="2359" t="str">
        <f>"The governing body of "&amp;Headings!B10&amp;" will meet on the "&amp;Headings!B11&amp;" day of "&amp;Headings!B12&amp;", "&amp;OPEN!Q5&amp;" at "&amp;Headings!B13&amp;","</f>
        <v>The governing body of Unified School District 270 will meet on the 8th  day of August, 2016 at 6:45,</v>
      </c>
      <c r="B6" s="2360"/>
      <c r="C6" s="2360"/>
      <c r="D6" s="2361"/>
      <c r="E6" s="2361"/>
      <c r="F6" s="2361"/>
      <c r="G6" s="2361"/>
      <c r="H6" s="2361"/>
      <c r="I6" s="2361"/>
      <c r="J6" s="2362"/>
      <c r="K6" s="2362"/>
      <c r="L6" s="2362"/>
      <c r="M6" s="2362"/>
      <c r="N6" s="2362"/>
    </row>
    <row r="7" spans="1:14" ht="12" customHeight="1">
      <c r="A7" s="3022" t="str">
        <f>"at "&amp;Headings!B14&amp;" for the purpose of hearing and answering objections of taxpayers relating to the proposed"</f>
        <v>at 203 SE Cardinal Ave. for the purpose of hearing and answering objections of taxpayers relating to the proposed</v>
      </c>
      <c r="B7" s="2361"/>
      <c r="C7" s="2361"/>
      <c r="D7" s="2361"/>
      <c r="E7" s="2361"/>
      <c r="F7" s="2361"/>
      <c r="G7" s="2361"/>
      <c r="H7" s="2361"/>
      <c r="I7" s="2361"/>
      <c r="J7" s="2362"/>
      <c r="K7" s="2362"/>
      <c r="L7" s="2362"/>
      <c r="M7" s="2362"/>
      <c r="N7" s="2362"/>
    </row>
    <row r="8" spans="1:14" ht="12" customHeight="1">
      <c r="A8" s="2359" t="s">
        <v>956</v>
      </c>
      <c r="B8" s="2361"/>
      <c r="C8" s="2361"/>
      <c r="D8" s="2361"/>
      <c r="E8" s="2361"/>
      <c r="F8" s="2361"/>
      <c r="G8" s="2361"/>
      <c r="H8" s="2361"/>
      <c r="I8" s="2361"/>
      <c r="J8" s="2362"/>
      <c r="K8" s="2362"/>
      <c r="L8" s="2362"/>
      <c r="M8" s="2362"/>
      <c r="N8" s="2362"/>
    </row>
    <row r="9" spans="1:14" s="2356" customFormat="1" ht="12" customHeight="1">
      <c r="A9" s="2359" t="str">
        <f>Headings!B15&amp;" and will be available at this hearing."</f>
        <v>district office and will be available at this hearing.</v>
      </c>
      <c r="B9" s="2359"/>
      <c r="C9" s="2359"/>
      <c r="D9" s="2359"/>
      <c r="E9" s="2359"/>
      <c r="F9" s="2359"/>
      <c r="G9" s="2359"/>
      <c r="H9" s="2359"/>
      <c r="I9" s="2359"/>
      <c r="J9" s="2354"/>
      <c r="K9" s="2354"/>
      <c r="L9" s="2354"/>
      <c r="M9" s="2354"/>
      <c r="N9" s="2354"/>
    </row>
    <row r="10" spans="1:14" s="2356" customFormat="1" ht="5.0999999999999996" customHeight="1">
      <c r="A10" s="2359"/>
      <c r="B10" s="2359"/>
      <c r="C10" s="2359"/>
      <c r="D10" s="2359"/>
      <c r="E10" s="2359"/>
      <c r="F10" s="2359"/>
      <c r="G10" s="2359"/>
      <c r="H10" s="2359"/>
      <c r="I10" s="2359"/>
      <c r="J10" s="2354"/>
      <c r="K10" s="2354"/>
      <c r="L10" s="2354"/>
      <c r="M10" s="2354"/>
      <c r="N10" s="2354"/>
    </row>
    <row r="11" spans="1:14" s="2356" customFormat="1" ht="12" customHeight="1">
      <c r="A11" s="2359" t="str">
        <f>"The Amount of "&amp;OPEN!Q5&amp;" Tax to be Levied and Expenditures (published below) establish the maximum limits of the "&amp;OPEN!P4&amp;" Budget."</f>
        <v>The Amount of 2016 Tax to be Levied and Expenditures (published below) establish the maximum limits of the 2016-2017 Budget.</v>
      </c>
      <c r="B11" s="2359"/>
      <c r="C11" s="2359"/>
      <c r="D11" s="2359"/>
      <c r="E11" s="2359"/>
      <c r="F11" s="2359"/>
      <c r="G11" s="2359"/>
      <c r="H11" s="2359"/>
      <c r="I11" s="2359"/>
      <c r="J11" s="2354"/>
      <c r="K11" s="2354"/>
      <c r="L11" s="2354"/>
      <c r="M11" s="2354"/>
      <c r="N11" s="2354"/>
    </row>
    <row r="12" spans="1:14" s="2356" customFormat="1" ht="12" customHeight="1">
      <c r="A12" s="2359" t="s">
        <v>921</v>
      </c>
      <c r="B12" s="2359"/>
      <c r="C12" s="2359"/>
      <c r="D12" s="2359"/>
      <c r="E12" s="2359"/>
      <c r="F12" s="2359"/>
      <c r="G12" s="2359"/>
      <c r="H12" s="2359"/>
      <c r="I12" s="2359"/>
      <c r="J12" s="2354"/>
      <c r="K12" s="2354"/>
      <c r="L12" s="2354"/>
      <c r="M12" s="2354"/>
      <c r="N12" s="2354"/>
    </row>
    <row r="13" spans="1:14" s="2364" customFormat="1" ht="6" customHeight="1">
      <c r="A13" s="2354"/>
      <c r="B13" s="2353"/>
      <c r="C13" s="2354"/>
      <c r="D13" s="2354"/>
      <c r="E13" s="2354"/>
      <c r="F13" s="2354"/>
      <c r="G13" s="2354"/>
      <c r="H13" s="2354"/>
      <c r="I13" s="2354"/>
      <c r="J13" s="2354"/>
      <c r="K13" s="2354"/>
      <c r="L13" s="2354"/>
      <c r="M13" s="2354"/>
      <c r="N13" s="2354"/>
    </row>
    <row r="14" spans="1:14" ht="11.85" customHeight="1">
      <c r="A14" s="2352"/>
      <c r="B14" s="2365"/>
      <c r="C14" s="2366" t="str">
        <f>OPEN!N4&amp;" Actual"</f>
        <v>2014-2015 Actual</v>
      </c>
      <c r="D14" s="2367"/>
      <c r="E14" s="2366" t="str">
        <f>OPEN!O4&amp;" Actual"</f>
        <v>2015-2016 Actual</v>
      </c>
      <c r="F14" s="2367"/>
      <c r="G14" s="2366" t="str">
        <f>"PROPOSED BUDGET "&amp;OPEN!P4</f>
        <v>PROPOSED BUDGET 2016-2017</v>
      </c>
      <c r="H14" s="2368"/>
      <c r="I14" s="2367"/>
      <c r="J14" s="2362"/>
      <c r="K14" s="2362"/>
      <c r="L14" s="2362"/>
      <c r="M14" s="2362"/>
      <c r="N14" s="2362"/>
    </row>
    <row r="15" spans="1:14" ht="11.1" customHeight="1">
      <c r="A15" s="2352"/>
      <c r="B15" s="2365"/>
      <c r="C15" s="2369"/>
      <c r="D15" s="2369" t="s">
        <v>1139</v>
      </c>
      <c r="E15" s="2369"/>
      <c r="F15" s="2369" t="s">
        <v>1139</v>
      </c>
      <c r="G15" s="2369"/>
      <c r="H15" s="2369" t="str">
        <f>"Amount of "&amp;OPEN!Q5</f>
        <v>Amount of 2016</v>
      </c>
      <c r="I15" s="2369" t="s">
        <v>922</v>
      </c>
      <c r="J15" s="2362"/>
      <c r="K15" s="2362"/>
      <c r="L15" s="2362"/>
      <c r="M15" s="2362"/>
      <c r="N15" s="2362"/>
    </row>
    <row r="16" spans="1:14" ht="12" customHeight="1">
      <c r="A16" s="2352"/>
      <c r="B16" s="2369" t="s">
        <v>1045</v>
      </c>
      <c r="C16" s="2370" t="s">
        <v>1139</v>
      </c>
      <c r="D16" s="2370" t="s">
        <v>1140</v>
      </c>
      <c r="E16" s="2370" t="s">
        <v>923</v>
      </c>
      <c r="F16" s="2370" t="s">
        <v>1140</v>
      </c>
      <c r="G16" s="2370"/>
      <c r="H16" s="2370" t="s">
        <v>924</v>
      </c>
      <c r="I16" s="2370" t="s">
        <v>1140</v>
      </c>
      <c r="J16" s="2362"/>
      <c r="K16" s="2362"/>
      <c r="L16" s="2362"/>
      <c r="M16" s="2362"/>
      <c r="N16" s="2362"/>
    </row>
    <row r="17" spans="1:14" ht="12" customHeight="1">
      <c r="A17" s="2352"/>
      <c r="B17" s="2370">
        <v>99</v>
      </c>
      <c r="C17" s="2370" t="s">
        <v>1048</v>
      </c>
      <c r="D17" s="2370" t="s">
        <v>925</v>
      </c>
      <c r="E17" s="2370" t="s">
        <v>1048</v>
      </c>
      <c r="F17" s="2370" t="s">
        <v>925</v>
      </c>
      <c r="G17" s="2370" t="s">
        <v>1048</v>
      </c>
      <c r="H17" s="2370" t="s">
        <v>1049</v>
      </c>
      <c r="I17" s="2370" t="s">
        <v>925</v>
      </c>
      <c r="J17" s="2362"/>
      <c r="K17" s="2362"/>
      <c r="L17" s="2362"/>
      <c r="M17" s="2362"/>
      <c r="N17" s="2362"/>
    </row>
    <row r="18" spans="1:14" ht="12" customHeight="1">
      <c r="A18" s="2352"/>
      <c r="B18" s="2371" t="s">
        <v>1051</v>
      </c>
      <c r="C18" s="2372">
        <v>1</v>
      </c>
      <c r="D18" s="2372">
        <v>2</v>
      </c>
      <c r="E18" s="2372">
        <v>3</v>
      </c>
      <c r="F18" s="2372">
        <v>4</v>
      </c>
      <c r="G18" s="2372">
        <v>5</v>
      </c>
      <c r="H18" s="2372">
        <v>6</v>
      </c>
      <c r="I18" s="2372">
        <v>7</v>
      </c>
      <c r="J18" s="2362"/>
      <c r="K18" s="2362"/>
      <c r="L18" s="2362"/>
      <c r="M18" s="2362"/>
      <c r="N18" s="2362"/>
    </row>
    <row r="19" spans="1:14" ht="12" customHeight="1">
      <c r="A19" s="2373" t="s">
        <v>926</v>
      </c>
      <c r="B19" s="2374"/>
      <c r="C19" s="2375"/>
      <c r="D19" s="2376"/>
      <c r="E19" s="2375"/>
      <c r="F19" s="2376"/>
      <c r="G19" s="2375"/>
      <c r="H19" s="2375"/>
      <c r="I19" s="2377"/>
      <c r="J19" s="2362"/>
      <c r="K19" s="2362"/>
      <c r="L19" s="2362"/>
      <c r="M19" s="2362"/>
      <c r="N19" s="2362"/>
    </row>
    <row r="20" spans="1:14" ht="12" customHeight="1">
      <c r="A20" s="2378" t="s">
        <v>927</v>
      </c>
      <c r="B20" s="2379">
        <v>6</v>
      </c>
      <c r="C20" s="2380">
        <f>'C06'!C49</f>
        <v>2798620</v>
      </c>
      <c r="D20" s="2381">
        <f>OPEN!$B$22</f>
        <v>20</v>
      </c>
      <c r="E20" s="2380">
        <f>'C06'!D49</f>
        <v>2975503</v>
      </c>
      <c r="F20" s="2381">
        <f>OPEN!$D$22</f>
        <v>20</v>
      </c>
      <c r="G20" s="2380">
        <f>IF(ISERROR('C06'!E49),0,'C06'!E49)</f>
        <v>3131576</v>
      </c>
      <c r="H20" s="2380">
        <f>OPEN!A16*(20/1000)</f>
        <v>583599</v>
      </c>
      <c r="I20" s="2381">
        <v>20</v>
      </c>
      <c r="J20" s="2362"/>
      <c r="K20" s="2362"/>
      <c r="L20" s="2362"/>
      <c r="M20" s="2362"/>
      <c r="N20" s="2362"/>
    </row>
    <row r="21" spans="1:14" ht="12" customHeight="1">
      <c r="A21" s="2382" t="s">
        <v>928</v>
      </c>
      <c r="B21" s="2383">
        <v>8</v>
      </c>
      <c r="C21" s="2384">
        <f>'C08'!$C$33</f>
        <v>962002</v>
      </c>
      <c r="D21" s="2385">
        <f>OPEN!$B$23</f>
        <v>14.792999999999999</v>
      </c>
      <c r="E21" s="2384">
        <f>'C08'!$D$33</f>
        <v>766029</v>
      </c>
      <c r="F21" s="2385">
        <f>OPEN!$D$23</f>
        <v>9.6880000000000006</v>
      </c>
      <c r="G21" s="2384">
        <f>IF(ISERROR('C08'!$E$33),0,'C08'!$E$33)</f>
        <v>962024</v>
      </c>
      <c r="H21" s="2386">
        <f>IF(OR(ISERROR('C08'!E39),'C08'!E39="ERROR"),0,'C08'!E39)</f>
        <v>552511</v>
      </c>
      <c r="I21" s="2385">
        <f>IF(ISERROR(H21/G81*1000),0,H21/G81*1000)</f>
        <v>17.466999999999999</v>
      </c>
      <c r="J21" s="2362"/>
      <c r="K21" s="2362"/>
      <c r="L21" s="2362"/>
      <c r="M21" s="2362"/>
      <c r="N21" s="2362"/>
    </row>
    <row r="22" spans="1:14" ht="12" customHeight="1">
      <c r="A22" s="2373" t="s">
        <v>929</v>
      </c>
      <c r="B22" s="2374"/>
      <c r="C22" s="2375"/>
      <c r="D22" s="2376"/>
      <c r="E22" s="2375"/>
      <c r="F22" s="2376"/>
      <c r="G22" s="2375"/>
      <c r="H22" s="2375"/>
      <c r="I22" s="2376"/>
      <c r="J22" s="2362"/>
      <c r="K22" s="2362"/>
      <c r="L22" s="2362"/>
      <c r="M22" s="2362"/>
      <c r="N22" s="2362"/>
    </row>
    <row r="23" spans="1:14" ht="12" customHeight="1">
      <c r="A23" s="2378" t="s">
        <v>930</v>
      </c>
      <c r="B23" s="2379">
        <v>10</v>
      </c>
      <c r="C23" s="2380">
        <f>'C010'!C50</f>
        <v>0</v>
      </c>
      <c r="D23" s="2381">
        <f>OPEN!$B$24</f>
        <v>0</v>
      </c>
      <c r="E23" s="2380">
        <f>'C010'!D50</f>
        <v>0</v>
      </c>
      <c r="F23" s="2381">
        <f>OPEN!$D$24</f>
        <v>0</v>
      </c>
      <c r="G23" s="2380">
        <f>IF(ISERROR('C010'!E50),0,'C010'!E50)</f>
        <v>0</v>
      </c>
      <c r="H23" s="2380">
        <f>IF(ISERROR('C010'!$F$17),0,'C010'!$F$17)</f>
        <v>0</v>
      </c>
      <c r="I23" s="2381">
        <f>IF(ISERROR(H23/G81*1000),0,H23/G81*1000)</f>
        <v>0</v>
      </c>
      <c r="J23" s="2362"/>
      <c r="K23" s="2362"/>
      <c r="L23" s="2362"/>
      <c r="M23" s="2362"/>
      <c r="N23" s="2362"/>
    </row>
    <row r="24" spans="1:14" ht="12" customHeight="1">
      <c r="A24" s="2382" t="s">
        <v>931</v>
      </c>
      <c r="B24" s="2383">
        <v>12</v>
      </c>
      <c r="C24" s="2384">
        <f>'C012'!C24</f>
        <v>0</v>
      </c>
      <c r="D24" s="2376"/>
      <c r="E24" s="2384">
        <f>'C012'!D24</f>
        <v>0</v>
      </c>
      <c r="F24" s="2376"/>
      <c r="G24" s="2384">
        <f>IF(ISERROR('C012'!E24),0,'C012'!E24)</f>
        <v>0</v>
      </c>
      <c r="H24" s="2375"/>
      <c r="I24" s="2376"/>
      <c r="J24" s="2362"/>
      <c r="K24" s="2362"/>
      <c r="L24" s="2362"/>
      <c r="M24" s="2362"/>
      <c r="N24" s="2362"/>
    </row>
    <row r="25" spans="1:14" ht="12" customHeight="1">
      <c r="A25" s="2382" t="s">
        <v>932</v>
      </c>
      <c r="B25" s="2383">
        <v>14</v>
      </c>
      <c r="C25" s="2375">
        <f>'C014'!C23</f>
        <v>0</v>
      </c>
      <c r="D25" s="2387"/>
      <c r="E25" s="2375">
        <f>'C014'!D23</f>
        <v>0</v>
      </c>
      <c r="F25" s="2387"/>
      <c r="G25" s="2384">
        <f>IF(ISERROR('C014'!E23),0,'C014'!E23)</f>
        <v>0</v>
      </c>
      <c r="H25" s="2388"/>
      <c r="I25" s="2387"/>
      <c r="J25" s="2362"/>
      <c r="K25" s="2362"/>
      <c r="L25" s="2362"/>
      <c r="M25" s="2362"/>
      <c r="N25" s="2362"/>
    </row>
    <row r="26" spans="1:14" ht="12" customHeight="1">
      <c r="A26" s="2382" t="s">
        <v>1147</v>
      </c>
      <c r="B26" s="2796">
        <v>15</v>
      </c>
      <c r="C26" s="2384">
        <f>'C015'!C24</f>
        <v>0</v>
      </c>
      <c r="D26" s="2389"/>
      <c r="E26" s="2384">
        <f>'C015'!D24</f>
        <v>0</v>
      </c>
      <c r="F26" s="3122"/>
      <c r="G26" s="2384">
        <f>IF(ISERROR('C015'!E24),0,'C015'!E24)</f>
        <v>0</v>
      </c>
      <c r="H26" s="2388"/>
      <c r="I26" s="2387"/>
      <c r="J26" s="2362"/>
      <c r="K26" s="2362"/>
      <c r="L26" s="2362"/>
      <c r="M26" s="2362"/>
      <c r="N26" s="2362"/>
    </row>
    <row r="27" spans="1:14" ht="12" customHeight="1">
      <c r="A27" s="2382" t="s">
        <v>933</v>
      </c>
      <c r="B27" s="2796">
        <v>16</v>
      </c>
      <c r="C27" s="2380">
        <f>'C016'!C43</f>
        <v>417104</v>
      </c>
      <c r="D27" s="2389">
        <f>OPEN!$B$25</f>
        <v>8</v>
      </c>
      <c r="E27" s="2380">
        <f>'C016'!D43</f>
        <v>377535</v>
      </c>
      <c r="F27" s="3122">
        <f>OPEN!$D$25</f>
        <v>8</v>
      </c>
      <c r="G27" s="2384">
        <f>IF(ISERROR('C016'!E43),0,'C016'!E43)</f>
        <v>701990</v>
      </c>
      <c r="H27" s="2388">
        <f>IF(ISERROR('C016'!$F$17),0,'C016'!$F$17)</f>
        <v>253049</v>
      </c>
      <c r="I27" s="2387">
        <f>IF(ISERROR(H27/G81*1000),0,H27/G81*1000)</f>
        <v>8</v>
      </c>
      <c r="J27" s="2362"/>
      <c r="K27" s="2362"/>
      <c r="L27" s="2362"/>
      <c r="M27" s="2362"/>
      <c r="N27" s="2362"/>
    </row>
    <row r="28" spans="1:14" ht="12" customHeight="1">
      <c r="A28" s="2382" t="s">
        <v>941</v>
      </c>
      <c r="B28" s="2383">
        <v>18</v>
      </c>
      <c r="C28" s="2595">
        <f>'C018'!C24</f>
        <v>5398</v>
      </c>
      <c r="D28" s="2376"/>
      <c r="E28" s="2698">
        <f>'C018'!D24</f>
        <v>6848</v>
      </c>
      <c r="F28" s="2376"/>
      <c r="G28" s="2567">
        <f>IF(ISERROR('C018'!E24),0,'C018'!E24)</f>
        <v>11760</v>
      </c>
      <c r="H28" s="2594"/>
      <c r="I28" s="2376"/>
      <c r="J28" s="2362"/>
      <c r="K28" s="2362"/>
      <c r="L28" s="2362"/>
      <c r="M28" s="2362"/>
      <c r="N28" s="2362"/>
    </row>
    <row r="29" spans="1:14" ht="12" customHeight="1">
      <c r="A29" s="2382" t="s">
        <v>1067</v>
      </c>
      <c r="B29" s="2383">
        <v>22</v>
      </c>
      <c r="C29" s="2566">
        <f>'C022'!$C$23</f>
        <v>0</v>
      </c>
      <c r="D29" s="2387"/>
      <c r="E29" s="2567">
        <f>'C022'!$D$23</f>
        <v>0</v>
      </c>
      <c r="F29" s="2387"/>
      <c r="G29" s="2567">
        <f xml:space="preserve">  IF(ISERROR('C022'!E23),0,'C022'!E23)</f>
        <v>0</v>
      </c>
      <c r="H29" s="2596"/>
      <c r="I29" s="2387"/>
      <c r="J29" s="2362"/>
      <c r="K29" s="2362"/>
      <c r="L29" s="2362"/>
      <c r="M29" s="2362"/>
      <c r="N29" s="2362"/>
    </row>
    <row r="30" spans="1:14" ht="12" customHeight="1">
      <c r="A30" s="2382" t="s">
        <v>942</v>
      </c>
      <c r="B30" s="2383">
        <v>24</v>
      </c>
      <c r="C30" s="2566">
        <f>'C024'!C32</f>
        <v>266509</v>
      </c>
      <c r="D30" s="2387"/>
      <c r="E30" s="2567">
        <f>'C024'!D32</f>
        <v>229645</v>
      </c>
      <c r="F30" s="2387"/>
      <c r="G30" s="2567">
        <f>IF(ISERROR('C024'!E32),0,'C024'!E32)</f>
        <v>307550</v>
      </c>
      <c r="H30" s="2596"/>
      <c r="I30" s="2387"/>
      <c r="J30" s="2362"/>
      <c r="K30" s="2362"/>
      <c r="L30" s="2362"/>
      <c r="M30" s="2362"/>
      <c r="N30" s="2362"/>
    </row>
    <row r="31" spans="1:14" ht="12" customHeight="1">
      <c r="A31" s="2382" t="s">
        <v>756</v>
      </c>
      <c r="B31" s="2383">
        <v>26</v>
      </c>
      <c r="C31" s="2566">
        <f>'C026'!C80</f>
        <v>2626</v>
      </c>
      <c r="D31" s="2387"/>
      <c r="E31" s="2567">
        <f>'C026'!D80</f>
        <v>804</v>
      </c>
      <c r="F31" s="2387"/>
      <c r="G31" s="2567">
        <f>IF(ISERROR('C026'!E80),0,'C026'!E80)</f>
        <v>24000</v>
      </c>
      <c r="H31" s="2596"/>
      <c r="I31" s="2387"/>
      <c r="J31" s="2362"/>
      <c r="K31" s="2362"/>
      <c r="L31" s="2362"/>
      <c r="M31" s="2362"/>
      <c r="N31" s="2362"/>
    </row>
    <row r="32" spans="1:14" ht="12" customHeight="1">
      <c r="A32" s="2382" t="s">
        <v>947</v>
      </c>
      <c r="B32" s="2383">
        <v>28</v>
      </c>
      <c r="C32" s="2566">
        <f>'C028'!C25</f>
        <v>567</v>
      </c>
      <c r="D32" s="2387"/>
      <c r="E32" s="2567">
        <f>'C028'!D25</f>
        <v>775</v>
      </c>
      <c r="F32" s="2387"/>
      <c r="G32" s="2567">
        <f>IF(ISERROR('C028'!E25),0,'C028'!E25)</f>
        <v>1261</v>
      </c>
      <c r="H32" s="2596"/>
      <c r="I32" s="2387"/>
      <c r="J32" s="2362"/>
      <c r="K32" s="2362"/>
      <c r="L32" s="2362"/>
      <c r="M32" s="2362"/>
      <c r="N32" s="2362"/>
    </row>
    <row r="33" spans="1:14" ht="12" customHeight="1">
      <c r="A33" s="2382" t="s">
        <v>1072</v>
      </c>
      <c r="B33" s="2383">
        <v>29</v>
      </c>
      <c r="C33" s="2566">
        <f>'C029'!C27</f>
        <v>16892</v>
      </c>
      <c r="D33" s="2387"/>
      <c r="E33" s="2567">
        <f>'C029'!D27</f>
        <v>8493</v>
      </c>
      <c r="F33" s="2387"/>
      <c r="G33" s="2567">
        <f>IF(ISERROR('C029'!E27),0,'C029'!E27)</f>
        <v>17060</v>
      </c>
      <c r="H33" s="2596"/>
      <c r="I33" s="2387"/>
      <c r="J33" s="2362"/>
      <c r="K33" s="2362"/>
      <c r="L33" s="2362"/>
      <c r="M33" s="2362"/>
      <c r="N33" s="2362"/>
    </row>
    <row r="34" spans="1:14" ht="12" customHeight="1">
      <c r="A34" s="2382" t="s">
        <v>948</v>
      </c>
      <c r="B34" s="2383">
        <v>30</v>
      </c>
      <c r="C34" s="2566">
        <f>'C030'!C28</f>
        <v>618088</v>
      </c>
      <c r="D34" s="2387"/>
      <c r="E34" s="2384">
        <f>'C030'!D28</f>
        <v>640256</v>
      </c>
      <c r="F34" s="2387"/>
      <c r="G34" s="2384">
        <f>IF(ISERROR('C030'!E28),0,'C030'!E28)</f>
        <v>728437</v>
      </c>
      <c r="H34" s="2596"/>
      <c r="I34" s="2387"/>
      <c r="J34" s="2362"/>
      <c r="K34" s="2362"/>
      <c r="L34" s="2362"/>
      <c r="M34" s="2362"/>
      <c r="N34" s="2362"/>
    </row>
    <row r="35" spans="1:14" ht="12" customHeight="1">
      <c r="A35" s="2382" t="s">
        <v>949</v>
      </c>
      <c r="B35" s="2383">
        <v>34</v>
      </c>
      <c r="C35" s="2566">
        <f>'C034'!C35</f>
        <v>278087</v>
      </c>
      <c r="D35" s="2579"/>
      <c r="E35" s="2384">
        <f>'C034'!D35</f>
        <v>301141</v>
      </c>
      <c r="F35" s="2389"/>
      <c r="G35" s="2384">
        <f>IF(ISERROR('C034'!E35),0,'C034'!E35)</f>
        <v>316500</v>
      </c>
      <c r="H35" s="2596"/>
      <c r="I35" s="2387"/>
      <c r="J35" s="2362"/>
      <c r="K35" s="2362"/>
      <c r="L35" s="2362"/>
      <c r="M35" s="2362"/>
      <c r="N35" s="2362"/>
    </row>
    <row r="36" spans="1:14" ht="12" customHeight="1">
      <c r="A36" s="2382" t="s">
        <v>159</v>
      </c>
      <c r="B36" s="2383">
        <v>42</v>
      </c>
      <c r="C36" s="2566">
        <f>'C042'!C46</f>
        <v>0</v>
      </c>
      <c r="D36" s="3273">
        <f>OPEN!B26</f>
        <v>0</v>
      </c>
      <c r="E36" s="2380">
        <f>'C042'!D46</f>
        <v>0</v>
      </c>
      <c r="F36" s="2417">
        <f>OPEN!D26</f>
        <v>0</v>
      </c>
      <c r="G36" s="2380">
        <f>'C042'!E46</f>
        <v>0</v>
      </c>
      <c r="H36" s="2698">
        <f>IF(ISERROR('C042'!$F$52),0,'C042'!$F$52)</f>
        <v>0</v>
      </c>
      <c r="I36" s="2381">
        <f>IF(ISERROR(H36/G81*1000),0,H36/G81*1000)</f>
        <v>0</v>
      </c>
      <c r="J36" s="2362"/>
      <c r="K36" s="2362"/>
      <c r="L36" s="2362"/>
      <c r="M36" s="2362"/>
      <c r="N36" s="2362"/>
    </row>
    <row r="37" spans="1:14" ht="12" customHeight="1">
      <c r="A37" s="2382" t="s">
        <v>950</v>
      </c>
      <c r="B37" s="2383">
        <v>44</v>
      </c>
      <c r="C37" s="2566">
        <f>'C044'!C34</f>
        <v>0</v>
      </c>
      <c r="D37" s="2381">
        <f>OPEN!$B$27</f>
        <v>0</v>
      </c>
      <c r="E37" s="3309">
        <f>'C044'!D34</f>
        <v>0</v>
      </c>
      <c r="F37" s="2381">
        <f>OPEN!$D$27</f>
        <v>0</v>
      </c>
      <c r="G37" s="2380">
        <f>IF(ISERROR('C044'!E34),0,'C044'!E34)</f>
        <v>0</v>
      </c>
      <c r="H37" s="2380">
        <f>IF(ISERROR('C044'!$F$40),0,'C044'!$F$40)</f>
        <v>0</v>
      </c>
      <c r="I37" s="2381">
        <f>IF(ISERROR(H37/G81*1000),0,H37/G81*1000)</f>
        <v>0</v>
      </c>
      <c r="J37" s="2362"/>
      <c r="K37" s="2362"/>
      <c r="L37" s="2362"/>
      <c r="M37" s="2362"/>
      <c r="N37" s="2362"/>
    </row>
    <row r="38" spans="1:14" ht="12" customHeight="1">
      <c r="A38" s="2382" t="s">
        <v>951</v>
      </c>
      <c r="B38" s="2383">
        <v>45</v>
      </c>
      <c r="C38" s="2384">
        <f>'C045'!$C$29</f>
        <v>0</v>
      </c>
      <c r="D38" s="2385">
        <f>OPEN!$B$39</f>
        <v>0</v>
      </c>
      <c r="E38" s="2384">
        <f>'C045'!$D$29</f>
        <v>0</v>
      </c>
      <c r="F38" s="2385">
        <f>OPEN!$D$39</f>
        <v>0</v>
      </c>
      <c r="G38" s="2375">
        <f>'C045'!$E$29</f>
        <v>0</v>
      </c>
      <c r="H38" s="2869">
        <f>IF(ISERROR('C045'!$E$33),0,('C045'!$E$33))</f>
        <v>0</v>
      </c>
      <c r="I38" s="2376">
        <f>IF(ISERROR(H38/$G$81*1000),0,H38/$G$81*1000)</f>
        <v>0</v>
      </c>
      <c r="J38" s="2362"/>
      <c r="K38" s="2362"/>
      <c r="L38" s="2362"/>
      <c r="M38" s="2362"/>
      <c r="N38" s="2362"/>
    </row>
    <row r="39" spans="1:14" ht="12" customHeight="1">
      <c r="A39" s="2382" t="s">
        <v>160</v>
      </c>
      <c r="B39" s="2383">
        <v>47</v>
      </c>
      <c r="C39" s="2380">
        <f>'C047'!C46</f>
        <v>0</v>
      </c>
      <c r="D39" s="2389"/>
      <c r="E39" s="2384">
        <f>'C047'!D46</f>
        <v>0</v>
      </c>
      <c r="F39" s="2389"/>
      <c r="G39" s="3125"/>
      <c r="H39" s="3126"/>
      <c r="I39" s="3121"/>
      <c r="J39" s="2362"/>
      <c r="K39" s="2362"/>
      <c r="L39" s="2362"/>
      <c r="M39" s="2362"/>
      <c r="N39" s="2362"/>
    </row>
    <row r="40" spans="1:14" ht="12" customHeight="1">
      <c r="A40" s="2382" t="s">
        <v>1076</v>
      </c>
      <c r="B40" s="2383">
        <v>7</v>
      </c>
      <c r="C40" s="2380">
        <f>'C07'!$C$20</f>
        <v>83700</v>
      </c>
      <c r="D40" s="2389"/>
      <c r="E40" s="2384">
        <f>'C07'!$D$20</f>
        <v>82904</v>
      </c>
      <c r="F40" s="2389"/>
      <c r="G40" s="2595">
        <f>IF(ISERROR('C07'!$E$20),0,'C07'!$E$20)</f>
        <v>98000</v>
      </c>
      <c r="H40" s="3127"/>
      <c r="I40" s="3122"/>
      <c r="J40" s="2362"/>
      <c r="K40" s="2362"/>
      <c r="L40" s="2362"/>
      <c r="M40" s="2362"/>
      <c r="N40" s="2362"/>
    </row>
    <row r="41" spans="1:14" ht="12" customHeight="1">
      <c r="A41" s="2382" t="s">
        <v>161</v>
      </c>
      <c r="B41" s="2383">
        <v>35</v>
      </c>
      <c r="C41" s="2384">
        <f>'C035'!C21</f>
        <v>61375</v>
      </c>
      <c r="D41" s="2390"/>
      <c r="E41" s="2384">
        <f>'C035'!D21</f>
        <v>54370</v>
      </c>
      <c r="F41" s="2390"/>
      <c r="G41" s="2595">
        <f>'C035'!E21</f>
        <v>50000</v>
      </c>
      <c r="H41" s="2388"/>
      <c r="I41" s="2409"/>
      <c r="J41" s="2362"/>
      <c r="K41" s="2362"/>
      <c r="L41" s="2362"/>
      <c r="M41" s="2362"/>
      <c r="N41" s="2362"/>
    </row>
    <row r="42" spans="1:14" ht="12" customHeight="1">
      <c r="A42" s="2867" t="s">
        <v>1216</v>
      </c>
      <c r="B42" s="2868">
        <v>11</v>
      </c>
      <c r="C42" s="3071">
        <f>'C011'!C28</f>
        <v>0</v>
      </c>
      <c r="D42" s="2354"/>
      <c r="E42" s="3071">
        <f>'C011'!D28</f>
        <v>0</v>
      </c>
      <c r="F42" s="2354"/>
      <c r="G42" s="2870">
        <f>'C011'!E28</f>
        <v>0</v>
      </c>
      <c r="H42" s="3128"/>
      <c r="I42" s="2409"/>
      <c r="J42" s="2362"/>
      <c r="K42" s="2362"/>
      <c r="L42" s="2362"/>
      <c r="M42" s="2362"/>
      <c r="N42" s="2362"/>
    </row>
    <row r="43" spans="1:14" ht="12" customHeight="1">
      <c r="A43" s="2867" t="s">
        <v>8</v>
      </c>
      <c r="B43" s="2868">
        <v>33</v>
      </c>
      <c r="C43" s="3085">
        <f>'C033'!C29</f>
        <v>0</v>
      </c>
      <c r="D43" s="3084">
        <f>OPEN!B41</f>
        <v>0</v>
      </c>
      <c r="E43" s="3071">
        <f>'C033'!D29</f>
        <v>0</v>
      </c>
      <c r="F43" s="3072">
        <f>OPEN!D41</f>
        <v>0</v>
      </c>
      <c r="G43" s="2870">
        <f>'C033'!E29</f>
        <v>0</v>
      </c>
      <c r="H43" s="3129">
        <f>IF(ISERROR('C033'!$E$33),0,('C033'!$E$33))</f>
        <v>0</v>
      </c>
      <c r="I43" s="3124">
        <f>IF(ISERROR(H43/$G$81*1000),0,H43/$G$81*1000)</f>
        <v>0</v>
      </c>
      <c r="J43" s="2362"/>
      <c r="K43" s="2362"/>
      <c r="L43" s="2362"/>
      <c r="M43" s="2362"/>
      <c r="N43" s="2362"/>
    </row>
    <row r="44" spans="1:14" ht="11.25" customHeight="1">
      <c r="A44" s="2867" t="s">
        <v>985</v>
      </c>
      <c r="B44" s="2868">
        <v>13</v>
      </c>
      <c r="C44" s="3085">
        <f>'C013'!C28</f>
        <v>130461</v>
      </c>
      <c r="D44" s="2354"/>
      <c r="E44" s="3071">
        <f>'C013'!D28</f>
        <v>166662</v>
      </c>
      <c r="F44" s="2354"/>
      <c r="G44" s="2870">
        <f>'C013'!E28</f>
        <v>174497</v>
      </c>
      <c r="H44" s="3128"/>
      <c r="I44" s="3123"/>
      <c r="J44" s="2362"/>
      <c r="K44" s="2362"/>
      <c r="L44" s="2362"/>
      <c r="M44" s="2362"/>
      <c r="N44" s="2362"/>
    </row>
    <row r="45" spans="1:14" ht="11.25" customHeight="1">
      <c r="A45" s="2867" t="s">
        <v>362</v>
      </c>
      <c r="B45" s="2868">
        <v>19</v>
      </c>
      <c r="C45" s="3071">
        <f>'C019'!C31</f>
        <v>0</v>
      </c>
      <c r="D45" s="3084">
        <f>OPEN!B40</f>
        <v>0</v>
      </c>
      <c r="E45" s="3071">
        <f>'C019'!D31</f>
        <v>0</v>
      </c>
      <c r="F45" s="3072">
        <f>OPEN!D40</f>
        <v>0</v>
      </c>
      <c r="G45" s="2870">
        <f>'C019'!E31</f>
        <v>0</v>
      </c>
      <c r="H45" s="3129">
        <f>IF(ISERROR('C019'!$E$35),0,('C019'!$E$35))</f>
        <v>0</v>
      </c>
      <c r="I45" s="3124">
        <f>IF(ISERROR(H45/$G$81*1000),0,H45/$G$81*1000)</f>
        <v>0</v>
      </c>
      <c r="J45" s="2362"/>
      <c r="K45" s="2362"/>
      <c r="L45" s="2362"/>
      <c r="M45" s="2362"/>
      <c r="N45" s="2362"/>
    </row>
    <row r="46" spans="1:14" ht="12.75" customHeight="1">
      <c r="A46" s="2392"/>
      <c r="B46" s="2392"/>
      <c r="C46" s="2393"/>
      <c r="D46" s="2393"/>
      <c r="E46" s="2393"/>
      <c r="F46" s="2393"/>
      <c r="G46" s="2393"/>
      <c r="H46" s="2393"/>
      <c r="I46" s="2393"/>
      <c r="J46" s="2362"/>
      <c r="K46" s="2362"/>
      <c r="L46" s="2362"/>
      <c r="M46" s="2362"/>
      <c r="N46" s="2362"/>
    </row>
    <row r="47" spans="1:14" ht="12" customHeight="1">
      <c r="A47" s="2352" t="s">
        <v>1020</v>
      </c>
      <c r="B47" s="2365"/>
      <c r="C47" s="2352"/>
      <c r="D47" s="2352"/>
      <c r="E47" s="2352"/>
      <c r="F47" s="2352"/>
      <c r="G47" s="2352"/>
      <c r="H47" s="3020" t="s">
        <v>1019</v>
      </c>
      <c r="I47" s="2352">
        <f>I1</f>
        <v>270</v>
      </c>
      <c r="J47" s="2362"/>
      <c r="K47" s="2362"/>
      <c r="L47" s="2362"/>
      <c r="M47" s="2362"/>
      <c r="N47" s="2362"/>
    </row>
    <row r="48" spans="1:14" ht="12" customHeight="1">
      <c r="A48" s="2352" t="s">
        <v>920</v>
      </c>
      <c r="B48" s="2365"/>
      <c r="C48" s="2352"/>
      <c r="D48" s="2352"/>
      <c r="E48" s="2352"/>
      <c r="F48" s="2352"/>
      <c r="G48" s="2352"/>
      <c r="H48" s="2352"/>
      <c r="I48" s="2352"/>
      <c r="J48" s="2362"/>
      <c r="K48" s="2362"/>
      <c r="L48" s="2362"/>
      <c r="M48" s="2362"/>
      <c r="N48" s="2362"/>
    </row>
    <row r="49" spans="1:14" ht="12" customHeight="1">
      <c r="A49" s="2352" t="str">
        <f>A3</f>
        <v>2016-2017</v>
      </c>
      <c r="B49" s="2365"/>
      <c r="C49" s="2366" t="str">
        <f>C14</f>
        <v>2014-2015 Actual</v>
      </c>
      <c r="D49" s="2367"/>
      <c r="E49" s="2366" t="str">
        <f>E14</f>
        <v>2015-2016 Actual</v>
      </c>
      <c r="F49" s="2367"/>
      <c r="G49" s="2366" t="str">
        <f>G14</f>
        <v>PROPOSED BUDGET 2016-2017</v>
      </c>
      <c r="H49" s="2368"/>
      <c r="I49" s="2367"/>
      <c r="J49" s="2362"/>
      <c r="K49" s="2362"/>
      <c r="L49" s="2362"/>
      <c r="M49" s="2362"/>
      <c r="N49" s="2362"/>
    </row>
    <row r="50" spans="1:14" ht="12" customHeight="1">
      <c r="A50" s="2352"/>
      <c r="B50" s="2365"/>
      <c r="C50" s="2369"/>
      <c r="D50" s="2369" t="s">
        <v>1139</v>
      </c>
      <c r="E50" s="2369"/>
      <c r="F50" s="2369" t="s">
        <v>1139</v>
      </c>
      <c r="G50" s="2369"/>
      <c r="H50" s="2369" t="str">
        <f>H15</f>
        <v>Amount of 2016</v>
      </c>
      <c r="I50" s="2369" t="s">
        <v>922</v>
      </c>
      <c r="J50" s="2362"/>
      <c r="K50" s="2362"/>
      <c r="L50" s="2362"/>
      <c r="M50" s="2394"/>
      <c r="N50" s="2395"/>
    </row>
    <row r="51" spans="1:14" ht="12" customHeight="1">
      <c r="A51" s="2352"/>
      <c r="B51" s="2369" t="s">
        <v>1045</v>
      </c>
      <c r="C51" s="2370" t="s">
        <v>1139</v>
      </c>
      <c r="D51" s="2370" t="s">
        <v>1140</v>
      </c>
      <c r="E51" s="2370" t="s">
        <v>923</v>
      </c>
      <c r="F51" s="2370" t="s">
        <v>1140</v>
      </c>
      <c r="G51" s="2370"/>
      <c r="H51" s="2370" t="s">
        <v>924</v>
      </c>
      <c r="I51" s="2370" t="s">
        <v>1140</v>
      </c>
      <c r="J51" s="2362"/>
      <c r="K51" s="2362"/>
      <c r="L51" s="2362"/>
      <c r="M51" s="2395"/>
      <c r="N51" s="2395"/>
    </row>
    <row r="52" spans="1:14" ht="12" customHeight="1">
      <c r="A52" s="2365" t="s">
        <v>952</v>
      </c>
      <c r="B52" s="2370">
        <v>99</v>
      </c>
      <c r="C52" s="2370" t="s">
        <v>1048</v>
      </c>
      <c r="D52" s="2370" t="s">
        <v>925</v>
      </c>
      <c r="E52" s="2370" t="s">
        <v>1048</v>
      </c>
      <c r="F52" s="2370" t="s">
        <v>925</v>
      </c>
      <c r="G52" s="2370" t="s">
        <v>1048</v>
      </c>
      <c r="H52" s="2370" t="s">
        <v>1049</v>
      </c>
      <c r="I52" s="2370" t="s">
        <v>925</v>
      </c>
      <c r="J52" s="2362"/>
      <c r="K52" s="2362"/>
      <c r="L52" s="2362"/>
      <c r="M52" s="2395"/>
      <c r="N52" s="2395"/>
    </row>
    <row r="53" spans="1:14" ht="12" customHeight="1">
      <c r="A53" s="2396"/>
      <c r="B53" s="2371" t="s">
        <v>1051</v>
      </c>
      <c r="C53" s="2397">
        <v>1</v>
      </c>
      <c r="D53" s="2372">
        <v>2</v>
      </c>
      <c r="E53" s="2397">
        <v>3</v>
      </c>
      <c r="F53" s="2372">
        <v>4</v>
      </c>
      <c r="G53" s="2372">
        <v>5</v>
      </c>
      <c r="H53" s="2372">
        <v>6</v>
      </c>
      <c r="I53" s="2372">
        <v>7</v>
      </c>
      <c r="J53" s="2362"/>
      <c r="K53" s="2362"/>
      <c r="L53" s="2362"/>
      <c r="M53" s="2362"/>
      <c r="N53" s="2362"/>
    </row>
    <row r="54" spans="1:14" ht="12" customHeight="1">
      <c r="A54" s="2401" t="s">
        <v>29</v>
      </c>
      <c r="B54" s="2408">
        <v>51</v>
      </c>
      <c r="C54" s="2767">
        <f>'C051'!C38</f>
        <v>231281</v>
      </c>
      <c r="D54" s="2730"/>
      <c r="E54" s="2767">
        <f>'C051'!D38</f>
        <v>193062</v>
      </c>
      <c r="F54" s="2730"/>
      <c r="G54" s="2767">
        <f>IF(ISERROR('C051'!E38),0,'C051'!E38)</f>
        <v>266624</v>
      </c>
      <c r="H54" s="2730"/>
      <c r="I54" s="2397"/>
      <c r="J54" s="2362"/>
      <c r="K54" s="2362"/>
      <c r="L54" s="2362"/>
      <c r="M54" s="2362"/>
      <c r="N54" s="2362"/>
    </row>
    <row r="55" spans="1:14" ht="12" customHeight="1">
      <c r="A55" s="2382" t="s">
        <v>953</v>
      </c>
      <c r="B55" s="2796">
        <v>53</v>
      </c>
      <c r="C55" s="2380">
        <f>'C053'!$C14</f>
        <v>39897</v>
      </c>
      <c r="D55" s="2390"/>
      <c r="E55" s="2380">
        <f>'C053'!$D14</f>
        <v>32110</v>
      </c>
      <c r="F55" s="2390"/>
      <c r="G55" s="2388"/>
      <c r="H55" s="2390"/>
      <c r="I55" s="2397"/>
      <c r="J55" s="2362"/>
      <c r="K55" s="2362"/>
      <c r="L55" s="2362"/>
      <c r="M55" s="2362"/>
      <c r="N55" s="2362"/>
    </row>
    <row r="56" spans="1:14" ht="12" customHeight="1">
      <c r="A56" s="2382" t="s">
        <v>162</v>
      </c>
      <c r="B56" s="2383">
        <v>55</v>
      </c>
      <c r="C56" s="2380">
        <f>'C055'!C41</f>
        <v>7197</v>
      </c>
      <c r="D56" s="2390"/>
      <c r="E56" s="2380">
        <f>'C055'!D41</f>
        <v>12184</v>
      </c>
      <c r="F56" s="2390"/>
      <c r="G56" s="2388"/>
      <c r="H56" s="2388"/>
      <c r="I56" s="2388"/>
      <c r="J56" s="2362"/>
      <c r="K56" s="2362"/>
      <c r="L56" s="2362"/>
      <c r="M56" s="2362"/>
      <c r="N56" s="2362"/>
    </row>
    <row r="57" spans="1:14" ht="12" customHeight="1">
      <c r="A57" s="2373" t="s">
        <v>1504</v>
      </c>
      <c r="B57" s="2374">
        <v>56</v>
      </c>
      <c r="C57" s="2384">
        <f>'C056'!C18</f>
        <v>28908</v>
      </c>
      <c r="D57" s="2390"/>
      <c r="E57" s="2384">
        <f>'C056'!D18</f>
        <v>42275</v>
      </c>
      <c r="F57" s="2390"/>
      <c r="G57" s="2388"/>
      <c r="H57" s="2388"/>
      <c r="I57" s="2388"/>
      <c r="J57" s="2362"/>
      <c r="K57" s="2362"/>
      <c r="L57" s="2362"/>
      <c r="M57" s="2362"/>
      <c r="N57" s="2362"/>
    </row>
    <row r="58" spans="1:14" ht="12" customHeight="1">
      <c r="A58" s="2373" t="s">
        <v>1217</v>
      </c>
      <c r="B58" s="2374">
        <v>57</v>
      </c>
      <c r="C58" s="2388">
        <f>'C057'!C18</f>
        <v>0</v>
      </c>
      <c r="D58" s="2390"/>
      <c r="E58" s="2388">
        <f>'C057'!D18</f>
        <v>0</v>
      </c>
      <c r="F58" s="2390"/>
      <c r="G58" s="2380">
        <f>'C057'!E18</f>
        <v>0</v>
      </c>
      <c r="H58" s="2388"/>
      <c r="I58" s="2388"/>
      <c r="J58" s="2362"/>
      <c r="K58" s="2362"/>
      <c r="L58" s="2362"/>
      <c r="M58" s="2362"/>
      <c r="N58" s="2362"/>
    </row>
    <row r="59" spans="1:14" ht="12" customHeight="1">
      <c r="A59" s="2398" t="s">
        <v>954</v>
      </c>
      <c r="B59" s="2369"/>
      <c r="C59" s="2375"/>
      <c r="D59" s="2387"/>
      <c r="E59" s="2375"/>
      <c r="F59" s="2387"/>
      <c r="G59" s="2388"/>
      <c r="H59" s="2388"/>
      <c r="I59" s="2399"/>
      <c r="J59" s="2353" t="s">
        <v>1470</v>
      </c>
      <c r="K59" s="2354" t="s">
        <v>1469</v>
      </c>
      <c r="L59" s="2362"/>
      <c r="M59" s="2362"/>
      <c r="N59" s="2362"/>
    </row>
    <row r="60" spans="1:14" ht="12" customHeight="1">
      <c r="A60" s="2400" t="str">
        <f>"  " &amp; OPEN!O44</f>
        <v xml:space="preserve">  Bond and Interest #1</v>
      </c>
      <c r="B60" s="2371">
        <v>62</v>
      </c>
      <c r="C60" s="2380">
        <f>'C062'!C47</f>
        <v>252566</v>
      </c>
      <c r="D60" s="2381">
        <f>OPEN!$B$28</f>
        <v>4.2839999999999998</v>
      </c>
      <c r="E60" s="2380">
        <f>'C062'!D47</f>
        <v>248376</v>
      </c>
      <c r="F60" s="2381">
        <f>OPEN!$D$28</f>
        <v>7.056</v>
      </c>
      <c r="G60" s="2380">
        <f>IF(ISERROR('C062'!E47),0,'C062'!E47)</f>
        <v>250713</v>
      </c>
      <c r="H60" s="2380">
        <f>IF(ISERROR('C062'!$F$56),0,'C062'!$F$56)</f>
        <v>236580</v>
      </c>
      <c r="I60" s="2381">
        <f>IF(I1=113,K60,J60)</f>
        <v>7.4790000000000001</v>
      </c>
      <c r="J60" s="3347">
        <f>IF(ISERROR(SUM(H60/G81*1000)),0,(SUM(H60/G81*1000)))</f>
        <v>7.4790000000000001</v>
      </c>
      <c r="K60" s="3347">
        <f>IF(ISERROR(SUM(H60/OPEN!A17*1000)),0,(SUM(H60/OPEN!A17*1000)))</f>
        <v>0</v>
      </c>
      <c r="L60" s="2362"/>
      <c r="M60" s="2362"/>
      <c r="N60" s="2362"/>
    </row>
    <row r="61" spans="1:14" ht="12" customHeight="1">
      <c r="A61" s="2401" t="str">
        <f>"  " &amp; OPEN!O45</f>
        <v xml:space="preserve">  Bond and Interest #2</v>
      </c>
      <c r="B61" s="2402">
        <v>63</v>
      </c>
      <c r="C61" s="2384">
        <f>'C063'!C47</f>
        <v>0</v>
      </c>
      <c r="D61" s="2385">
        <f>OPEN!$B$29</f>
        <v>0</v>
      </c>
      <c r="E61" s="2384">
        <f>'C063'!D47</f>
        <v>0</v>
      </c>
      <c r="F61" s="2385">
        <f>OPEN!$D$29</f>
        <v>0</v>
      </c>
      <c r="G61" s="2384">
        <f>IF(ISERROR('C063'!E47),0,'C063'!E47)</f>
        <v>0</v>
      </c>
      <c r="H61" s="2384">
        <f>IF(ISERROR('C063'!$F$56),0,'C063'!$F$56)</f>
        <v>0</v>
      </c>
      <c r="I61" s="2381">
        <f>IF(I1=113,K61,J61)</f>
        <v>0</v>
      </c>
      <c r="J61" s="3347">
        <f>IF(ISERROR(SUM(H61/OPEN!A17*1000)),0,(SUM(H61/OPEN!A17*1000)))</f>
        <v>0</v>
      </c>
      <c r="K61" s="3347">
        <f>IF(ISERROR(SUM(H61/OPEN!A19*1000)),0,(SUM(H61/OPEN!A19*1000)))</f>
        <v>0</v>
      </c>
      <c r="L61" s="2362"/>
      <c r="M61" s="2362"/>
      <c r="N61" s="2362"/>
    </row>
    <row r="62" spans="1:14" ht="12" customHeight="1">
      <c r="A62" s="2400" t="s">
        <v>955</v>
      </c>
      <c r="B62" s="2402">
        <v>66</v>
      </c>
      <c r="C62" s="2384">
        <f>'C066'!C34</f>
        <v>0</v>
      </c>
      <c r="D62" s="2385">
        <f>OPEN!$B$30</f>
        <v>0</v>
      </c>
      <c r="E62" s="2384">
        <f>'C066'!D34</f>
        <v>0</v>
      </c>
      <c r="F62" s="2385">
        <f>OPEN!$D$30</f>
        <v>0</v>
      </c>
      <c r="G62" s="2384">
        <f>IF(ISERROR('C066'!E34),0,'C066'!E34)</f>
        <v>0</v>
      </c>
      <c r="H62" s="2384">
        <f>IF(ISERROR('C066'!F41),0,'C066'!F41)</f>
        <v>0</v>
      </c>
      <c r="I62" s="2381">
        <f>IF(ISERROR(SUM(H62/G81*1000)),0,(SUM(H62/G81*1000)))</f>
        <v>0</v>
      </c>
      <c r="J62" s="2362"/>
      <c r="K62" s="2362"/>
      <c r="L62" s="2362"/>
      <c r="M62" s="2362"/>
      <c r="N62" s="2362"/>
    </row>
    <row r="63" spans="1:14" ht="12" customHeight="1">
      <c r="A63" s="2400" t="s">
        <v>957</v>
      </c>
      <c r="B63" s="2402">
        <v>67</v>
      </c>
      <c r="C63" s="2384">
        <f>'C067'!C33</f>
        <v>0</v>
      </c>
      <c r="D63" s="2385">
        <f>OPEN!$B$31</f>
        <v>0</v>
      </c>
      <c r="E63" s="2384">
        <f>'C067'!D33</f>
        <v>0</v>
      </c>
      <c r="F63" s="2385">
        <f>OPEN!$D$31</f>
        <v>0</v>
      </c>
      <c r="G63" s="2384">
        <f>'C067'!E33</f>
        <v>0</v>
      </c>
      <c r="H63" s="2384">
        <f>IF(ISERROR('C067'!F39),0,'C067'!F39)</f>
        <v>0</v>
      </c>
      <c r="I63" s="2381">
        <f>IF(ISERROR(SUM(H63/G81*1000)),0,SUM(H63/G81*1000))</f>
        <v>0</v>
      </c>
      <c r="J63" s="2362"/>
      <c r="K63" s="2362"/>
      <c r="L63" s="2362"/>
      <c r="M63" s="2362"/>
      <c r="N63" s="2362"/>
    </row>
    <row r="64" spans="1:14" ht="12" customHeight="1">
      <c r="A64" s="2400" t="s">
        <v>958</v>
      </c>
      <c r="B64" s="2369">
        <v>68</v>
      </c>
      <c r="C64" s="2375">
        <f>'C068'!C35</f>
        <v>0</v>
      </c>
      <c r="D64" s="2385">
        <f>OPEN!$B$32</f>
        <v>0</v>
      </c>
      <c r="E64" s="2375">
        <f>'C068'!D35</f>
        <v>0</v>
      </c>
      <c r="F64" s="2385">
        <f>OPEN!$D$32</f>
        <v>0</v>
      </c>
      <c r="G64" s="2388">
        <f>IF(ISERROR('C068'!E35),0,'C068'!E35)</f>
        <v>0</v>
      </c>
      <c r="H64" s="2384">
        <f>IF(ISERROR('C068'!F42),0,'C068'!F42)</f>
        <v>0</v>
      </c>
      <c r="I64" s="2381">
        <f>IF(ISERROR(SUM(H64/G81*1000)),0,(SUM(H64/G81*1000)))</f>
        <v>0</v>
      </c>
      <c r="J64" s="2362"/>
      <c r="K64" s="2362"/>
      <c r="L64" s="2362"/>
      <c r="M64" s="2362"/>
      <c r="N64" s="2362"/>
    </row>
    <row r="65" spans="1:18" ht="12" customHeight="1">
      <c r="A65" s="2403" t="s">
        <v>959</v>
      </c>
      <c r="B65" s="2404"/>
      <c r="C65" s="2375"/>
      <c r="D65" s="2405"/>
      <c r="E65" s="2375"/>
      <c r="F65" s="2405"/>
      <c r="G65" s="2375"/>
      <c r="H65" s="2406"/>
      <c r="I65" s="2376"/>
      <c r="J65" s="2362"/>
      <c r="K65" s="2362"/>
      <c r="L65" s="2362"/>
      <c r="M65" s="2362"/>
      <c r="N65" s="2362"/>
    </row>
    <row r="66" spans="1:18" ht="12" customHeight="1">
      <c r="A66" s="2407" t="s">
        <v>948</v>
      </c>
      <c r="B66" s="2408">
        <v>78</v>
      </c>
      <c r="C66" s="2380">
        <f>'C078'!C23</f>
        <v>0</v>
      </c>
      <c r="D66" s="2389"/>
      <c r="E66" s="2380">
        <f>'C078'!D23</f>
        <v>0</v>
      </c>
      <c r="F66" s="2389"/>
      <c r="G66" s="2380">
        <f>IF(ISERROR('C078'!E23),0,'C078'!E23)</f>
        <v>0</v>
      </c>
      <c r="H66" s="2409"/>
      <c r="I66" s="2387"/>
      <c r="J66" s="2362"/>
      <c r="K66" s="2362"/>
      <c r="L66" s="2362"/>
      <c r="M66" s="2362"/>
      <c r="N66" s="2362"/>
    </row>
    <row r="67" spans="1:18" ht="12" customHeight="1">
      <c r="A67" s="2407" t="s">
        <v>960</v>
      </c>
      <c r="B67" s="2371">
        <v>100</v>
      </c>
      <c r="C67" s="2380">
        <f>SUM(C19:C45,C54:C66)</f>
        <v>6201278</v>
      </c>
      <c r="D67" s="2385">
        <f>SUM(D20:D45,D60:D66)</f>
        <v>47.076999999999998</v>
      </c>
      <c r="E67" s="2380">
        <f>SUM(E19:E45,E54:E66)</f>
        <v>6138972</v>
      </c>
      <c r="F67" s="2381">
        <f>SUM(F20:F45,F60:F66)</f>
        <v>44.744</v>
      </c>
      <c r="G67" s="2380">
        <f>SUM(G19:G45,G54:G66)</f>
        <v>7041992</v>
      </c>
      <c r="H67" s="2380">
        <f>SUM(H19:H45,H54:H66)</f>
        <v>1625739</v>
      </c>
      <c r="I67" s="2381">
        <f>SUM(I20:I45,I54:I66)</f>
        <v>52.945999999999998</v>
      </c>
      <c r="J67" s="2362"/>
      <c r="K67" s="2362"/>
      <c r="L67" s="2362"/>
      <c r="M67" s="2362"/>
      <c r="N67" s="2362"/>
    </row>
    <row r="68" spans="1:18" ht="12" customHeight="1">
      <c r="A68" s="2407" t="s">
        <v>961</v>
      </c>
      <c r="B68" s="2402">
        <v>105</v>
      </c>
      <c r="C68" s="2384">
        <f>J68+'C047'!C46+'C057'!C18+'C019'!C30+'C06'!C47</f>
        <v>1275278</v>
      </c>
      <c r="D68" s="2410" t="s">
        <v>1188</v>
      </c>
      <c r="E68" s="2384">
        <f>K68+'C047'!D46+'C019'!D30+'C057'!D18+'C06'!D47</f>
        <v>1340422</v>
      </c>
      <c r="F68" s="2411" t="s">
        <v>1188</v>
      </c>
      <c r="G68" s="4278">
        <f>SUM('C06'!$E$336:$E$349,'C06'!E351:E352,'C06'!E355:E356)+'C057'!E18+'C06'!E47-'C047'!E45-'C053'!E260-'C055'!E40+L68</f>
        <v>1395776</v>
      </c>
      <c r="H68" s="2402" t="s">
        <v>1190</v>
      </c>
      <c r="I68" s="2410" t="s">
        <v>1187</v>
      </c>
      <c r="J68" s="2412">
        <f>'C042'!$C$45+'C045'!C28+'C033'!C28+J69</f>
        <v>1275278</v>
      </c>
      <c r="K68" s="2412">
        <f>'C042'!$D$45+'C045'!D28+'C033'!D28+K69</f>
        <v>1340422</v>
      </c>
      <c r="L68" s="2394">
        <f>SUM('C045'!E28+'C019'!E30+'C042'!E45+'C033'!E28+L69)</f>
        <v>537000</v>
      </c>
      <c r="M68" s="2394"/>
      <c r="N68" s="2394">
        <f>SUM('C053'!$D$272:$D$272)</f>
        <v>0</v>
      </c>
    </row>
    <row r="69" spans="1:18" ht="12" customHeight="1">
      <c r="A69" s="2407" t="s">
        <v>962</v>
      </c>
      <c r="B69" s="2402">
        <v>110</v>
      </c>
      <c r="C69" s="2384">
        <f>SUM(C67-C68)</f>
        <v>4926000</v>
      </c>
      <c r="D69" s="2410" t="s">
        <v>1188</v>
      </c>
      <c r="E69" s="2384">
        <f>SUM(E67-E68)</f>
        <v>4798550</v>
      </c>
      <c r="F69" s="2410" t="s">
        <v>1188</v>
      </c>
      <c r="G69" s="2384">
        <f>SUM(G67-G68)</f>
        <v>5646216</v>
      </c>
      <c r="H69" s="2402" t="s">
        <v>1190</v>
      </c>
      <c r="I69" s="2410" t="s">
        <v>1187</v>
      </c>
      <c r="J69" s="2394">
        <f>SUM('C06'!$C$336:$C$356)+J70</f>
        <v>1275278</v>
      </c>
      <c r="K69" s="2394">
        <f>SUM('C06'!$D$336:$D$356)+K70</f>
        <v>1340422</v>
      </c>
      <c r="L69" s="2394">
        <f>SUM('C08'!$E$306:$E$318,'C08'!$E$320,'C08'!E322:E323)</f>
        <v>537000</v>
      </c>
      <c r="M69" s="2362"/>
      <c r="N69" s="2362"/>
    </row>
    <row r="70" spans="1:18" ht="12" customHeight="1">
      <c r="A70" s="2407" t="s">
        <v>963</v>
      </c>
      <c r="B70" s="2402">
        <v>115</v>
      </c>
      <c r="C70" s="2384">
        <f>SUM(OPEN!$F$22:$F$32)+SUM(OPEN!F39:F41)</f>
        <v>3144148</v>
      </c>
      <c r="D70" s="2410" t="s">
        <v>1188</v>
      </c>
      <c r="E70" s="2384">
        <f>ROUND(E80*0.02,0)+'F110'!$G$16+'F110'!$I$16+'F110'!$K$16+'F110'!$E$64+'F110'!$G$64+'F110'!$I$64+'F110'!$K$64+'F110'!$E$113+'F110'!$G$113+'F110'!$I$113+'F110'!$I$155+'F110'!$E$155+'F110'!$M$155</f>
        <v>1515819</v>
      </c>
      <c r="F70" s="2410" t="s">
        <v>1188</v>
      </c>
      <c r="G70" s="2384">
        <f>H67</f>
        <v>1625739</v>
      </c>
      <c r="H70" s="2402" t="s">
        <v>1190</v>
      </c>
      <c r="I70" s="2410" t="s">
        <v>1187</v>
      </c>
      <c r="J70" s="2394">
        <f>SUM('C08'!$C$306:$C$323)+J72</f>
        <v>731000</v>
      </c>
      <c r="K70" s="2394">
        <f>SUM('C08'!$D$306:$D$323)+K72</f>
        <v>433000</v>
      </c>
      <c r="L70" s="3664"/>
      <c r="M70" s="3665"/>
      <c r="N70" s="2413"/>
      <c r="O70" s="2414"/>
      <c r="P70" s="2414"/>
      <c r="Q70" s="2414"/>
      <c r="R70" s="2414"/>
    </row>
    <row r="71" spans="1:18" ht="12" customHeight="1">
      <c r="A71" s="2407"/>
      <c r="B71" s="2402"/>
      <c r="C71" s="2384"/>
      <c r="D71" s="2410"/>
      <c r="E71" s="2384"/>
      <c r="F71" s="2410"/>
      <c r="G71" s="2384"/>
      <c r="H71" s="2400"/>
      <c r="I71" s="2410"/>
      <c r="J71" s="2394"/>
      <c r="K71" s="2394"/>
      <c r="L71" s="2354"/>
      <c r="M71" s="2362"/>
      <c r="N71" s="2362"/>
    </row>
    <row r="72" spans="1:18" ht="12" customHeight="1">
      <c r="A72" s="2403" t="s">
        <v>964</v>
      </c>
      <c r="B72" s="2369"/>
      <c r="C72" s="2375"/>
      <c r="D72" s="2415"/>
      <c r="E72" s="2375"/>
      <c r="F72" s="2415"/>
      <c r="G72" s="2375"/>
      <c r="H72" s="2398"/>
      <c r="I72" s="2416"/>
      <c r="J72" s="2394">
        <f>SUM('C053'!$C$260:$C$277)</f>
        <v>0</v>
      </c>
      <c r="K72" s="2394">
        <f>SUM('C053'!$D$260:$D$277)</f>
        <v>0</v>
      </c>
      <c r="L72" s="2354"/>
      <c r="M72" s="3765"/>
      <c r="N72" s="3750"/>
    </row>
    <row r="73" spans="1:18" ht="12" customHeight="1">
      <c r="A73" s="2407" t="s">
        <v>965</v>
      </c>
      <c r="B73" s="2371">
        <v>80</v>
      </c>
      <c r="C73" s="2380">
        <f>'C080'!$C$33</f>
        <v>0</v>
      </c>
      <c r="D73" s="2417">
        <f>OPEN!$B$33</f>
        <v>0</v>
      </c>
      <c r="E73" s="2380">
        <f>'C080'!$D$33</f>
        <v>0</v>
      </c>
      <c r="F73" s="2417">
        <f>OPEN!$D$33</f>
        <v>0</v>
      </c>
      <c r="G73" s="2380">
        <f>'C080'!$E$33</f>
        <v>0</v>
      </c>
      <c r="H73" s="2380">
        <f>IF(ISERROR('C080'!$F$39),0,'C080'!$F$39)</f>
        <v>0</v>
      </c>
      <c r="I73" s="2381">
        <f>IF(ISERROR(SUM(H73/$G$81*1000)),0,(SUM(H73/$G$81*1000)))</f>
        <v>0</v>
      </c>
      <c r="J73" s="2395"/>
      <c r="K73" s="2394"/>
      <c r="L73" s="2362"/>
      <c r="M73" s="2362"/>
      <c r="N73" s="2362"/>
    </row>
    <row r="74" spans="1:18" ht="12" customHeight="1">
      <c r="A74" s="2407" t="s">
        <v>966</v>
      </c>
      <c r="B74" s="2402">
        <v>82</v>
      </c>
      <c r="C74" s="2384">
        <f>'C082'!$C$33</f>
        <v>0</v>
      </c>
      <c r="D74" s="2417">
        <f>OPEN!$B$34</f>
        <v>0</v>
      </c>
      <c r="E74" s="2384">
        <f>'C082'!$D$33</f>
        <v>0</v>
      </c>
      <c r="F74" s="2417">
        <f>OPEN!$D$34</f>
        <v>0</v>
      </c>
      <c r="G74" s="2384">
        <f>'C082'!$E$33</f>
        <v>0</v>
      </c>
      <c r="H74" s="2384">
        <f>IF(ISERROR('C082'!$F$39),0,'C082'!$F$39)</f>
        <v>0</v>
      </c>
      <c r="I74" s="2381">
        <f>IF(ISERROR(SUM(H74/$G$81*1000)),0,(SUM(H74/$G$81*1000)))</f>
        <v>0</v>
      </c>
      <c r="J74" s="3377"/>
      <c r="K74" s="2362"/>
      <c r="L74" s="2362"/>
      <c r="M74" s="2362"/>
      <c r="N74" s="2362"/>
    </row>
    <row r="75" spans="1:18" ht="12" customHeight="1">
      <c r="A75" s="2407" t="s">
        <v>967</v>
      </c>
      <c r="B75" s="2402">
        <v>83</v>
      </c>
      <c r="C75" s="2384">
        <f>'C083'!$C$33</f>
        <v>0</v>
      </c>
      <c r="D75" s="2417">
        <f>OPEN!$B$35</f>
        <v>0</v>
      </c>
      <c r="E75" s="2384">
        <f>'C083'!$D$33</f>
        <v>0</v>
      </c>
      <c r="F75" s="2417">
        <f>OPEN!$D$35</f>
        <v>0</v>
      </c>
      <c r="G75" s="2384">
        <f>'C083'!$E$33</f>
        <v>0</v>
      </c>
      <c r="H75" s="2384">
        <f>IF(ISERROR('C083'!$F$39),0,'C083'!$F$39)</f>
        <v>0</v>
      </c>
      <c r="I75" s="2381">
        <f>IF(ISERROR(SUM(H75/$G$81*1000)),0,(SUM(H75/$G$81*1000)))</f>
        <v>0</v>
      </c>
      <c r="J75" s="2353" t="s">
        <v>1470</v>
      </c>
      <c r="K75" s="2354" t="s">
        <v>1542</v>
      </c>
      <c r="L75" s="2354" t="s">
        <v>1553</v>
      </c>
      <c r="M75" s="2362" t="s">
        <v>1554</v>
      </c>
      <c r="N75" s="2362"/>
    </row>
    <row r="76" spans="1:18" ht="12" customHeight="1">
      <c r="A76" s="2407" t="str">
        <f>"  " &amp; OPEN!O49</f>
        <v xml:space="preserve">  Recreation Commission</v>
      </c>
      <c r="B76" s="2402">
        <v>84</v>
      </c>
      <c r="C76" s="2384">
        <f>'C084'!$C$33</f>
        <v>151024</v>
      </c>
      <c r="D76" s="2417">
        <f>OPEN!$B$36</f>
        <v>2.06</v>
      </c>
      <c r="E76" s="2384">
        <f>'C084'!$D$33</f>
        <v>208247</v>
      </c>
      <c r="F76" s="2417">
        <f>OPEN!$D$36</f>
        <v>2.96</v>
      </c>
      <c r="G76" s="2384">
        <f>'C084'!$E$33</f>
        <v>161500</v>
      </c>
      <c r="H76" s="2384">
        <f>IF(ISERROR('C084'!$F$39),0,'C084'!$F$39)</f>
        <v>93622</v>
      </c>
      <c r="I76" s="2381">
        <f>IF(AND(I1&lt;&gt;105,I1&lt;&gt;110,I1&lt;&gt;112,I1&lt;&gt;113,I1&lt;&gt;114,I1&lt;&gt;422),J76,IF(I1=113,K76,IF(OR(I1=114,I1=422),L76,M76)))</f>
        <v>2.96</v>
      </c>
      <c r="J76" s="2389">
        <f>IF(ISERROR(SUM(H76/$G$81*1000)),0,(SUM(H76/$G$81*1000)))</f>
        <v>2.96</v>
      </c>
      <c r="K76" s="2389">
        <f>IF(ISERROR(SUM(H76/OPEN!A17*1000)),0,(SUM(H76/OPEN!A17*1000)))</f>
        <v>0</v>
      </c>
      <c r="L76" s="2389">
        <f>IF(ISERROR(SUM(H76/(OPEN!A14-OPEN!A19)*1000)),0,(SUM(H76/(OPEN!A14-OPEN!A19)*1000)))</f>
        <v>2.96</v>
      </c>
      <c r="M76" s="2389">
        <f>IF(ISERROR(SUM(H76/OPEN!A19*1000)),0,(SUM(H76/OPEN!A19*1000)))</f>
        <v>0</v>
      </c>
      <c r="N76" s="2362"/>
    </row>
    <row r="77" spans="1:18" ht="12" customHeight="1">
      <c r="A77" s="2407" t="str">
        <f>"  " &amp; OPEN!Q52</f>
        <v xml:space="preserve">  Rec Comm Emp Benefits &amp; Spec Liab</v>
      </c>
      <c r="B77" s="2402">
        <v>86</v>
      </c>
      <c r="C77" s="2384">
        <f>'C086'!$C$33</f>
        <v>0</v>
      </c>
      <c r="D77" s="2417">
        <f>OPEN!$B$38</f>
        <v>0</v>
      </c>
      <c r="E77" s="2384">
        <f>'C086'!$D$33</f>
        <v>0</v>
      </c>
      <c r="F77" s="2417">
        <f>OPEN!$D$38</f>
        <v>0</v>
      </c>
      <c r="G77" s="2384">
        <f>'C086'!$E$33</f>
        <v>0</v>
      </c>
      <c r="H77" s="2384">
        <f>IF(ISERROR('C086'!$F$39),0,'C086'!$F$39)</f>
        <v>0</v>
      </c>
      <c r="I77" s="2381">
        <f>IF(OR(I1=114,I1=422),L77,J77)</f>
        <v>0</v>
      </c>
      <c r="J77" s="3347">
        <f>IF(ISERROR(SUM(H77/$G$81*1000)),0,SUM(H77/$G$81*1000))</f>
        <v>0</v>
      </c>
      <c r="K77" s="3347"/>
      <c r="L77" s="3347">
        <f>IF(ISERROR(SUM(H77/OPEN!A19*1000)),0,SUM(H77/OPEN!A19*1000))</f>
        <v>0</v>
      </c>
      <c r="M77" s="2362"/>
      <c r="N77" s="2362"/>
    </row>
    <row r="78" spans="1:18" ht="12" customHeight="1">
      <c r="A78" s="2407" t="s">
        <v>968</v>
      </c>
      <c r="B78" s="2402">
        <v>120</v>
      </c>
      <c r="C78" s="2384">
        <f t="shared" ref="C78:I78" si="0">SUM(C73:C77)</f>
        <v>151024</v>
      </c>
      <c r="D78" s="2417">
        <f t="shared" si="0"/>
        <v>2.06</v>
      </c>
      <c r="E78" s="2384">
        <f t="shared" si="0"/>
        <v>208247</v>
      </c>
      <c r="F78" s="2417">
        <f t="shared" si="0"/>
        <v>2.96</v>
      </c>
      <c r="G78" s="2384">
        <f t="shared" si="0"/>
        <v>161500</v>
      </c>
      <c r="H78" s="2384">
        <f t="shared" si="0"/>
        <v>93622</v>
      </c>
      <c r="I78" s="2385">
        <f t="shared" si="0"/>
        <v>2.96</v>
      </c>
      <c r="J78" s="2362"/>
      <c r="K78" s="2362"/>
      <c r="L78" s="2362"/>
      <c r="M78" s="2362"/>
      <c r="N78" s="2362"/>
    </row>
    <row r="79" spans="1:18" ht="12" customHeight="1">
      <c r="A79" s="2407" t="s">
        <v>969</v>
      </c>
      <c r="B79" s="2402">
        <v>125</v>
      </c>
      <c r="C79" s="2384">
        <f>SUM(OPEN!$F$22:$F$41)</f>
        <v>3280455</v>
      </c>
      <c r="D79" s="2415"/>
      <c r="E79" s="2384">
        <f>ROUND(E80*0.02,0)+'F110'!$G$16+'F110'!$I$16+'F110'!$K$16+'F110'!$M$16+'F110'!$E$64+'F110'!$G$64+'F110'!$I$64+'F110'!$K$64+'F110'!$M$64+'F110'!$E$113+'F110'!$G$113+'F110'!$I$113+'F110'!$K$113+'F110'!$M$113+'F110'!$E$155+'F110'!$G$155+'F110'!$I$155+'F110'!$K$155+'F110'!$M$155</f>
        <v>1619372</v>
      </c>
      <c r="F79" s="2352"/>
      <c r="G79" s="2384">
        <f>H67+H78</f>
        <v>1719361</v>
      </c>
      <c r="H79" s="2391"/>
      <c r="I79" s="2418"/>
      <c r="J79" s="2362"/>
      <c r="K79" s="2362"/>
      <c r="L79" s="2362"/>
      <c r="M79" s="2362"/>
      <c r="N79" s="2362"/>
    </row>
    <row r="80" spans="1:18" ht="12" customHeight="1">
      <c r="A80" s="2419" t="s">
        <v>971</v>
      </c>
      <c r="B80" s="2402">
        <v>128</v>
      </c>
      <c r="C80" s="2420">
        <f>OPEN!$A$11</f>
        <v>65214308</v>
      </c>
      <c r="D80" s="2415"/>
      <c r="E80" s="2420">
        <f>OPEN!$A$13</f>
        <v>32487106</v>
      </c>
      <c r="F80" s="2352"/>
      <c r="G80" s="2421">
        <f>OPEN!$A$16</f>
        <v>29179965</v>
      </c>
      <c r="H80" s="2391"/>
      <c r="I80" s="2418"/>
      <c r="J80" s="2362"/>
      <c r="K80" s="2362"/>
      <c r="L80" s="2362"/>
      <c r="M80" s="2362"/>
      <c r="N80" s="2362"/>
    </row>
    <row r="81" spans="1:14" ht="12" customHeight="1">
      <c r="A81" s="2407" t="s">
        <v>972</v>
      </c>
      <c r="B81" s="2402">
        <v>130</v>
      </c>
      <c r="C81" s="2420">
        <f>OPEN!$A$10</f>
        <v>67654713</v>
      </c>
      <c r="D81" s="2415"/>
      <c r="E81" s="2420">
        <f>OPEN!$A$12</f>
        <v>34939439</v>
      </c>
      <c r="F81" s="2352"/>
      <c r="G81" s="2420">
        <f>OPEN!$A$14</f>
        <v>31631113</v>
      </c>
      <c r="H81" s="2390"/>
      <c r="I81" s="2352"/>
      <c r="J81" s="2362"/>
      <c r="K81" s="2362"/>
      <c r="L81" s="2362"/>
      <c r="M81" s="2362"/>
      <c r="N81" s="2362"/>
    </row>
    <row r="82" spans="1:14" ht="12" customHeight="1">
      <c r="A82" s="2407" t="s">
        <v>973</v>
      </c>
      <c r="B82" s="2422"/>
      <c r="C82" s="2422">
        <f>OPEN!O5</f>
        <v>2014</v>
      </c>
      <c r="D82" s="2423"/>
      <c r="E82" s="2422">
        <f>OPEN!P5</f>
        <v>2015</v>
      </c>
      <c r="F82" s="2396"/>
      <c r="G82" s="2422">
        <f>OPEN!Q5</f>
        <v>2016</v>
      </c>
      <c r="H82" s="2352"/>
      <c r="I82" s="2352"/>
      <c r="J82" s="2362"/>
      <c r="K82" s="2362"/>
      <c r="L82" s="2362"/>
      <c r="M82" s="2362"/>
      <c r="N82" s="2362"/>
    </row>
    <row r="83" spans="1:14" ht="12" customHeight="1">
      <c r="A83" s="2407" t="s">
        <v>974</v>
      </c>
      <c r="B83" s="2402">
        <v>135</v>
      </c>
      <c r="C83" s="2384">
        <f>OPEN!$B$124</f>
        <v>2620000</v>
      </c>
      <c r="D83" s="2352"/>
      <c r="E83" s="2384">
        <f>OPEN!$D$124</f>
        <v>2470000</v>
      </c>
      <c r="F83" s="2352"/>
      <c r="G83" s="2384">
        <f>OPEN!$F$124</f>
        <v>2310000</v>
      </c>
      <c r="H83" s="2352"/>
      <c r="I83" s="2352"/>
      <c r="J83" s="2362"/>
      <c r="K83" s="2362"/>
      <c r="L83" s="2362"/>
      <c r="M83" s="2362"/>
      <c r="N83" s="2362"/>
    </row>
    <row r="84" spans="1:14" ht="12" customHeight="1">
      <c r="A84" s="2407" t="s">
        <v>975</v>
      </c>
      <c r="B84" s="2402">
        <v>140</v>
      </c>
      <c r="C84" s="2384">
        <f>OPEN!$B$125</f>
        <v>0</v>
      </c>
      <c r="D84" s="2352"/>
      <c r="E84" s="2384">
        <f>OPEN!$D$125</f>
        <v>0</v>
      </c>
      <c r="F84" s="2352"/>
      <c r="G84" s="2384">
        <f>OPEN!$F$125</f>
        <v>0</v>
      </c>
      <c r="H84" s="2352"/>
      <c r="I84" s="2352"/>
      <c r="J84" s="2362"/>
      <c r="K84" s="2362"/>
      <c r="L84" s="2362"/>
      <c r="M84" s="2362"/>
      <c r="N84" s="2362"/>
    </row>
    <row r="85" spans="1:14" ht="12" customHeight="1">
      <c r="A85" s="2407" t="s">
        <v>958</v>
      </c>
      <c r="B85" s="2402">
        <v>145</v>
      </c>
      <c r="C85" s="2384">
        <f>OPEN!$B$126</f>
        <v>0</v>
      </c>
      <c r="D85" s="2352"/>
      <c r="E85" s="2384">
        <f>OPEN!$D$126</f>
        <v>0</v>
      </c>
      <c r="F85" s="2352"/>
      <c r="G85" s="2384">
        <f>OPEN!$F$126</f>
        <v>0</v>
      </c>
      <c r="H85" s="2352"/>
      <c r="I85" s="2352"/>
      <c r="J85" s="2362"/>
      <c r="K85" s="2362"/>
      <c r="L85" s="2362"/>
      <c r="M85" s="2362"/>
      <c r="N85" s="2362"/>
    </row>
    <row r="86" spans="1:14" ht="12" customHeight="1">
      <c r="A86" s="2407" t="s">
        <v>955</v>
      </c>
      <c r="B86" s="2402">
        <v>150</v>
      </c>
      <c r="C86" s="2384">
        <f>OPEN!$B$127</f>
        <v>0</v>
      </c>
      <c r="D86" s="2352"/>
      <c r="E86" s="2384">
        <f>OPEN!$D$127</f>
        <v>0</v>
      </c>
      <c r="F86" s="2352"/>
      <c r="G86" s="2384">
        <f>OPEN!$F$127</f>
        <v>0</v>
      </c>
      <c r="H86" s="2352"/>
      <c r="I86" s="2352"/>
      <c r="J86" s="2362"/>
      <c r="K86" s="2362"/>
      <c r="L86" s="2362"/>
      <c r="M86" s="2362"/>
      <c r="N86" s="2362"/>
    </row>
    <row r="87" spans="1:14" ht="12" customHeight="1">
      <c r="A87" s="2407" t="s">
        <v>976</v>
      </c>
      <c r="B87" s="2402">
        <v>153</v>
      </c>
      <c r="C87" s="2384">
        <f>OPEN!$B$128</f>
        <v>0</v>
      </c>
      <c r="D87" s="2352"/>
      <c r="E87" s="2384">
        <f>OPEN!$D$128</f>
        <v>0</v>
      </c>
      <c r="F87" s="2352"/>
      <c r="G87" s="2384">
        <f>OPEN!$F$128</f>
        <v>0</v>
      </c>
      <c r="H87" s="2352"/>
      <c r="I87" s="2352"/>
      <c r="J87" s="2362"/>
      <c r="K87" s="2362"/>
      <c r="L87" s="2362"/>
      <c r="M87" s="2362"/>
      <c r="N87" s="2362"/>
    </row>
    <row r="88" spans="1:14" ht="12" customHeight="1">
      <c r="A88" s="2407" t="s">
        <v>977</v>
      </c>
      <c r="B88" s="2402">
        <v>155</v>
      </c>
      <c r="C88" s="2384">
        <f>SUM(C83:C87)</f>
        <v>2620000</v>
      </c>
      <c r="D88" s="2352"/>
      <c r="E88" s="2384">
        <f>SUM(E83:E87)</f>
        <v>2470000</v>
      </c>
      <c r="F88" s="2352"/>
      <c r="G88" s="2384">
        <f>SUM(G83:G87)</f>
        <v>2310000</v>
      </c>
      <c r="H88" s="2352"/>
      <c r="I88" s="2352"/>
      <c r="J88" s="2362"/>
      <c r="K88" s="2362"/>
      <c r="L88" s="2362"/>
      <c r="M88" s="2362"/>
      <c r="N88" s="2362"/>
    </row>
    <row r="89" spans="1:14" ht="12" customHeight="1">
      <c r="A89" s="5291" t="s">
        <v>978</v>
      </c>
      <c r="B89" s="5291"/>
      <c r="C89" s="5291"/>
      <c r="D89" s="5291"/>
      <c r="E89" s="5291"/>
      <c r="F89" s="5291"/>
      <c r="G89" s="5291"/>
      <c r="H89" s="5291"/>
      <c r="I89" s="5291"/>
      <c r="J89" s="2362"/>
      <c r="K89" s="2362"/>
      <c r="L89" s="2362"/>
      <c r="M89" s="2362"/>
      <c r="N89" s="2362"/>
    </row>
    <row r="90" spans="1:14" ht="12" customHeight="1">
      <c r="A90" s="5291" t="s">
        <v>979</v>
      </c>
      <c r="B90" s="5291"/>
      <c r="C90" s="5291"/>
      <c r="D90" s="5291"/>
      <c r="E90" s="5291"/>
      <c r="F90" s="5291"/>
      <c r="G90" s="5291"/>
      <c r="H90" s="5291"/>
      <c r="I90" s="5291"/>
      <c r="J90" s="2362"/>
      <c r="K90" s="2362"/>
      <c r="L90" s="2362"/>
      <c r="M90" s="2362"/>
      <c r="N90" s="2362"/>
    </row>
    <row r="91" spans="1:14" ht="12" customHeight="1">
      <c r="A91" s="3709" t="s">
        <v>1106</v>
      </c>
      <c r="B91" s="2365"/>
      <c r="C91" s="2352"/>
      <c r="D91" s="2352"/>
      <c r="E91" s="2354"/>
      <c r="F91" s="2352"/>
      <c r="G91" s="3709" t="s">
        <v>1108</v>
      </c>
      <c r="H91" s="3709"/>
      <c r="I91" s="3709"/>
      <c r="J91" s="2362"/>
      <c r="K91" s="2362"/>
      <c r="L91" s="2362"/>
      <c r="M91" s="2362"/>
      <c r="N91" s="2362"/>
    </row>
    <row r="92" spans="1:14">
      <c r="A92" s="2354"/>
      <c r="B92" s="2353"/>
      <c r="C92" s="2354"/>
      <c r="D92" s="2354"/>
      <c r="E92" s="2354"/>
      <c r="F92" s="2354"/>
      <c r="G92" s="2354"/>
      <c r="H92" s="2354"/>
      <c r="I92" s="2354"/>
      <c r="J92" s="2362"/>
      <c r="K92" s="2362"/>
      <c r="L92" s="2362"/>
      <c r="M92" s="2362"/>
      <c r="N92" s="2362"/>
    </row>
    <row r="93" spans="1:14">
      <c r="A93" s="2354"/>
      <c r="B93" s="2353"/>
      <c r="C93" s="2354"/>
      <c r="D93" s="2354"/>
      <c r="E93" s="2354"/>
      <c r="F93" s="2354"/>
      <c r="G93" s="2354"/>
      <c r="H93" s="2354"/>
      <c r="I93" s="2354"/>
      <c r="J93" s="2362"/>
      <c r="K93" s="2362"/>
      <c r="L93" s="2362"/>
      <c r="M93" s="2362"/>
      <c r="N93" s="2362"/>
    </row>
    <row r="94" spans="1:14">
      <c r="A94" s="2354"/>
      <c r="B94" s="2353"/>
      <c r="C94" s="2354"/>
      <c r="D94" s="2354"/>
      <c r="E94" s="2354"/>
      <c r="F94" s="2354"/>
      <c r="G94" s="2354"/>
      <c r="H94" s="2354"/>
      <c r="I94" s="2354"/>
      <c r="J94" s="2362"/>
      <c r="K94" s="2362"/>
      <c r="L94" s="2362"/>
      <c r="M94" s="2362"/>
      <c r="N94" s="2362"/>
    </row>
    <row r="95" spans="1:14">
      <c r="A95" s="2354"/>
      <c r="B95" s="2353"/>
      <c r="C95" s="2354"/>
      <c r="D95" s="2354"/>
      <c r="E95" s="2354"/>
      <c r="F95" s="2354"/>
      <c r="G95" s="2354"/>
      <c r="H95" s="2354"/>
      <c r="I95" s="2354"/>
      <c r="J95" s="2362"/>
      <c r="K95" s="2362"/>
      <c r="L95" s="2362"/>
      <c r="M95" s="2362"/>
      <c r="N95" s="2362"/>
    </row>
  </sheetData>
  <sheetProtection algorithmName="SHA-512" hashValue="Pw2v5wJ5Eb1oMJmlFcdQFC83gKxaKoPBk0CJnVVLjF1fOrf3hYhopn7++lYcdh3qxSGRGYlOT4Hu6OEE066xPg==" saltValue="NDhJcr+2VNUWt6i3xaFVaA==" spinCount="100000" sheet="1" objects="1" scenarios="1"/>
  <mergeCells count="2">
    <mergeCell ref="A89:I89"/>
    <mergeCell ref="A90:I90"/>
  </mergeCells>
  <phoneticPr fontId="10" type="noConversion"/>
  <hyperlinks>
    <hyperlink ref="J1" location="Contents!F1" display="Return to Contents page"/>
  </hyperlinks>
  <printOptions horizontalCentered="1" verticalCentered="1"/>
  <pageMargins left="0.25" right="0.25" top="0.19" bottom="0.19" header="0.5" footer="0.5"/>
  <pageSetup scale="88" fitToHeight="2" orientation="landscape" blackAndWhite="1" r:id="rId1"/>
  <headerFooter alignWithMargins="0">
    <oddFooter xml:space="preserve">&amp;L&amp;D  &amp;T&amp;CCode No. 99&amp;RPage  &amp;P  </oddFooter>
  </headerFooter>
  <rowBreaks count="2" manualBreakCount="2">
    <brk id="46" max="8" man="1"/>
    <brk id="98" max="65535"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6" tint="-0.249977111117893"/>
  </sheetPr>
  <dimension ref="A1:S46"/>
  <sheetViews>
    <sheetView topLeftCell="A18" workbookViewId="0">
      <selection activeCell="E30" sqref="E30"/>
    </sheetView>
  </sheetViews>
  <sheetFormatPr defaultRowHeight="12.75"/>
  <cols>
    <col min="1" max="1" width="9.140625" style="4287"/>
    <col min="2" max="2" width="5.5703125" style="4287" customWidth="1"/>
    <col min="3" max="4" width="9.140625" style="4287"/>
    <col min="5" max="5" width="10.5703125" style="4287" customWidth="1"/>
    <col min="6" max="10" width="9.140625" style="4287"/>
    <col min="11" max="11" width="2.5703125" style="4287" customWidth="1"/>
    <col min="12" max="16" width="9.140625" style="4287"/>
    <col min="17" max="17" width="1.5703125" style="4287" customWidth="1"/>
    <col min="18" max="16384" width="9.140625" style="4287"/>
  </cols>
  <sheetData>
    <row r="1" spans="1:13">
      <c r="A1" s="4284"/>
      <c r="B1" s="4285"/>
      <c r="C1" s="4285"/>
      <c r="D1" s="4285"/>
      <c r="E1" s="4285"/>
      <c r="F1" s="4285"/>
      <c r="G1" s="4285"/>
      <c r="H1" s="4285"/>
      <c r="I1" s="4285"/>
      <c r="J1" s="4286"/>
      <c r="M1" s="4288" t="s">
        <v>1980</v>
      </c>
    </row>
    <row r="2" spans="1:13">
      <c r="A2" s="4289"/>
      <c r="B2" s="4290"/>
      <c r="C2" s="4290"/>
      <c r="D2" s="4290"/>
      <c r="E2" s="4290"/>
      <c r="F2" s="4290"/>
      <c r="G2" s="4290"/>
      <c r="H2" s="4290"/>
      <c r="I2" s="4290"/>
      <c r="J2" s="4291"/>
    </row>
    <row r="3" spans="1:13">
      <c r="A3" s="4289"/>
      <c r="B3" s="4290"/>
      <c r="C3" s="4290"/>
      <c r="D3" s="4290"/>
      <c r="E3" s="4290"/>
      <c r="F3" s="4290"/>
      <c r="G3" s="4290"/>
      <c r="H3" s="4290"/>
      <c r="I3" s="4290"/>
      <c r="J3" s="4291"/>
    </row>
    <row r="4" spans="1:13">
      <c r="A4" s="4289"/>
      <c r="B4" s="4290"/>
      <c r="C4" s="4290"/>
      <c r="D4" s="4290"/>
      <c r="E4" s="4290"/>
      <c r="F4" s="4290"/>
      <c r="G4" s="4290"/>
      <c r="H4" s="4290"/>
      <c r="I4" s="4290"/>
      <c r="J4" s="4291"/>
    </row>
    <row r="5" spans="1:13">
      <c r="A5" s="4289"/>
      <c r="B5" s="4290"/>
      <c r="C5" s="4290"/>
      <c r="D5" s="4290"/>
      <c r="E5" s="4290"/>
      <c r="F5" s="4290"/>
      <c r="G5" s="4290"/>
      <c r="H5" s="4290"/>
      <c r="I5" s="4290"/>
      <c r="J5" s="4291"/>
    </row>
    <row r="6" spans="1:13">
      <c r="A6" s="4292"/>
      <c r="B6" s="4293"/>
      <c r="C6" s="4293"/>
      <c r="D6" s="4293"/>
      <c r="E6" s="4293"/>
      <c r="F6" s="4293"/>
      <c r="G6" s="4293"/>
      <c r="H6" s="4293"/>
      <c r="I6" s="4293"/>
      <c r="J6" s="4294"/>
    </row>
    <row r="7" spans="1:13">
      <c r="A7" s="4292"/>
      <c r="B7" s="4293"/>
      <c r="C7" s="4293"/>
      <c r="D7" s="4293"/>
      <c r="E7" s="4293"/>
      <c r="F7" s="4293"/>
      <c r="G7" s="4293"/>
      <c r="H7" s="4293"/>
      <c r="I7" s="4293"/>
      <c r="J7" s="4294"/>
    </row>
    <row r="8" spans="1:13">
      <c r="A8" s="4292"/>
      <c r="B8" s="4293"/>
      <c r="C8" s="4293"/>
      <c r="D8" s="4293"/>
      <c r="E8" s="4293"/>
      <c r="F8" s="4293"/>
      <c r="G8" s="4293"/>
      <c r="H8" s="4293"/>
      <c r="I8" s="4293"/>
      <c r="J8" s="4294"/>
    </row>
    <row r="9" spans="1:13">
      <c r="A9" s="4292"/>
      <c r="B9" s="4293"/>
      <c r="C9" s="4293"/>
      <c r="D9" s="4293"/>
      <c r="E9" s="4293"/>
      <c r="F9" s="4293"/>
      <c r="G9" s="4293"/>
      <c r="H9" s="4293"/>
      <c r="I9" s="4293"/>
      <c r="J9" s="4294"/>
    </row>
    <row r="10" spans="1:13">
      <c r="A10" s="4292"/>
      <c r="B10" s="4293"/>
      <c r="C10" s="4293"/>
      <c r="D10" s="4293"/>
      <c r="E10" s="4293"/>
      <c r="F10" s="4293"/>
      <c r="G10" s="4293"/>
      <c r="H10" s="4293"/>
      <c r="I10" s="4293"/>
      <c r="J10" s="4294"/>
    </row>
    <row r="11" spans="1:13">
      <c r="A11" s="4292"/>
      <c r="B11" s="4293"/>
      <c r="C11" s="4293"/>
      <c r="D11" s="4293"/>
      <c r="E11" s="4293"/>
      <c r="F11" s="4293"/>
      <c r="G11" s="4293"/>
      <c r="H11" s="4293"/>
      <c r="I11" s="4293"/>
      <c r="J11" s="4294"/>
    </row>
    <row r="12" spans="1:13">
      <c r="A12" s="4292"/>
      <c r="B12" s="4293"/>
      <c r="C12" s="4293"/>
      <c r="D12" s="4293"/>
      <c r="E12" s="4293"/>
      <c r="F12" s="4293"/>
      <c r="G12" s="4293"/>
      <c r="H12" s="4293"/>
      <c r="I12" s="4293"/>
      <c r="J12" s="4294"/>
    </row>
    <row r="13" spans="1:13">
      <c r="A13" s="4292"/>
      <c r="B13" s="4293"/>
      <c r="C13" s="4293"/>
      <c r="D13" s="4293"/>
      <c r="E13" s="4293"/>
      <c r="F13" s="4293"/>
      <c r="G13" s="4293"/>
      <c r="H13" s="4293"/>
      <c r="I13" s="4293"/>
      <c r="J13" s="4294"/>
    </row>
    <row r="14" spans="1:13">
      <c r="A14" s="4292"/>
      <c r="B14" s="4293"/>
      <c r="C14" s="4293"/>
      <c r="D14" s="4293"/>
      <c r="E14" s="4293"/>
      <c r="F14" s="4293"/>
      <c r="G14" s="4293"/>
      <c r="H14" s="4293"/>
      <c r="I14" s="4293"/>
      <c r="J14" s="4294"/>
    </row>
    <row r="15" spans="1:13">
      <c r="A15" s="4292"/>
      <c r="B15" s="4293"/>
      <c r="C15" s="4293"/>
      <c r="D15" s="4293"/>
      <c r="E15" s="4293"/>
      <c r="F15" s="4293"/>
      <c r="G15" s="4293"/>
      <c r="H15" s="4293"/>
      <c r="I15" s="4293"/>
      <c r="J15" s="4294"/>
    </row>
    <row r="16" spans="1:13">
      <c r="A16" s="4292"/>
      <c r="B16" s="4293"/>
      <c r="C16" s="4293"/>
      <c r="D16" s="4293"/>
      <c r="E16" s="4293"/>
      <c r="F16" s="4293"/>
      <c r="G16" s="4293"/>
      <c r="H16" s="4293"/>
      <c r="I16" s="4293"/>
      <c r="J16" s="4294"/>
    </row>
    <row r="17" spans="1:19">
      <c r="A17" s="4292"/>
      <c r="B17" s="4293"/>
      <c r="C17" s="4293"/>
      <c r="D17" s="4293"/>
      <c r="E17" s="4293"/>
      <c r="F17" s="4293"/>
      <c r="G17" s="4293"/>
      <c r="H17" s="4293"/>
      <c r="I17" s="4293"/>
      <c r="J17" s="4294"/>
    </row>
    <row r="18" spans="1:19">
      <c r="A18" s="4292"/>
      <c r="B18" s="4293"/>
      <c r="C18" s="4293"/>
      <c r="D18" s="4293"/>
      <c r="E18" s="4293"/>
      <c r="F18" s="4293"/>
      <c r="G18" s="4293"/>
      <c r="H18" s="4293"/>
      <c r="I18" s="4293"/>
      <c r="J18" s="4294"/>
    </row>
    <row r="19" spans="1:19">
      <c r="A19" s="4292"/>
      <c r="B19" s="4293"/>
      <c r="C19" s="4293"/>
      <c r="D19" s="4293"/>
      <c r="E19" s="4293"/>
      <c r="F19" s="4293"/>
      <c r="G19" s="4293"/>
      <c r="H19" s="4293"/>
      <c r="I19" s="4293"/>
      <c r="J19" s="4294"/>
    </row>
    <row r="20" spans="1:19">
      <c r="A20" s="4292"/>
      <c r="B20" s="4293"/>
      <c r="C20" s="4293"/>
      <c r="D20" s="4293"/>
      <c r="E20" s="4293"/>
      <c r="F20" s="4293"/>
      <c r="G20" s="4293"/>
      <c r="H20" s="4293"/>
      <c r="I20" s="4293"/>
      <c r="J20" s="4294"/>
    </row>
    <row r="21" spans="1:19">
      <c r="A21" s="4292"/>
      <c r="B21" s="4293"/>
      <c r="C21" s="4293"/>
      <c r="D21" s="4293"/>
      <c r="E21" s="4293"/>
      <c r="F21" s="4293"/>
      <c r="G21" s="4293"/>
      <c r="H21" s="4293"/>
      <c r="I21" s="4293"/>
      <c r="J21" s="4294"/>
    </row>
    <row r="22" spans="1:19">
      <c r="A22" s="4292"/>
      <c r="B22" s="4293"/>
      <c r="C22" s="4293"/>
      <c r="D22" s="4293"/>
      <c r="E22" s="4293"/>
      <c r="F22" s="4293"/>
      <c r="G22" s="4293"/>
      <c r="H22" s="4293"/>
      <c r="I22" s="4293"/>
      <c r="J22" s="4294"/>
    </row>
    <row r="23" spans="1:19">
      <c r="A23" s="4292"/>
      <c r="B23" s="4293"/>
      <c r="C23" s="4293"/>
      <c r="D23" s="4293"/>
      <c r="E23" s="4293"/>
      <c r="F23" s="4293"/>
      <c r="G23" s="4293"/>
      <c r="H23" s="4293"/>
      <c r="I23" s="4293"/>
      <c r="J23" s="4294"/>
    </row>
    <row r="24" spans="1:19" ht="51" customHeight="1">
      <c r="A24" s="4292"/>
      <c r="B24" s="4293"/>
      <c r="C24" s="5292" t="s">
        <v>1981</v>
      </c>
      <c r="D24" s="5292"/>
      <c r="E24" s="5292"/>
      <c r="F24" s="5292"/>
      <c r="G24" s="5292"/>
      <c r="H24" s="5292"/>
      <c r="I24" s="5292"/>
      <c r="J24" s="4294"/>
    </row>
    <row r="25" spans="1:19">
      <c r="A25" s="4292"/>
      <c r="B25" s="4293"/>
      <c r="C25" s="4293"/>
      <c r="D25" s="4293"/>
      <c r="E25" s="4293"/>
      <c r="F25" s="4293"/>
      <c r="G25" s="4293"/>
      <c r="H25" s="4293"/>
      <c r="I25" s="4293"/>
      <c r="J25" s="4294"/>
    </row>
    <row r="26" spans="1:19">
      <c r="A26" s="4292"/>
      <c r="B26" s="4293"/>
      <c r="C26" s="4293"/>
      <c r="D26" s="4293"/>
      <c r="E26" s="4293"/>
      <c r="F26" s="4293"/>
      <c r="G26" s="4293"/>
      <c r="H26" s="4293"/>
      <c r="I26" s="4293"/>
      <c r="J26" s="4294"/>
    </row>
    <row r="27" spans="1:19">
      <c r="A27" s="4292"/>
      <c r="B27" s="4293"/>
      <c r="C27" s="4293"/>
      <c r="D27" s="4293"/>
      <c r="E27" s="4293"/>
      <c r="F27" s="4293"/>
      <c r="G27" s="4293"/>
      <c r="H27" s="4293"/>
      <c r="I27" s="4293"/>
      <c r="J27" s="4294"/>
    </row>
    <row r="28" spans="1:19" ht="20.25">
      <c r="A28" s="4292"/>
      <c r="B28" s="4293"/>
      <c r="C28" s="4295"/>
      <c r="D28" s="4296" t="s">
        <v>1982</v>
      </c>
      <c r="E28" s="4297" t="str">
        <f>OPEN!B3</f>
        <v>270 - Plainville</v>
      </c>
      <c r="F28" s="4293"/>
      <c r="G28" s="4293"/>
      <c r="H28" s="4293"/>
      <c r="I28" s="4293"/>
      <c r="J28" s="4294"/>
    </row>
    <row r="29" spans="1:19">
      <c r="A29" s="4292"/>
      <c r="B29" s="4293"/>
      <c r="C29" s="4293"/>
      <c r="D29" s="4293"/>
      <c r="E29" s="4293"/>
      <c r="F29" s="4293"/>
      <c r="G29" s="4293"/>
      <c r="H29" s="4293"/>
      <c r="I29" s="4293"/>
      <c r="J29" s="4294"/>
    </row>
    <row r="30" spans="1:19" ht="15.75">
      <c r="A30" s="4292"/>
      <c r="B30" s="4293"/>
      <c r="C30" s="4293"/>
      <c r="D30" s="4296" t="s">
        <v>1983</v>
      </c>
      <c r="E30" s="4293"/>
      <c r="F30" s="4293"/>
      <c r="G30" s="4293"/>
      <c r="H30" s="4293"/>
      <c r="I30" s="4293"/>
      <c r="J30" s="4294"/>
      <c r="K30" s="4298"/>
      <c r="L30" s="4299" t="s">
        <v>1984</v>
      </c>
      <c r="M30" s="4300"/>
      <c r="N30" s="4300"/>
      <c r="O30" s="4300"/>
      <c r="P30" s="4300"/>
      <c r="Q30" s="4301"/>
      <c r="R30" s="4301"/>
      <c r="S30" s="4301"/>
    </row>
    <row r="31" spans="1:19">
      <c r="A31" s="4292"/>
      <c r="B31" s="4293"/>
      <c r="C31" s="4293"/>
      <c r="D31" s="4293"/>
      <c r="E31" s="4293"/>
      <c r="F31" s="4293"/>
      <c r="G31" s="4293"/>
      <c r="H31" s="4293"/>
      <c r="I31" s="4293"/>
      <c r="J31" s="4294"/>
      <c r="K31" s="4302"/>
      <c r="L31" s="4303" t="s">
        <v>2601</v>
      </c>
      <c r="M31" s="4300"/>
      <c r="N31" s="4300"/>
      <c r="O31" s="4300"/>
      <c r="P31" s="4300"/>
      <c r="Q31" s="4301"/>
      <c r="R31" s="4301"/>
      <c r="S31" s="4301"/>
    </row>
    <row r="32" spans="1:19" ht="15.75">
      <c r="A32" s="4292"/>
      <c r="B32" s="4293"/>
      <c r="C32" s="4293"/>
      <c r="D32" s="4296" t="s">
        <v>1985</v>
      </c>
      <c r="E32" s="5293">
        <f>IF(Headings!B27="","",Headings!B27)</f>
        <v>42583</v>
      </c>
      <c r="F32" s="5293"/>
      <c r="G32" s="5293"/>
      <c r="H32" s="4293"/>
      <c r="I32" s="4293"/>
      <c r="J32" s="4294"/>
      <c r="K32" s="4302"/>
      <c r="L32" s="4303" t="s">
        <v>1986</v>
      </c>
      <c r="M32" s="4300"/>
      <c r="N32" s="4300"/>
      <c r="O32" s="4300"/>
      <c r="P32" s="4300"/>
      <c r="Q32" s="4301"/>
      <c r="R32" s="4301"/>
      <c r="S32" s="4301"/>
    </row>
    <row r="33" spans="1:19">
      <c r="A33" s="4292"/>
      <c r="B33" s="4293"/>
      <c r="C33" s="4293"/>
      <c r="D33" s="4293"/>
      <c r="E33" s="4293"/>
      <c r="F33" s="4293"/>
      <c r="G33" s="4293"/>
      <c r="H33" s="4293"/>
      <c r="I33" s="4293"/>
      <c r="J33" s="4294"/>
      <c r="K33" s="4302"/>
      <c r="L33" s="4304" t="s">
        <v>2458</v>
      </c>
      <c r="M33" s="4300"/>
      <c r="N33" s="4300"/>
      <c r="O33" s="4300"/>
      <c r="P33" s="4300"/>
      <c r="Q33" s="4301"/>
      <c r="R33" s="4301"/>
      <c r="S33" s="4301"/>
    </row>
    <row r="34" spans="1:19">
      <c r="A34" s="4292"/>
      <c r="B34" s="4293"/>
      <c r="C34" s="4293"/>
      <c r="D34" s="4293"/>
      <c r="E34" s="4293"/>
      <c r="F34" s="4293"/>
      <c r="G34" s="4293"/>
      <c r="H34" s="4293"/>
      <c r="I34" s="4293"/>
      <c r="J34" s="4294"/>
      <c r="L34" s="4304"/>
      <c r="M34" s="4300"/>
      <c r="N34" s="4300"/>
      <c r="O34" s="4300"/>
      <c r="P34" s="4300"/>
      <c r="Q34" s="4301"/>
      <c r="R34" s="4301"/>
      <c r="S34" s="4301"/>
    </row>
    <row r="35" spans="1:19">
      <c r="A35" s="4292"/>
      <c r="B35" s="4293"/>
      <c r="C35" s="4293"/>
      <c r="D35" s="4293"/>
      <c r="E35" s="4293"/>
      <c r="F35" s="4293"/>
      <c r="G35" s="4293"/>
      <c r="H35" s="4293"/>
      <c r="I35" s="4293"/>
      <c r="J35" s="4294"/>
      <c r="L35" s="4305"/>
      <c r="M35" s="4305"/>
      <c r="N35" s="4305"/>
      <c r="O35" s="4305"/>
      <c r="P35" s="4305"/>
      <c r="Q35" s="4305"/>
    </row>
    <row r="36" spans="1:19">
      <c r="A36" s="4292"/>
      <c r="B36" s="4293"/>
      <c r="C36" s="4293"/>
      <c r="D36" s="4293"/>
      <c r="E36" s="4293"/>
      <c r="F36" s="4293"/>
      <c r="G36" s="4293"/>
      <c r="H36" s="4293"/>
      <c r="I36" s="4293"/>
      <c r="J36" s="4294"/>
    </row>
    <row r="37" spans="1:19">
      <c r="A37" s="4292"/>
      <c r="B37" s="4293"/>
      <c r="C37" s="4293"/>
      <c r="D37" s="4293"/>
      <c r="E37" s="4293"/>
      <c r="F37" s="4293"/>
      <c r="G37" s="4293"/>
      <c r="H37" s="4293"/>
      <c r="I37" s="4293"/>
      <c r="J37" s="4294"/>
    </row>
    <row r="38" spans="1:19">
      <c r="A38" s="4292"/>
      <c r="B38" s="4293"/>
      <c r="C38" s="4293"/>
      <c r="D38" s="4293"/>
      <c r="E38" s="4293"/>
      <c r="F38" s="4293"/>
      <c r="G38" s="4293"/>
      <c r="H38" s="4293"/>
      <c r="I38" s="4293"/>
      <c r="J38" s="4294"/>
    </row>
    <row r="39" spans="1:19">
      <c r="A39" s="4292"/>
      <c r="B39" s="4293"/>
      <c r="C39" s="4293"/>
      <c r="D39" s="4293"/>
      <c r="E39" s="4293"/>
      <c r="F39" s="4293"/>
      <c r="G39" s="4293"/>
      <c r="H39" s="4293"/>
      <c r="I39" s="4293"/>
      <c r="J39" s="4294"/>
    </row>
    <row r="40" spans="1:19">
      <c r="A40" s="4292"/>
      <c r="B40" s="4293"/>
      <c r="C40" s="4293"/>
      <c r="D40" s="4293"/>
      <c r="E40" s="4293"/>
      <c r="F40" s="4293"/>
      <c r="G40" s="4293"/>
      <c r="H40" s="4293"/>
      <c r="I40" s="4293"/>
      <c r="J40" s="4294"/>
    </row>
    <row r="41" spans="1:19">
      <c r="A41" s="4292"/>
      <c r="B41" s="4293"/>
      <c r="C41" s="4293"/>
      <c r="D41" s="4293"/>
      <c r="E41" s="4293"/>
      <c r="F41" s="4293"/>
      <c r="G41" s="4293"/>
      <c r="H41" s="4293"/>
      <c r="I41" s="4293"/>
      <c r="J41" s="4294"/>
    </row>
    <row r="42" spans="1:19">
      <c r="A42" s="4292"/>
      <c r="B42" s="4293"/>
      <c r="C42" s="4293"/>
      <c r="D42" s="4293"/>
      <c r="E42" s="4293"/>
      <c r="F42" s="4293"/>
      <c r="G42" s="4293"/>
      <c r="H42" s="4293"/>
      <c r="I42" s="4293"/>
      <c r="J42" s="4294"/>
    </row>
    <row r="43" spans="1:19">
      <c r="A43" s="4292"/>
      <c r="B43" s="4293"/>
      <c r="C43" s="4293"/>
      <c r="D43" s="4293"/>
      <c r="E43" s="4293"/>
      <c r="F43" s="4293"/>
      <c r="G43" s="4293"/>
      <c r="H43" s="4293"/>
      <c r="I43" s="4293"/>
      <c r="J43" s="4294"/>
    </row>
    <row r="44" spans="1:19">
      <c r="A44" s="4289"/>
      <c r="B44" s="4290"/>
      <c r="C44" s="4290"/>
      <c r="D44" s="4290"/>
      <c r="E44" s="4290"/>
      <c r="F44" s="4290"/>
      <c r="G44" s="4290"/>
      <c r="H44" s="4290"/>
      <c r="I44" s="4290"/>
      <c r="J44" s="4291"/>
    </row>
    <row r="45" spans="1:19">
      <c r="A45" s="4289"/>
      <c r="B45" s="4290"/>
      <c r="C45" s="4290"/>
      <c r="D45" s="4290"/>
      <c r="E45" s="4290"/>
      <c r="F45" s="4290"/>
      <c r="G45" s="4290"/>
      <c r="H45" s="4290"/>
      <c r="I45" s="4290"/>
      <c r="J45" s="4291"/>
    </row>
    <row r="46" spans="1:19" ht="13.5" thickBot="1">
      <c r="A46" s="4306"/>
      <c r="B46" s="4307"/>
      <c r="C46" s="4307"/>
      <c r="D46" s="4307"/>
      <c r="E46" s="4307"/>
      <c r="F46" s="4307"/>
      <c r="G46" s="4307"/>
      <c r="H46" s="4307"/>
      <c r="I46" s="4307"/>
      <c r="J46" s="4308"/>
    </row>
  </sheetData>
  <sheetProtection algorithmName="SHA-512" hashValue="ynS92RLkJsjQY7ibUiCbM4W670dzDOGgL220YcVu/vJDGpQAC6toOiktfi70AHmr++qkxHMB5C7eWeYRaJfhcg==" saltValue="Cw3osXZyqsC4vB41TCCI7w==" spinCount="100000" sheet="1" objects="1" scenarios="1"/>
  <mergeCells count="2">
    <mergeCell ref="C24:I24"/>
    <mergeCell ref="E32:G32"/>
  </mergeCells>
  <hyperlinks>
    <hyperlink ref="M1" location="Contents!A1" display="Return to Contents"/>
  </hyperlinks>
  <pageMargins left="0.7" right="0.7" top="0.75" bottom="0.75" header="0.3" footer="0.3"/>
  <pageSetup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4" tint="0.39997558519241921"/>
  </sheetPr>
  <dimension ref="A1:M40"/>
  <sheetViews>
    <sheetView zoomScaleNormal="100" workbookViewId="0">
      <selection activeCell="B35" sqref="B35"/>
    </sheetView>
  </sheetViews>
  <sheetFormatPr defaultRowHeight="12.75"/>
  <cols>
    <col min="1" max="1" width="28.42578125" customWidth="1"/>
    <col min="2" max="2" width="16.140625" customWidth="1"/>
    <col min="3" max="3" width="11" customWidth="1"/>
    <col min="4" max="4" width="15" customWidth="1"/>
    <col min="5" max="5" width="9.42578125" customWidth="1"/>
    <col min="6" max="6" width="15.42578125" customWidth="1"/>
    <col min="7" max="7" width="1.85546875" customWidth="1"/>
    <col min="12" max="12" width="12.7109375" bestFit="1" customWidth="1"/>
  </cols>
  <sheetData>
    <row r="1" spans="1:12">
      <c r="A1" s="2697"/>
      <c r="B1" s="2697"/>
      <c r="C1" s="2697"/>
      <c r="D1" s="2697"/>
      <c r="E1" s="2697"/>
      <c r="F1" s="2697"/>
      <c r="H1" s="3013" t="s">
        <v>866</v>
      </c>
    </row>
    <row r="2" spans="1:12" ht="18">
      <c r="A2" s="5298" t="str">
        <f>"USD " &amp; OPEN!B4 &amp; " PUBLIC NOTICE OF VOTE"</f>
        <v>USD 270 PUBLIC NOTICE OF VOTE</v>
      </c>
      <c r="B2" s="5298"/>
      <c r="C2" s="5298"/>
      <c r="D2" s="5298"/>
      <c r="E2" s="5298"/>
      <c r="F2" s="5298"/>
    </row>
    <row r="3" spans="1:12">
      <c r="A3" s="2697"/>
      <c r="B3" s="2697"/>
      <c r="C3" s="2697"/>
      <c r="D3" s="2697"/>
      <c r="E3" s="2697"/>
      <c r="F3" s="2697"/>
    </row>
    <row r="4" spans="1:12" ht="15">
      <c r="A4" s="5299" t="str">
        <f>OPEN!P14 &amp; " PROPERTY TAX RATES"</f>
        <v>2016-17 PROPERTY TAX RATES</v>
      </c>
      <c r="B4" s="5299"/>
      <c r="C4" s="5299"/>
      <c r="D4" s="5299"/>
      <c r="E4" s="5299"/>
      <c r="F4" s="5299"/>
    </row>
    <row r="5" spans="1:12">
      <c r="A5" s="2697"/>
      <c r="B5" s="2697"/>
      <c r="C5" s="2697"/>
      <c r="D5" s="2697"/>
      <c r="E5" s="2697"/>
      <c r="F5" s="2697"/>
    </row>
    <row r="6" spans="1:12" ht="15">
      <c r="A6" s="5299" t="s">
        <v>1773</v>
      </c>
      <c r="B6" s="5299"/>
      <c r="C6" s="5299"/>
      <c r="D6" s="5299"/>
      <c r="E6" s="5299"/>
      <c r="F6" s="5299"/>
    </row>
    <row r="7" spans="1:12">
      <c r="A7" s="5300" t="s">
        <v>1804</v>
      </c>
      <c r="B7" s="5301"/>
      <c r="C7" s="5301"/>
      <c r="D7" s="5301"/>
      <c r="E7" s="5301"/>
      <c r="F7" s="5301"/>
    </row>
    <row r="8" spans="1:12">
      <c r="A8" s="2697"/>
      <c r="B8" s="2697"/>
      <c r="C8" s="2697"/>
      <c r="D8" s="2697"/>
      <c r="E8" s="2697"/>
      <c r="F8" s="2697"/>
    </row>
    <row r="9" spans="1:12">
      <c r="A9" s="2697"/>
      <c r="B9" s="2697"/>
      <c r="C9" s="2697"/>
      <c r="D9" s="2697"/>
      <c r="E9" s="2697"/>
      <c r="F9" s="2697"/>
    </row>
    <row r="10" spans="1:12">
      <c r="A10" s="3918"/>
      <c r="B10" s="5295" t="str">
        <f>OPEN!O14</f>
        <v>2015-16</v>
      </c>
      <c r="C10" s="5296"/>
      <c r="D10" s="5295" t="str">
        <f>OPEN!P14</f>
        <v>2016-17</v>
      </c>
      <c r="E10" s="5296"/>
      <c r="F10" s="3918" t="s">
        <v>1759</v>
      </c>
    </row>
    <row r="11" spans="1:12">
      <c r="A11" s="3919" t="s">
        <v>1152</v>
      </c>
      <c r="B11" s="3920" t="s">
        <v>1757</v>
      </c>
      <c r="C11" s="3920" t="s">
        <v>1178</v>
      </c>
      <c r="D11" s="3920" t="s">
        <v>1757</v>
      </c>
      <c r="E11" s="3920" t="s">
        <v>1178</v>
      </c>
      <c r="F11" s="3921" t="s">
        <v>1758</v>
      </c>
    </row>
    <row r="12" spans="1:12">
      <c r="A12" s="3922"/>
      <c r="B12" s="3922"/>
      <c r="C12" s="3924"/>
      <c r="D12" s="3922"/>
      <c r="E12" s="3924"/>
      <c r="F12" s="3924"/>
    </row>
    <row r="13" spans="1:12">
      <c r="A13" s="3922" t="s">
        <v>1761</v>
      </c>
      <c r="B13" s="3923">
        <f>OPEN!A12*(OPEN!D23/1000)</f>
        <v>338493</v>
      </c>
      <c r="C13" s="3924">
        <f>OPEN!D23</f>
        <v>9.6880000000000006</v>
      </c>
      <c r="D13" s="3923">
        <f>'CO99'!H21</f>
        <v>552511</v>
      </c>
      <c r="E13" s="3924">
        <f>'CO99'!I21</f>
        <v>17.466999999999999</v>
      </c>
      <c r="F13" s="4012">
        <f>IF(B13&lt;&gt;0,(D13-B13)/B13,0)</f>
        <v>0.63229999999999997</v>
      </c>
      <c r="L13" s="2624"/>
    </row>
    <row r="14" spans="1:12">
      <c r="A14" s="3922" t="s">
        <v>1760</v>
      </c>
      <c r="B14" s="3923">
        <f>OPEN!A12*(OPEN!D24/1000)</f>
        <v>0</v>
      </c>
      <c r="C14" s="3924">
        <f>OPEN!D24</f>
        <v>0</v>
      </c>
      <c r="D14" s="3923">
        <f>'CO99'!H23</f>
        <v>0</v>
      </c>
      <c r="E14" s="3924">
        <f>'CO99'!I23</f>
        <v>0</v>
      </c>
      <c r="F14" s="4012">
        <f t="shared" ref="F14:F23" si="0">IF(B14&lt;&gt;0,(D14-B14)/B14,0)</f>
        <v>0</v>
      </c>
    </row>
    <row r="15" spans="1:12">
      <c r="A15" s="3922" t="s">
        <v>1762</v>
      </c>
      <c r="B15" s="3923">
        <f>OPEN!A12*(OPEN!D25/1000)</f>
        <v>279516</v>
      </c>
      <c r="C15" s="3924">
        <f>OPEN!D25</f>
        <v>8</v>
      </c>
      <c r="D15" s="3923">
        <f>'CO99'!H27</f>
        <v>253049</v>
      </c>
      <c r="E15" s="3924">
        <f>'CO99'!I27</f>
        <v>8</v>
      </c>
      <c r="F15" s="4012">
        <f t="shared" si="0"/>
        <v>-9.4700000000000006E-2</v>
      </c>
    </row>
    <row r="16" spans="1:12">
      <c r="A16" s="3922" t="s">
        <v>1763</v>
      </c>
      <c r="B16" s="3923">
        <f>OPEN!A12*(OPEN!D26/1000)</f>
        <v>0</v>
      </c>
      <c r="C16" s="3924">
        <f>OPEN!D26</f>
        <v>0</v>
      </c>
      <c r="D16" s="3923">
        <f>'CO99'!H36</f>
        <v>0</v>
      </c>
      <c r="E16" s="3924">
        <f>'CO99'!I36</f>
        <v>0</v>
      </c>
      <c r="F16" s="4012">
        <f t="shared" si="0"/>
        <v>0</v>
      </c>
    </row>
    <row r="17" spans="1:13">
      <c r="A17" s="3922" t="s">
        <v>1764</v>
      </c>
      <c r="B17" s="3923">
        <f>OPEN!A12*(OPEN!D27/1000)</f>
        <v>0</v>
      </c>
      <c r="C17" s="3924">
        <f>OPEN!D27</f>
        <v>0</v>
      </c>
      <c r="D17" s="3923">
        <f>'CO99'!H37</f>
        <v>0</v>
      </c>
      <c r="E17" s="3924">
        <f>'CO99'!I37</f>
        <v>0</v>
      </c>
      <c r="F17" s="4012">
        <f t="shared" si="0"/>
        <v>0</v>
      </c>
    </row>
    <row r="18" spans="1:13">
      <c r="A18" s="3922" t="s">
        <v>1765</v>
      </c>
      <c r="B18" s="3923">
        <f>OPEN!A12*(OPEN!D39/1000)</f>
        <v>0</v>
      </c>
      <c r="C18" s="3924">
        <f>OPEN!D39</f>
        <v>0</v>
      </c>
      <c r="D18" s="3923">
        <f>'CO99'!H38</f>
        <v>0</v>
      </c>
      <c r="E18" s="3924">
        <f>'CO99'!I38</f>
        <v>0</v>
      </c>
      <c r="F18" s="4012">
        <f t="shared" si="0"/>
        <v>0</v>
      </c>
    </row>
    <row r="19" spans="1:13">
      <c r="A19" s="3922" t="s">
        <v>1766</v>
      </c>
      <c r="B19" s="3923">
        <f>OPEN!A12*(OPEN!D41/1000)</f>
        <v>0</v>
      </c>
      <c r="C19" s="3924">
        <f>OPEN!D41</f>
        <v>0</v>
      </c>
      <c r="D19" s="3923">
        <f>'CO99'!H43</f>
        <v>0</v>
      </c>
      <c r="E19" s="3924">
        <f>'CO99'!I43</f>
        <v>0</v>
      </c>
      <c r="F19" s="4012">
        <f t="shared" si="0"/>
        <v>0</v>
      </c>
    </row>
    <row r="20" spans="1:13">
      <c r="A20" s="3922" t="s">
        <v>1767</v>
      </c>
      <c r="B20" s="3923">
        <f>OPEN!A12*(OPEN!D40/1000)</f>
        <v>0</v>
      </c>
      <c r="C20" s="3924">
        <f>OPEN!D40</f>
        <v>0</v>
      </c>
      <c r="D20" s="3923">
        <f>'CO99'!H45</f>
        <v>0</v>
      </c>
      <c r="E20" s="3924">
        <f>'CO99'!I45</f>
        <v>0</v>
      </c>
      <c r="F20" s="4012">
        <f t="shared" si="0"/>
        <v>0</v>
      </c>
    </row>
    <row r="21" spans="1:13">
      <c r="A21" s="3922" t="s">
        <v>1768</v>
      </c>
      <c r="B21" s="3923">
        <f>OPEN!A12*(OPEN!D31/1000)</f>
        <v>0</v>
      </c>
      <c r="C21" s="3924">
        <f>OPEN!D31</f>
        <v>0</v>
      </c>
      <c r="D21" s="3923">
        <f>'CO99'!H63</f>
        <v>0</v>
      </c>
      <c r="E21" s="3924">
        <f>'CO99'!I63</f>
        <v>0</v>
      </c>
      <c r="F21" s="4012">
        <f t="shared" si="0"/>
        <v>0</v>
      </c>
    </row>
    <row r="22" spans="1:13">
      <c r="A22" s="3922"/>
      <c r="B22" s="3922"/>
      <c r="C22" s="3922"/>
      <c r="D22" s="3922"/>
      <c r="E22" s="3924"/>
      <c r="F22" s="3924"/>
    </row>
    <row r="23" spans="1:13">
      <c r="A23" s="3922" t="s">
        <v>1769</v>
      </c>
      <c r="B23" s="3923">
        <f>SUM(B13:B21)</f>
        <v>618009</v>
      </c>
      <c r="C23" s="3924">
        <f>SUM(C13:C21)</f>
        <v>17.687999999999999</v>
      </c>
      <c r="D23" s="3923">
        <f>SUM(D13:D21)</f>
        <v>805560</v>
      </c>
      <c r="E23" s="3924">
        <f>SUM(E13:E21)</f>
        <v>25.466999999999999</v>
      </c>
      <c r="F23" s="4012">
        <f t="shared" si="0"/>
        <v>0.30349999999999999</v>
      </c>
      <c r="I23" s="3820" t="str">
        <f>IF(M23&gt;0.00125,"Need to publish in newspaper", "Do NOT need to publish")</f>
        <v>Need to publish in newspaper</v>
      </c>
      <c r="M23" s="4010">
        <f>F23</f>
        <v>0.30349999999999999</v>
      </c>
    </row>
    <row r="25" spans="1:13">
      <c r="F25" s="4011"/>
      <c r="M25" s="4011"/>
    </row>
    <row r="26" spans="1:13">
      <c r="A26" s="3645" t="s">
        <v>2608</v>
      </c>
    </row>
    <row r="28" spans="1:13">
      <c r="A28" t="s">
        <v>1770</v>
      </c>
    </row>
    <row r="31" spans="1:13">
      <c r="F31" s="3820"/>
    </row>
    <row r="32" spans="1:13" ht="18">
      <c r="A32" s="5302" t="s">
        <v>1771</v>
      </c>
      <c r="B32" s="5302"/>
      <c r="C32" s="5302"/>
      <c r="D32" s="5302"/>
      <c r="E32" s="5302"/>
      <c r="F32" s="5302"/>
    </row>
    <row r="33" spans="1:6" s="3907" customFormat="1" ht="18">
      <c r="A33" s="3917"/>
      <c r="B33" s="3917"/>
      <c r="C33" s="3917"/>
      <c r="D33" s="3917"/>
      <c r="E33" s="3917"/>
    </row>
    <row r="35" spans="1:6">
      <c r="A35" s="3646" t="s">
        <v>1774</v>
      </c>
      <c r="B35" s="4249"/>
      <c r="C35" t="s">
        <v>1772</v>
      </c>
      <c r="D35" s="4250"/>
    </row>
    <row r="39" spans="1:6">
      <c r="A39" s="5294" t="str">
        <f>"              ___________________________________________________"</f>
        <v xml:space="preserve">              ___________________________________________________</v>
      </c>
      <c r="B39" s="5294"/>
      <c r="C39" s="5294"/>
      <c r="D39" s="5294"/>
      <c r="E39" s="5294"/>
      <c r="F39" s="3916"/>
    </row>
    <row r="40" spans="1:6">
      <c r="A40" s="5297" t="s">
        <v>1108</v>
      </c>
      <c r="B40" s="5291"/>
      <c r="C40" s="5291"/>
      <c r="D40" s="5291"/>
      <c r="E40" s="5291"/>
    </row>
  </sheetData>
  <sheetProtection algorithmName="SHA-512" hashValue="GnPz7jB9ENqOya5DbFxNr0qpjTABA3o+CVTX5g9Wj/Tp6nNtt9/VneEWv/WR73KusOH/zxte8uPIcrKMbdYjCA==" saltValue="us9Y1kJ4xwyDRooE/+VCcQ==" spinCount="100000" sheet="1" objects="1" scenarios="1"/>
  <mergeCells count="9">
    <mergeCell ref="A39:E39"/>
    <mergeCell ref="B10:C10"/>
    <mergeCell ref="D10:E10"/>
    <mergeCell ref="A40:E40"/>
    <mergeCell ref="A2:F2"/>
    <mergeCell ref="A4:F4"/>
    <mergeCell ref="A6:F6"/>
    <mergeCell ref="A7:F7"/>
    <mergeCell ref="A32:F32"/>
  </mergeCells>
  <hyperlinks>
    <hyperlink ref="H1" location="Contents!F1" display="Return to Contents page"/>
  </hyperlinks>
  <printOptions horizontalCentered="1"/>
  <pageMargins left="0.45" right="0.45" top="0.75" bottom="0.75" header="0.3" footer="0.3"/>
  <pageSetup scale="97" orientation="portrait" blackAndWhite="1"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6" tint="-0.249977111117893"/>
  </sheetPr>
  <dimension ref="A1:R30"/>
  <sheetViews>
    <sheetView zoomScaleNormal="100" workbookViewId="0">
      <selection activeCell="D25" sqref="D25"/>
    </sheetView>
  </sheetViews>
  <sheetFormatPr defaultRowHeight="12.75"/>
  <cols>
    <col min="1" max="1" width="31.7109375" style="4287" customWidth="1"/>
    <col min="2" max="2" width="10" style="4287" customWidth="1"/>
    <col min="3" max="9" width="9.140625" style="4287"/>
    <col min="10" max="10" width="31.42578125" style="4287" customWidth="1"/>
    <col min="11" max="11" width="2.7109375" style="4287" customWidth="1"/>
    <col min="12" max="16384" width="9.140625" style="4287"/>
  </cols>
  <sheetData>
    <row r="1" spans="1:18">
      <c r="A1" s="4890"/>
      <c r="B1" s="4890"/>
      <c r="C1" s="4890"/>
      <c r="D1" s="4890"/>
      <c r="E1" s="4890"/>
      <c r="F1" s="4890"/>
      <c r="G1" s="4890"/>
      <c r="H1" s="4890"/>
      <c r="I1" s="4890"/>
      <c r="J1" s="4890"/>
      <c r="L1" s="4288" t="s">
        <v>1980</v>
      </c>
      <c r="O1" s="4513" t="s">
        <v>2362</v>
      </c>
      <c r="P1" s="4287">
        <f>OPEN!$B$4</f>
        <v>270</v>
      </c>
      <c r="Q1" s="4513" t="s">
        <v>2363</v>
      </c>
      <c r="R1" s="4287">
        <f>OPEN!$S$5</f>
        <v>2017</v>
      </c>
    </row>
    <row r="2" spans="1:18">
      <c r="A2" s="4891" t="s">
        <v>2364</v>
      </c>
      <c r="B2" s="4890"/>
      <c r="C2" s="4890"/>
      <c r="D2" s="4890"/>
      <c r="E2" s="4890"/>
      <c r="F2" s="4890"/>
      <c r="G2" s="4890"/>
      <c r="H2" s="4890"/>
      <c r="I2" s="4890"/>
      <c r="J2" s="4890"/>
    </row>
    <row r="3" spans="1:18">
      <c r="A3" s="4891" t="s">
        <v>2365</v>
      </c>
      <c r="B3" s="4892"/>
      <c r="C3" s="4892"/>
      <c r="D3" s="4892"/>
      <c r="E3" s="4892"/>
      <c r="F3" s="4892"/>
      <c r="G3" s="4892"/>
      <c r="H3" s="4892"/>
      <c r="I3" s="4890"/>
      <c r="J3" s="4890"/>
    </row>
    <row r="4" spans="1:18">
      <c r="A4" s="4890"/>
      <c r="B4" s="4890"/>
      <c r="C4" s="4890"/>
      <c r="D4" s="4890"/>
      <c r="E4" s="4890"/>
      <c r="F4" s="4890"/>
      <c r="G4" s="4890"/>
      <c r="H4" s="4890"/>
      <c r="I4" s="4890"/>
      <c r="J4" s="4890"/>
    </row>
    <row r="5" spans="1:18">
      <c r="A5" s="5008" t="s">
        <v>2366</v>
      </c>
      <c r="B5" s="4893"/>
      <c r="C5" s="4893"/>
      <c r="D5" s="4893"/>
      <c r="E5" s="4893"/>
      <c r="F5" s="4893"/>
      <c r="G5" s="4893"/>
      <c r="H5" s="4893"/>
      <c r="I5" s="4893"/>
      <c r="J5" s="4893"/>
    </row>
    <row r="6" spans="1:18">
      <c r="A6" s="4894" t="s">
        <v>1112</v>
      </c>
      <c r="B6" s="4895" t="str">
        <f>UPPER(OPEN!B5)</f>
        <v>ROOKS</v>
      </c>
      <c r="C6" s="4893"/>
      <c r="D6" s="4893" t="s">
        <v>2367</v>
      </c>
      <c r="E6" s="4893"/>
      <c r="F6" s="4893"/>
      <c r="G6" s="4893"/>
      <c r="H6" s="4893"/>
      <c r="I6" s="4893"/>
      <c r="J6" s="4893"/>
    </row>
    <row r="7" spans="1:18">
      <c r="A7" s="4894" t="s">
        <v>2368</v>
      </c>
      <c r="B7" s="4896" t="str">
        <f>"UNIFIED SCHOOL DISTRICT "&amp;OPEN!B4</f>
        <v>UNIFIED SCHOOL DISTRICT 270</v>
      </c>
      <c r="C7" s="4893"/>
      <c r="D7" s="4893"/>
      <c r="E7" s="4893"/>
      <c r="F7" s="4893"/>
      <c r="G7" s="4893"/>
      <c r="H7" s="4893"/>
      <c r="I7" s="4893"/>
      <c r="J7" s="4893"/>
    </row>
    <row r="8" spans="1:18">
      <c r="A8" s="4893"/>
      <c r="B8" s="4893"/>
      <c r="C8" s="4893"/>
      <c r="D8" s="4893"/>
      <c r="E8" s="4893"/>
      <c r="F8" s="4893"/>
      <c r="G8" s="4893"/>
      <c r="H8" s="4893"/>
      <c r="I8" s="4893"/>
      <c r="J8" s="4893"/>
    </row>
    <row r="9" spans="1:18">
      <c r="A9" s="5008" t="s">
        <v>2369</v>
      </c>
      <c r="B9" s="4893"/>
      <c r="C9" s="4893"/>
      <c r="D9" s="4893"/>
      <c r="E9" s="4893"/>
      <c r="F9" s="4893"/>
      <c r="G9" s="4893"/>
      <c r="H9" s="4893"/>
      <c r="I9" s="4893"/>
      <c r="J9" s="4893"/>
    </row>
    <row r="10" spans="1:18">
      <c r="A10" s="4894" t="s">
        <v>2370</v>
      </c>
      <c r="B10" s="4896" t="str">
        <f>"Unified School District "&amp;OPEN!B4</f>
        <v>Unified School District 270</v>
      </c>
      <c r="C10" s="4893"/>
      <c r="D10" s="4893"/>
      <c r="E10" s="4893"/>
      <c r="F10" s="4893"/>
      <c r="G10" s="4893"/>
      <c r="H10" s="4893"/>
      <c r="I10" s="4893"/>
      <c r="J10" s="4893"/>
    </row>
    <row r="11" spans="1:18">
      <c r="A11" s="4894" t="s">
        <v>2371</v>
      </c>
      <c r="B11" s="4897" t="s">
        <v>2659</v>
      </c>
      <c r="C11" s="4893" t="s">
        <v>2372</v>
      </c>
      <c r="D11" s="4893"/>
      <c r="E11" s="4893"/>
      <c r="F11" s="4893"/>
      <c r="G11" s="4893"/>
      <c r="H11" s="4893"/>
      <c r="I11" s="4893"/>
      <c r="J11" s="4893"/>
    </row>
    <row r="12" spans="1:18">
      <c r="A12" s="4894" t="s">
        <v>2373</v>
      </c>
      <c r="B12" s="4897" t="s">
        <v>2660</v>
      </c>
      <c r="C12" s="4893" t="s">
        <v>2374</v>
      </c>
      <c r="D12" s="4893"/>
      <c r="E12" s="4893"/>
      <c r="F12" s="4893"/>
      <c r="G12" s="4893"/>
      <c r="H12" s="4893"/>
      <c r="I12" s="4893"/>
      <c r="J12" s="4893"/>
    </row>
    <row r="13" spans="1:18">
      <c r="A13" s="4894" t="s">
        <v>2375</v>
      </c>
      <c r="B13" s="4898" t="s">
        <v>2661</v>
      </c>
      <c r="C13" s="4893" t="s">
        <v>2376</v>
      </c>
      <c r="D13" s="4893"/>
      <c r="E13" s="4893"/>
      <c r="F13" s="4893"/>
      <c r="G13" s="4893"/>
      <c r="H13" s="4893"/>
      <c r="I13" s="4893"/>
      <c r="J13" s="4893"/>
    </row>
    <row r="14" spans="1:18">
      <c r="A14" s="4894" t="s">
        <v>2375</v>
      </c>
      <c r="B14" s="4897" t="s">
        <v>2662</v>
      </c>
      <c r="C14" s="4893"/>
      <c r="D14" s="4893"/>
      <c r="E14" s="4893"/>
      <c r="F14" s="4893" t="s">
        <v>2377</v>
      </c>
      <c r="G14" s="4893"/>
      <c r="H14" s="4893"/>
      <c r="I14" s="4893"/>
      <c r="J14" s="4893"/>
    </row>
    <row r="15" spans="1:18">
      <c r="A15" s="4893" t="s">
        <v>2378</v>
      </c>
      <c r="B15" s="4897" t="s">
        <v>2663</v>
      </c>
      <c r="C15" s="4893"/>
      <c r="D15" s="4893"/>
      <c r="E15" s="4893"/>
      <c r="F15" s="4893" t="s">
        <v>2379</v>
      </c>
      <c r="G15" s="4893"/>
      <c r="H15" s="4893"/>
      <c r="I15" s="4893"/>
      <c r="J15" s="4893"/>
    </row>
    <row r="16" spans="1:18">
      <c r="A16" s="4893"/>
      <c r="B16" s="4893"/>
      <c r="C16" s="4893"/>
      <c r="D16" s="4893"/>
      <c r="E16" s="4893"/>
      <c r="F16" s="4893"/>
      <c r="G16" s="4893"/>
      <c r="H16" s="4893"/>
      <c r="I16" s="4893"/>
      <c r="J16" s="4893"/>
    </row>
    <row r="17" spans="1:10">
      <c r="A17" s="5007" t="s">
        <v>2380</v>
      </c>
      <c r="B17" s="4893"/>
      <c r="C17" s="4893"/>
      <c r="D17" s="4893"/>
      <c r="E17" s="4893"/>
      <c r="F17" s="4893"/>
      <c r="G17" s="4893"/>
      <c r="H17" s="4893"/>
      <c r="I17" s="4893"/>
      <c r="J17" s="4893"/>
    </row>
    <row r="18" spans="1:10">
      <c r="A18" s="4894" t="s">
        <v>2370</v>
      </c>
      <c r="B18" s="4896" t="str">
        <f>"Unified School District "&amp;OPEN!B4</f>
        <v>Unified School District 270</v>
      </c>
      <c r="C18" s="4893"/>
      <c r="D18" s="4893"/>
      <c r="E18" s="4893"/>
      <c r="F18" s="4893"/>
      <c r="G18" s="4893"/>
      <c r="H18" s="4893"/>
      <c r="I18" s="4893"/>
      <c r="J18" s="4893"/>
    </row>
    <row r="19" spans="1:10">
      <c r="A19" s="4894" t="s">
        <v>2371</v>
      </c>
      <c r="B19" s="4899" t="s">
        <v>2664</v>
      </c>
      <c r="C19" s="4900" t="s">
        <v>2381</v>
      </c>
      <c r="D19" s="4893"/>
      <c r="E19" s="4893"/>
      <c r="F19" s="4893"/>
      <c r="G19" s="4893"/>
      <c r="H19" s="4893"/>
      <c r="I19" s="4893"/>
      <c r="J19" s="4893"/>
    </row>
    <row r="20" spans="1:10">
      <c r="A20" s="4894" t="s">
        <v>2382</v>
      </c>
      <c r="B20" s="4899" t="s">
        <v>2660</v>
      </c>
      <c r="C20" s="4893" t="s">
        <v>2383</v>
      </c>
      <c r="D20" s="4893"/>
      <c r="E20" s="4893"/>
      <c r="F20" s="4893"/>
      <c r="G20" s="4893"/>
      <c r="H20" s="4893"/>
      <c r="I20" s="4893"/>
      <c r="J20" s="4893"/>
    </row>
    <row r="21" spans="1:10">
      <c r="A21" s="4894" t="s">
        <v>2375</v>
      </c>
      <c r="B21" s="4901" t="s">
        <v>2665</v>
      </c>
      <c r="C21" s="4893" t="s">
        <v>2384</v>
      </c>
      <c r="D21" s="4893"/>
      <c r="E21" s="4893"/>
      <c r="F21" s="4893"/>
      <c r="G21" s="4893"/>
      <c r="H21" s="4893"/>
      <c r="I21" s="4893"/>
      <c r="J21" s="4893"/>
    </row>
    <row r="22" spans="1:10">
      <c r="A22" s="4894"/>
      <c r="B22" s="4901" t="s">
        <v>2666</v>
      </c>
      <c r="C22" s="4900" t="s">
        <v>2609</v>
      </c>
      <c r="D22" s="4893"/>
      <c r="E22" s="4893"/>
      <c r="F22" s="4893"/>
      <c r="G22" s="4893"/>
      <c r="H22" s="4893"/>
      <c r="I22" s="4893"/>
      <c r="J22" s="4893"/>
    </row>
    <row r="23" spans="1:10">
      <c r="A23" s="4894" t="s">
        <v>2375</v>
      </c>
      <c r="B23" s="4899" t="s">
        <v>2662</v>
      </c>
      <c r="C23" s="4893"/>
      <c r="D23" s="4893"/>
      <c r="E23" s="4893"/>
      <c r="F23" s="4893" t="s">
        <v>2377</v>
      </c>
      <c r="G23" s="4893"/>
      <c r="H23" s="4893"/>
      <c r="I23" s="4893"/>
      <c r="J23" s="4893"/>
    </row>
    <row r="24" spans="1:10">
      <c r="A24" s="4893" t="s">
        <v>2378</v>
      </c>
      <c r="B24" s="4899" t="s">
        <v>2663</v>
      </c>
      <c r="C24" s="4893"/>
      <c r="D24" s="4893"/>
      <c r="E24" s="4893"/>
      <c r="F24" s="4893" t="s">
        <v>2379</v>
      </c>
      <c r="G24" s="4893"/>
      <c r="H24" s="4893"/>
      <c r="I24" s="4893"/>
      <c r="J24" s="4893"/>
    </row>
    <row r="25" spans="1:10">
      <c r="A25" s="4902"/>
      <c r="B25" s="4902"/>
      <c r="C25" s="4902"/>
      <c r="D25" s="4902"/>
      <c r="E25" s="4902"/>
      <c r="F25" s="4902"/>
      <c r="G25" s="4902"/>
      <c r="H25" s="4902"/>
      <c r="I25" s="4902"/>
      <c r="J25" s="4902"/>
    </row>
    <row r="26" spans="1:10">
      <c r="A26" s="5201" t="s">
        <v>2385</v>
      </c>
      <c r="B26" s="4902"/>
      <c r="C26" s="4902"/>
      <c r="D26" s="4902"/>
      <c r="E26" s="4902"/>
      <c r="F26" s="4902"/>
      <c r="G26" s="4902"/>
      <c r="H26" s="4902"/>
      <c r="I26" s="4902"/>
      <c r="J26" s="4902"/>
    </row>
    <row r="27" spans="1:10">
      <c r="A27" s="4903" t="s">
        <v>1985</v>
      </c>
      <c r="B27" s="4904">
        <v>42583</v>
      </c>
      <c r="C27" s="4905" t="s">
        <v>2610</v>
      </c>
      <c r="D27" s="4902"/>
      <c r="E27" s="4902"/>
      <c r="F27" s="4902"/>
      <c r="G27" s="4902"/>
      <c r="H27" s="4902"/>
      <c r="I27" s="4902"/>
      <c r="J27" s="4902"/>
    </row>
    <row r="28" spans="1:10">
      <c r="A28" s="4902"/>
      <c r="B28" s="4902"/>
      <c r="C28" s="4902"/>
      <c r="D28" s="4902"/>
      <c r="E28" s="4902"/>
      <c r="F28" s="4902"/>
      <c r="G28" s="4902"/>
      <c r="H28" s="4902"/>
      <c r="I28" s="4902"/>
      <c r="J28" s="4902"/>
    </row>
    <row r="29" spans="1:10">
      <c r="A29" s="4902"/>
      <c r="B29" s="4902"/>
      <c r="C29" s="4902"/>
      <c r="D29" s="4902"/>
      <c r="E29" s="4902"/>
      <c r="F29" s="4902"/>
      <c r="G29" s="4902"/>
      <c r="H29" s="4902"/>
      <c r="I29" s="4902"/>
      <c r="J29" s="4902"/>
    </row>
    <row r="30" spans="1:10">
      <c r="A30" s="4902"/>
      <c r="B30" s="4902"/>
      <c r="C30" s="4902"/>
      <c r="D30" s="4902"/>
      <c r="E30" s="4902"/>
      <c r="F30" s="4902"/>
      <c r="G30" s="4902"/>
      <c r="H30" s="4902"/>
      <c r="I30" s="4902"/>
      <c r="J30" s="4902"/>
    </row>
  </sheetData>
  <sheetProtection algorithmName="SHA-512" hashValue="MCsjuW1+nwMfybQG43QrTQUrjhzuV06I+BwDABf+anfSS6reXHNqoVS2s3e6cuYly7hv6RPru5hDMd2zzqXALA==" saltValue="pJnff8/hPC2yXex1/ilCiA==" spinCount="100000" sheet="1" objects="1" scenarios="1"/>
  <hyperlinks>
    <hyperlink ref="L1" location="Contents!A1" display="Return to Contents"/>
  </hyperlinks>
  <pageMargins left="0.7" right="0.7" top="0.75" bottom="0.75" header="0.3" footer="0.3"/>
  <pageSetup scale="83" orientation="landscape" r:id="rId1"/>
  <headerFooter>
    <oddFooter>&amp;L&amp;D  &amp;T&amp;CHeadings</oddFooter>
  </headerFooter>
  <colBreaks count="1" manualBreakCount="1">
    <brk id="11" max="104857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6" tint="-0.249977111117893"/>
  </sheetPr>
  <dimension ref="A1:I59"/>
  <sheetViews>
    <sheetView workbookViewId="0">
      <selection activeCell="I19" sqref="I19"/>
    </sheetView>
  </sheetViews>
  <sheetFormatPr defaultColWidth="10.7109375" defaultRowHeight="14.25"/>
  <cols>
    <col min="1" max="1" width="25.7109375" style="4848" customWidth="1"/>
    <col min="2" max="2" width="9.140625" style="4848" customWidth="1"/>
    <col min="3" max="3" width="17" style="4848" customWidth="1"/>
    <col min="4" max="4" width="16.5703125" style="4848" customWidth="1"/>
    <col min="5" max="5" width="19.28515625" style="4848" customWidth="1"/>
    <col min="6" max="6" width="9.140625" style="4848" customWidth="1"/>
    <col min="7" max="7" width="4.85546875" style="4848" customWidth="1"/>
    <col min="8" max="8" width="2.7109375" style="4848" customWidth="1"/>
    <col min="9" max="9" width="20.85546875" style="4848" customWidth="1"/>
    <col min="10" max="16384" width="10.7109375" style="4848"/>
  </cols>
  <sheetData>
    <row r="1" spans="1:9">
      <c r="A1" s="4846" t="s">
        <v>1019</v>
      </c>
      <c r="B1" s="4847">
        <f>OPEN!$B$4</f>
        <v>270</v>
      </c>
      <c r="C1" s="4847"/>
      <c r="D1" s="4847"/>
      <c r="E1" s="4846" t="s">
        <v>1020</v>
      </c>
      <c r="H1" s="4288"/>
      <c r="I1" s="4288" t="s">
        <v>866</v>
      </c>
    </row>
    <row r="2" spans="1:9">
      <c r="A2" s="4847"/>
      <c r="B2" s="4847"/>
      <c r="C2" s="4847"/>
      <c r="D2" s="4847"/>
      <c r="E2" s="4846" t="s">
        <v>2289</v>
      </c>
    </row>
    <row r="3" spans="1:9">
      <c r="A3" s="4847"/>
      <c r="B3" s="4847"/>
      <c r="C3" s="4847"/>
      <c r="D3" s="4847"/>
      <c r="E3" s="4846" t="str">
        <f>OPEN!$P$4</f>
        <v>2016-2017</v>
      </c>
    </row>
    <row r="4" spans="1:9">
      <c r="A4" s="4849" t="s">
        <v>2290</v>
      </c>
      <c r="B4" s="4849"/>
      <c r="C4" s="4849"/>
      <c r="D4" s="4849"/>
      <c r="E4" s="4849"/>
    </row>
    <row r="5" spans="1:9" ht="6.75" customHeight="1">
      <c r="A5" s="4847"/>
      <c r="B5" s="4847"/>
      <c r="C5" s="4847"/>
      <c r="D5" s="4847"/>
      <c r="E5" s="4847"/>
    </row>
    <row r="6" spans="1:9">
      <c r="A6" s="4847" t="s">
        <v>2291</v>
      </c>
      <c r="B6" s="4847"/>
      <c r="C6" s="4847"/>
      <c r="D6" s="4847"/>
      <c r="E6" s="4847"/>
    </row>
    <row r="7" spans="1:9">
      <c r="A7" s="4847" t="s">
        <v>2292</v>
      </c>
      <c r="B7" s="4847"/>
      <c r="C7" s="4847"/>
      <c r="D7" s="4847"/>
      <c r="E7" s="4847"/>
    </row>
    <row r="8" spans="1:9" ht="12" customHeight="1">
      <c r="A8" s="4847"/>
      <c r="B8" s="4847"/>
      <c r="C8" s="4847"/>
      <c r="D8" s="4847"/>
      <c r="E8" s="4847"/>
    </row>
    <row r="9" spans="1:9">
      <c r="A9" s="4847" t="s">
        <v>2293</v>
      </c>
      <c r="B9" s="4847"/>
      <c r="C9" s="4847"/>
      <c r="D9" s="4847"/>
      <c r="E9" s="4847"/>
    </row>
    <row r="10" spans="1:9">
      <c r="A10" s="4847"/>
      <c r="B10" s="4847"/>
      <c r="C10" s="4847"/>
      <c r="D10" s="4847"/>
      <c r="E10" s="4847"/>
    </row>
    <row r="11" spans="1:9" ht="12.75" customHeight="1">
      <c r="A11" s="4849"/>
      <c r="B11" s="4849"/>
      <c r="C11" s="4849"/>
      <c r="D11" s="4849"/>
      <c r="E11" s="4849"/>
    </row>
    <row r="12" spans="1:9">
      <c r="A12" s="4849" t="s">
        <v>2294</v>
      </c>
      <c r="B12" s="4849"/>
      <c r="C12" s="4849"/>
      <c r="D12" s="4849"/>
      <c r="E12" s="4849"/>
    </row>
    <row r="13" spans="1:9" ht="6.75" customHeight="1">
      <c r="A13" s="4847"/>
      <c r="B13" s="4847"/>
      <c r="C13" s="4847"/>
      <c r="D13" s="4847"/>
      <c r="E13" s="4847"/>
    </row>
    <row r="14" spans="1:9">
      <c r="A14" s="4850" t="str">
        <f>"1.  Publish the Notice of Hearing on Amending the "&amp;OPEN!$N$42&amp;" Budget, see form below.  Include only those funds being"</f>
        <v>1.  Publish the Notice of Hearing on Amending the 2016-17 Budget, see form below.  Include only those funds being</v>
      </c>
      <c r="B14" s="4847"/>
      <c r="C14" s="4847"/>
      <c r="D14" s="4847"/>
      <c r="E14" s="4847"/>
    </row>
    <row r="15" spans="1:9">
      <c r="A15" s="4847" t="s">
        <v>2295</v>
      </c>
      <c r="B15" s="4847"/>
      <c r="C15" s="4847"/>
      <c r="D15" s="4847"/>
      <c r="E15" s="4847"/>
    </row>
    <row r="16" spans="1:9">
      <c r="A16" s="4847" t="s">
        <v>2296</v>
      </c>
      <c r="B16" s="4847"/>
      <c r="C16" s="4847"/>
      <c r="D16" s="4847"/>
      <c r="E16" s="4847"/>
    </row>
    <row r="17" spans="1:6">
      <c r="A17" s="4847" t="s">
        <v>2297</v>
      </c>
      <c r="B17" s="4847"/>
      <c r="C17" s="4847"/>
      <c r="D17" s="4847"/>
      <c r="E17" s="4847"/>
    </row>
    <row r="18" spans="1:6">
      <c r="A18" s="4847" t="s">
        <v>2298</v>
      </c>
      <c r="B18" s="4847"/>
      <c r="C18" s="4847"/>
      <c r="D18" s="4847"/>
      <c r="E18" s="4847"/>
    </row>
    <row r="19" spans="1:6">
      <c r="A19" s="4847" t="s">
        <v>2299</v>
      </c>
      <c r="B19" s="4847"/>
      <c r="C19" s="4847"/>
      <c r="D19" s="4847"/>
      <c r="E19" s="4847"/>
    </row>
    <row r="20" spans="1:6">
      <c r="A20" s="4847" t="s">
        <v>2300</v>
      </c>
      <c r="B20" s="4847"/>
      <c r="C20" s="4847"/>
      <c r="D20" s="4847"/>
      <c r="E20" s="4847"/>
    </row>
    <row r="21" spans="1:6" ht="12.75" customHeight="1">
      <c r="A21" s="4847" t="s">
        <v>2301</v>
      </c>
      <c r="B21" s="4847"/>
      <c r="C21" s="4847"/>
      <c r="D21" s="4847"/>
      <c r="E21" s="4847"/>
    </row>
    <row r="22" spans="1:6" ht="12.75" customHeight="1">
      <c r="A22" s="4847" t="s">
        <v>2302</v>
      </c>
      <c r="B22" s="4847"/>
      <c r="C22" s="4847"/>
      <c r="D22" s="4847"/>
      <c r="E22" s="4847"/>
    </row>
    <row r="23" spans="1:6" ht="12.75" customHeight="1">
      <c r="A23" s="4847" t="s">
        <v>2303</v>
      </c>
      <c r="B23" s="4847"/>
      <c r="C23" s="4847"/>
      <c r="D23" s="4847"/>
      <c r="E23" s="4847"/>
    </row>
    <row r="24" spans="1:6" ht="20.100000000000001" customHeight="1">
      <c r="A24" s="4847" t="s">
        <v>2304</v>
      </c>
      <c r="B24" s="4847"/>
      <c r="C24" s="4847"/>
      <c r="D24" s="4847"/>
      <c r="E24" s="4847"/>
    </row>
    <row r="25" spans="1:6">
      <c r="A25" s="4847" t="s">
        <v>2305</v>
      </c>
      <c r="B25" s="4847"/>
      <c r="C25" s="4847"/>
      <c r="D25" s="4847"/>
      <c r="E25" s="4847"/>
    </row>
    <row r="26" spans="1:6">
      <c r="A26" s="4847" t="s">
        <v>2306</v>
      </c>
      <c r="B26" s="4847"/>
      <c r="C26" s="4847"/>
      <c r="D26" s="4847"/>
      <c r="E26" s="4847"/>
    </row>
    <row r="27" spans="1:6" ht="12.75" customHeight="1">
      <c r="A27" s="4847"/>
      <c r="B27" s="4847"/>
      <c r="C27" s="4847"/>
      <c r="D27" s="4847"/>
      <c r="E27" s="4847"/>
    </row>
    <row r="28" spans="1:6">
      <c r="A28" s="5303" t="s">
        <v>2307</v>
      </c>
      <c r="B28" s="5303"/>
      <c r="C28" s="5303"/>
      <c r="D28" s="5303"/>
      <c r="E28" s="5303"/>
      <c r="F28" s="5303"/>
    </row>
    <row r="29" spans="1:6">
      <c r="A29" s="5304" t="str">
        <f>"AMENDING THE "&amp;OPEN!$N$42&amp;" BUDGET"</f>
        <v>AMENDING THE 2016-17 BUDGET</v>
      </c>
      <c r="B29" s="5304"/>
      <c r="C29" s="5304"/>
      <c r="D29" s="5304"/>
      <c r="E29" s="5304"/>
      <c r="F29" s="5304"/>
    </row>
    <row r="30" spans="1:6" ht="14.25" customHeight="1">
      <c r="A30" s="4851"/>
      <c r="B30" s="4851"/>
      <c r="C30" s="4851"/>
      <c r="D30" s="4851"/>
      <c r="E30" s="4851"/>
    </row>
    <row r="31" spans="1:6" ht="14.25" customHeight="1">
      <c r="A31" s="5305" t="str">
        <f>"The governing body of " &amp; Headings!$B$18 &amp; " will meet on the " &amp; Headings!$B$19 &amp; " day of"</f>
        <v>The governing body of Unified School District 270 will meet on the 8th day of</v>
      </c>
      <c r="B31" s="5305"/>
      <c r="C31" s="5305"/>
      <c r="D31" s="5305"/>
      <c r="E31" s="5305"/>
      <c r="F31" s="5305"/>
    </row>
    <row r="32" spans="1:6" ht="14.25" customHeight="1">
      <c r="A32" s="5305" t="str">
        <f>Headings!$B$20 &amp; ", " &amp;Headings!$B$22 &amp; " at " &amp; Headings!$B$21 &amp; ", at " &amp; Headings!$B$23 &amp; " for the purpose of"</f>
        <v>August, 2016 at 6:45 PM, at 203 SE Cardinal Ave. for the purpose of</v>
      </c>
      <c r="B32" s="5305"/>
      <c r="C32" s="5305"/>
      <c r="D32" s="5305"/>
      <c r="E32" s="5305"/>
      <c r="F32" s="5305"/>
    </row>
    <row r="33" spans="1:6" ht="14.25" customHeight="1">
      <c r="A33" s="5305" t="s">
        <v>2308</v>
      </c>
      <c r="B33" s="5305"/>
      <c r="C33" s="5305"/>
      <c r="D33" s="5305"/>
      <c r="E33" s="5305"/>
      <c r="F33" s="5305"/>
    </row>
    <row r="34" spans="1:6" ht="14.25" customHeight="1">
      <c r="A34" s="4852"/>
      <c r="B34" s="4852"/>
      <c r="C34" s="4852"/>
      <c r="D34" s="4852"/>
      <c r="E34" s="4852"/>
      <c r="F34" s="4852"/>
    </row>
    <row r="35" spans="1:6" ht="30.75" customHeight="1">
      <c r="A35" s="5306" t="str">
        <f>"Detailed budget information is available at " &amp; Headings!B24 &amp; " and will be available at this hearing."</f>
        <v>Detailed budget information is available at district office and will be available at this hearing.</v>
      </c>
      <c r="B35" s="5306"/>
      <c r="C35" s="5306"/>
      <c r="D35" s="5306"/>
      <c r="E35" s="5306"/>
      <c r="F35" s="5306"/>
    </row>
    <row r="36" spans="1:6" ht="6" customHeight="1">
      <c r="A36" s="4853"/>
      <c r="B36" s="4851"/>
      <c r="C36" s="4851"/>
      <c r="D36" s="4851"/>
      <c r="E36" s="4851"/>
    </row>
    <row r="37" spans="1:6">
      <c r="A37" s="5303" t="s">
        <v>2309</v>
      </c>
      <c r="B37" s="5303"/>
      <c r="C37" s="5303"/>
      <c r="D37" s="5303"/>
      <c r="E37" s="5303"/>
      <c r="F37" s="5303"/>
    </row>
    <row r="38" spans="1:6" ht="6" customHeight="1">
      <c r="A38" s="4847"/>
      <c r="B38" s="4847"/>
      <c r="C38" s="4847"/>
      <c r="D38" s="4847"/>
      <c r="E38" s="4847"/>
    </row>
    <row r="39" spans="1:6">
      <c r="A39" s="4847"/>
      <c r="B39" s="4854" t="s">
        <v>1047</v>
      </c>
      <c r="C39" s="4855"/>
      <c r="D39" s="4856"/>
      <c r="E39" s="4856" t="s">
        <v>2310</v>
      </c>
    </row>
    <row r="40" spans="1:6">
      <c r="A40" s="4847"/>
      <c r="B40" s="4857" t="str">
        <f>OPEN!$N$42</f>
        <v>2016-17</v>
      </c>
      <c r="C40" s="4858"/>
      <c r="D40" s="4859"/>
      <c r="E40" s="4859" t="str">
        <f>OPEN!$N$42&amp;"  Budget"</f>
        <v>2016-17  Budget</v>
      </c>
    </row>
    <row r="41" spans="1:6">
      <c r="A41" s="4847"/>
      <c r="B41" s="4860" t="s">
        <v>1139</v>
      </c>
      <c r="C41" s="4860" t="s">
        <v>1018</v>
      </c>
      <c r="D41" s="4860" t="s">
        <v>1048</v>
      </c>
      <c r="E41" s="4860" t="s">
        <v>1048</v>
      </c>
    </row>
    <row r="42" spans="1:6">
      <c r="A42" s="4847"/>
      <c r="B42" s="4861" t="s">
        <v>1140</v>
      </c>
      <c r="C42" s="4861" t="s">
        <v>2311</v>
      </c>
      <c r="D42" s="4861" t="s">
        <v>2312</v>
      </c>
      <c r="E42" s="4861" t="s">
        <v>2312</v>
      </c>
    </row>
    <row r="43" spans="1:6">
      <c r="A43" s="4851" t="s">
        <v>1152</v>
      </c>
      <c r="B43" s="4862" t="s">
        <v>1178</v>
      </c>
      <c r="C43" s="4862" t="s">
        <v>1049</v>
      </c>
      <c r="D43" s="4862" t="s">
        <v>2313</v>
      </c>
      <c r="E43" s="4862" t="s">
        <v>2313</v>
      </c>
    </row>
    <row r="44" spans="1:6">
      <c r="A44" s="4863"/>
      <c r="B44" s="4864"/>
      <c r="C44" s="4865"/>
      <c r="D44" s="4865"/>
      <c r="E44" s="4865"/>
    </row>
    <row r="45" spans="1:6">
      <c r="A45" s="4863"/>
      <c r="B45" s="4864"/>
      <c r="C45" s="4865"/>
      <c r="D45" s="4865"/>
      <c r="E45" s="4865"/>
    </row>
    <row r="46" spans="1:6">
      <c r="A46" s="4863"/>
      <c r="B46" s="4864"/>
      <c r="C46" s="4865"/>
      <c r="D46" s="4865"/>
      <c r="E46" s="4865"/>
    </row>
    <row r="47" spans="1:6">
      <c r="A47" s="4863"/>
      <c r="B47" s="4864"/>
      <c r="C47" s="4865"/>
      <c r="D47" s="4865"/>
      <c r="E47" s="4865"/>
    </row>
    <row r="48" spans="1:6">
      <c r="A48" s="4863"/>
      <c r="B48" s="4864"/>
      <c r="C48" s="4865"/>
      <c r="D48" s="4865"/>
      <c r="E48" s="4865"/>
    </row>
    <row r="49" spans="1:6">
      <c r="A49" s="4863"/>
      <c r="B49" s="4864"/>
      <c r="C49" s="4865"/>
      <c r="D49" s="4865"/>
      <c r="E49" s="4865"/>
    </row>
    <row r="50" spans="1:6">
      <c r="A50" s="4863"/>
      <c r="B50" s="4864"/>
      <c r="C50" s="4865"/>
      <c r="D50" s="4865"/>
      <c r="E50" s="4865"/>
    </row>
    <row r="51" spans="1:6">
      <c r="A51" s="4863"/>
      <c r="B51" s="4864"/>
      <c r="C51" s="4865"/>
      <c r="D51" s="4865"/>
      <c r="E51" s="4865"/>
    </row>
    <row r="52" spans="1:6">
      <c r="A52" s="4863"/>
      <c r="B52" s="4864"/>
      <c r="C52" s="4865"/>
      <c r="D52" s="4865"/>
      <c r="E52" s="4865"/>
    </row>
    <row r="53" spans="1:6">
      <c r="A53" s="4863"/>
      <c r="B53" s="4864"/>
      <c r="C53" s="4865"/>
      <c r="D53" s="4865"/>
      <c r="E53" s="4865"/>
    </row>
    <row r="54" spans="1:6" ht="6" customHeight="1">
      <c r="A54" s="4850"/>
      <c r="B54" s="4847"/>
      <c r="C54" s="4847"/>
      <c r="D54" s="4847"/>
      <c r="E54" s="4847"/>
    </row>
    <row r="55" spans="1:6">
      <c r="A55" s="4866"/>
      <c r="B55" s="4847"/>
      <c r="C55" s="4847"/>
      <c r="D55" s="4847"/>
      <c r="E55" s="4867"/>
      <c r="F55" s="4868"/>
    </row>
    <row r="56" spans="1:6">
      <c r="A56" s="4851"/>
      <c r="B56" s="4847"/>
      <c r="C56" s="4847"/>
      <c r="D56" s="4847"/>
      <c r="E56" s="4847"/>
      <c r="F56" s="4847" t="s">
        <v>2314</v>
      </c>
    </row>
    <row r="57" spans="1:6" ht="8.25" customHeight="1">
      <c r="A57" s="4847"/>
      <c r="B57" s="4847"/>
      <c r="C57" s="4847"/>
      <c r="D57" s="4847"/>
      <c r="E57" s="4847"/>
    </row>
    <row r="58" spans="1:6">
      <c r="A58" s="4869" t="s">
        <v>2315</v>
      </c>
      <c r="B58" s="4847"/>
      <c r="C58" s="4847"/>
      <c r="D58" s="4847"/>
      <c r="E58" s="4847"/>
    </row>
    <row r="59" spans="1:6">
      <c r="A59" s="4869"/>
      <c r="B59" s="4847"/>
      <c r="C59" s="4847"/>
      <c r="D59" s="4847"/>
      <c r="E59" s="4847"/>
    </row>
  </sheetData>
  <sheetProtection sheet="1" objects="1" scenarios="1"/>
  <mergeCells count="7">
    <mergeCell ref="A37:F37"/>
    <mergeCell ref="A28:F28"/>
    <mergeCell ref="A29:F29"/>
    <mergeCell ref="A31:F31"/>
    <mergeCell ref="A32:F32"/>
    <mergeCell ref="A33:F33"/>
    <mergeCell ref="A35:F35"/>
  </mergeCells>
  <hyperlinks>
    <hyperlink ref="I1" location="Contents!A1" display="Return to Contents page"/>
  </hyperlinks>
  <printOptions horizontalCentered="1"/>
  <pageMargins left="0.25" right="0.25" top="0.94" bottom="0.19" header="0.5" footer="0.5"/>
  <pageSetup scale="90" orientation="portrait" blackAndWhite="1" r:id="rId1"/>
  <headerFooter alignWithMargins="0">
    <oddFooter xml:space="preserve">&amp;L&amp;D  &amp;T &amp;R </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6" tint="-0.249977111117893"/>
  </sheetPr>
  <dimension ref="B1:AW46"/>
  <sheetViews>
    <sheetView topLeftCell="B1" workbookViewId="0">
      <pane xSplit="1" topLeftCell="C1" activePane="topRight" state="frozen"/>
      <selection activeCell="G41" sqref="G41"/>
      <selection pane="topRight" activeCell="U1" sqref="U1"/>
    </sheetView>
  </sheetViews>
  <sheetFormatPr defaultRowHeight="12"/>
  <cols>
    <col min="1" max="1" width="2.7109375" style="4930" customWidth="1"/>
    <col min="2" max="2" width="6.7109375" style="4930" customWidth="1"/>
    <col min="3" max="3" width="12" style="4930" customWidth="1"/>
    <col min="4" max="4" width="8.85546875" style="4930" customWidth="1"/>
    <col min="5" max="5" width="9.140625" style="4930"/>
    <col min="6" max="6" width="4.140625" style="4932" customWidth="1"/>
    <col min="7" max="7" width="9.140625" style="4930"/>
    <col min="8" max="8" width="4.140625" style="4930" customWidth="1"/>
    <col min="9" max="9" width="9.140625" style="4930"/>
    <col min="10" max="10" width="4.140625" style="4930" customWidth="1"/>
    <col min="11" max="11" width="9.140625" style="4930"/>
    <col min="12" max="12" width="4.140625" style="4930" customWidth="1"/>
    <col min="13" max="13" width="9.140625" style="4930"/>
    <col min="14" max="14" width="4.140625" style="4930" customWidth="1"/>
    <col min="15" max="15" width="9.140625" style="4930"/>
    <col min="16" max="16" width="4.140625" style="4930" customWidth="1"/>
    <col min="17" max="17" width="9.140625" style="4930"/>
    <col min="18" max="18" width="4.140625" style="4930" customWidth="1"/>
    <col min="19" max="19" width="9.140625" style="4930"/>
    <col min="20" max="20" width="4.140625" style="4930" customWidth="1"/>
    <col min="21" max="21" width="10.28515625" style="4930" customWidth="1"/>
    <col min="22" max="22" width="4.140625" style="4930" customWidth="1"/>
    <col min="23" max="23" width="9.140625" style="4930"/>
    <col min="24" max="24" width="4.140625" style="4930" customWidth="1"/>
    <col min="25" max="25" width="9.140625" style="4930"/>
    <col min="26" max="26" width="4.140625" style="4930" customWidth="1"/>
    <col min="27" max="27" width="9.140625" style="4930"/>
    <col min="28" max="28" width="4.140625" style="4930" customWidth="1"/>
    <col min="29" max="29" width="9.140625" style="4930"/>
    <col min="30" max="30" width="4.140625" style="4930" customWidth="1"/>
    <col min="31" max="31" width="9.140625" style="4930"/>
    <col min="32" max="32" width="4.140625" style="4930" customWidth="1"/>
    <col min="33" max="33" width="9.140625" style="4930"/>
    <col min="34" max="34" width="4.140625" style="4930" customWidth="1"/>
    <col min="35" max="35" width="9.140625" style="4930"/>
    <col min="36" max="36" width="4.140625" style="4930" customWidth="1"/>
    <col min="37" max="37" width="9.140625" style="4930"/>
    <col min="38" max="38" width="4.140625" style="4930" customWidth="1"/>
    <col min="39" max="39" width="9.140625" style="4930"/>
    <col min="40" max="40" width="4.140625" style="4930" customWidth="1"/>
    <col min="41" max="41" width="9.140625" style="4930"/>
    <col min="42" max="42" width="4.140625" style="4930" customWidth="1"/>
    <col min="43" max="43" width="9.140625" style="4930"/>
    <col min="44" max="44" width="4.140625" style="4930" customWidth="1"/>
    <col min="45" max="45" width="15" style="4930" customWidth="1"/>
    <col min="46" max="46" width="4.85546875" style="4930" customWidth="1"/>
    <col min="47" max="16384" width="9.140625" style="4930"/>
  </cols>
  <sheetData>
    <row r="1" spans="2:49" ht="12.75">
      <c r="C1" s="4931" t="s">
        <v>2428</v>
      </c>
      <c r="U1" s="3011" t="s">
        <v>866</v>
      </c>
      <c r="V1" s="4933"/>
      <c r="W1" s="4934"/>
    </row>
    <row r="2" spans="2:49">
      <c r="C2" s="4931"/>
      <c r="V2" s="4933"/>
      <c r="W2" s="4934"/>
    </row>
    <row r="3" spans="2:49" ht="18.75">
      <c r="C3" s="4935" t="s">
        <v>2452</v>
      </c>
      <c r="V3" s="4933"/>
      <c r="W3" s="4934"/>
    </row>
    <row r="4" spans="2:49">
      <c r="C4" s="4936" t="s">
        <v>2429</v>
      </c>
      <c r="V4" s="4933"/>
      <c r="W4" s="4934"/>
    </row>
    <row r="5" spans="2:49">
      <c r="B5" s="4930" t="s">
        <v>1725</v>
      </c>
      <c r="C5" s="4931"/>
      <c r="V5" s="4933"/>
      <c r="W5" s="4934"/>
    </row>
    <row r="6" spans="2:49" ht="15.75">
      <c r="B6" s="4937" t="str">
        <f>"Left Column:  (" &amp; OPEN!$N$4 &amp; ")"</f>
        <v>Left Column:  (2014-2015)</v>
      </c>
      <c r="AS6" s="4938" t="s">
        <v>2430</v>
      </c>
      <c r="AU6" s="4938" t="s">
        <v>2431</v>
      </c>
    </row>
    <row r="7" spans="2:49">
      <c r="B7" s="4939"/>
      <c r="C7" s="4939" t="s">
        <v>122</v>
      </c>
      <c r="D7" s="4940" t="s">
        <v>2387</v>
      </c>
      <c r="E7" s="4939" t="s">
        <v>123</v>
      </c>
      <c r="F7" s="4941" t="s">
        <v>2387</v>
      </c>
      <c r="G7" s="4939" t="s">
        <v>124</v>
      </c>
      <c r="H7" s="4941" t="s">
        <v>2387</v>
      </c>
      <c r="I7" s="4939" t="s">
        <v>125</v>
      </c>
      <c r="J7" s="4941" t="s">
        <v>2387</v>
      </c>
      <c r="K7" s="4939" t="s">
        <v>126</v>
      </c>
      <c r="L7" s="4941" t="s">
        <v>2387</v>
      </c>
      <c r="M7" s="4939" t="s">
        <v>127</v>
      </c>
      <c r="N7" s="4941" t="s">
        <v>2387</v>
      </c>
      <c r="O7" s="4939" t="s">
        <v>128</v>
      </c>
      <c r="P7" s="4941" t="s">
        <v>2387</v>
      </c>
      <c r="Q7" s="4939" t="s">
        <v>129</v>
      </c>
      <c r="R7" s="4941" t="s">
        <v>2387</v>
      </c>
      <c r="S7" s="4939" t="s">
        <v>539</v>
      </c>
      <c r="T7" s="4941" t="s">
        <v>2387</v>
      </c>
      <c r="U7" s="4942" t="s">
        <v>1858</v>
      </c>
      <c r="V7" s="4941" t="s">
        <v>2387</v>
      </c>
      <c r="W7" s="4939" t="s">
        <v>130</v>
      </c>
      <c r="X7" s="4941" t="s">
        <v>2387</v>
      </c>
      <c r="Y7" s="4939" t="s">
        <v>131</v>
      </c>
      <c r="Z7" s="4941" t="s">
        <v>2387</v>
      </c>
      <c r="AA7" s="4939" t="s">
        <v>132</v>
      </c>
      <c r="AB7" s="4941" t="s">
        <v>2387</v>
      </c>
      <c r="AC7" s="4939" t="s">
        <v>133</v>
      </c>
      <c r="AD7" s="4941" t="s">
        <v>2387</v>
      </c>
      <c r="AE7" s="4939" t="s">
        <v>134</v>
      </c>
      <c r="AF7" s="4941" t="s">
        <v>2387</v>
      </c>
      <c r="AG7" s="4939" t="s">
        <v>135</v>
      </c>
      <c r="AH7" s="4941" t="s">
        <v>2387</v>
      </c>
      <c r="AI7" s="4939" t="s">
        <v>136</v>
      </c>
      <c r="AJ7" s="4941" t="s">
        <v>2387</v>
      </c>
      <c r="AK7" s="4939" t="s">
        <v>137</v>
      </c>
      <c r="AL7" s="4941" t="s">
        <v>2387</v>
      </c>
      <c r="AM7" s="4939" t="s">
        <v>138</v>
      </c>
      <c r="AN7" s="4941" t="s">
        <v>2387</v>
      </c>
      <c r="AO7" s="4939" t="s">
        <v>139</v>
      </c>
      <c r="AP7" s="4941" t="s">
        <v>2387</v>
      </c>
      <c r="AQ7" s="4939" t="s">
        <v>140</v>
      </c>
      <c r="AR7" s="4941" t="s">
        <v>2387</v>
      </c>
      <c r="AS7" s="4939" t="s">
        <v>2432</v>
      </c>
      <c r="AU7" s="4938" t="s">
        <v>2432</v>
      </c>
    </row>
    <row r="8" spans="2:49">
      <c r="B8" s="4939">
        <v>1000</v>
      </c>
      <c r="C8" s="4943">
        <f>SUM('C06'!$C$76:$C$77)</f>
        <v>1105840</v>
      </c>
      <c r="D8" s="4944"/>
      <c r="E8" s="4943">
        <f>SUM('C07'!$C$35:$C$36)</f>
        <v>49202</v>
      </c>
      <c r="F8" s="4945"/>
      <c r="G8" s="4943">
        <f>SUM('C08'!$C$49:$C$50)</f>
        <v>26349</v>
      </c>
      <c r="H8" s="4944"/>
      <c r="I8" s="4943">
        <f>SUM('C010'!$C$69:$C$70)</f>
        <v>0</v>
      </c>
      <c r="J8" s="4944"/>
      <c r="K8" s="4946">
        <f>SUM('C011'!$C$38:$C$39)</f>
        <v>0</v>
      </c>
      <c r="L8" s="4944"/>
      <c r="M8" s="4946">
        <f>SUM('C012'!$C$33:$C$34)</f>
        <v>0</v>
      </c>
      <c r="N8" s="4944"/>
      <c r="O8" s="4946">
        <f>SUM('C013'!$C$39:$C$40)</f>
        <v>121015</v>
      </c>
      <c r="P8" s="4944"/>
      <c r="Q8" s="4947">
        <f>SUM('C014'!$C$34:$C$35)</f>
        <v>0</v>
      </c>
      <c r="R8" s="4944"/>
      <c r="S8" s="4947">
        <f>SUM('C015'!$C$39:$C$40)</f>
        <v>0</v>
      </c>
      <c r="T8" s="4944"/>
      <c r="U8" s="4948"/>
      <c r="V8" s="4949"/>
      <c r="W8" s="4943">
        <f>SUM('C018'!$C$34:$C$35)</f>
        <v>3765</v>
      </c>
      <c r="X8" s="4944"/>
      <c r="Y8" s="4943">
        <f>SUM('C022'!$C$33:$C$34)</f>
        <v>0</v>
      </c>
      <c r="Z8" s="4944"/>
      <c r="AA8" s="4950"/>
      <c r="AB8" s="4950"/>
      <c r="AC8" s="4950"/>
      <c r="AD8" s="4950"/>
      <c r="AE8" s="4950"/>
      <c r="AF8" s="4950"/>
      <c r="AG8" s="4943">
        <f>SUM('C029'!$C$37:$C$38)</f>
        <v>14150</v>
      </c>
      <c r="AH8" s="4951"/>
      <c r="AI8" s="4943">
        <f>SUM('C030'!$C$42:$C$43)</f>
        <v>10689</v>
      </c>
      <c r="AJ8" s="4944"/>
      <c r="AK8" s="4943">
        <f>SUM('C034'!$C$45:$C$46)</f>
        <v>209271</v>
      </c>
      <c r="AL8" s="4944"/>
      <c r="AM8" s="4943">
        <f>SUM('C035'!$C$45:$C$46)</f>
        <v>0</v>
      </c>
      <c r="AN8" s="4944"/>
      <c r="AO8" s="4943">
        <f>SUM('C057'!$C$28:$C$29)</f>
        <v>0</v>
      </c>
      <c r="AP8" s="4944"/>
      <c r="AQ8" s="4943">
        <f>SUM('C078'!$C$34:$C$35)</f>
        <v>0</v>
      </c>
      <c r="AR8" s="4951"/>
      <c r="AS8" s="4952">
        <f t="shared" ref="AS8:AS17" si="0">SUM(AQ8,AO8,AM8,AK8,AI8,AG8,AE8,AC8,AA8,Y8,W8,S8,Q8,O8,M8,K8,I8,G8,E8,C8)</f>
        <v>1540281</v>
      </c>
      <c r="AU8" s="4953">
        <f t="shared" ref="AU8:AU18" si="1">SUM(AR8,AP8,AN8,AL8,AJ8,AH8,AF8,AD8,AB8,Z8,X8,T8,R8,P8,N8,L8,J8,H8,F8,D8)</f>
        <v>0</v>
      </c>
      <c r="AW8" s="4954"/>
    </row>
    <row r="9" spans="2:49">
      <c r="B9" s="4939">
        <v>2100</v>
      </c>
      <c r="C9" s="4943">
        <f>SUM('C06'!$C$100:$C$101)</f>
        <v>63717</v>
      </c>
      <c r="D9" s="4944"/>
      <c r="E9" s="4943">
        <f>SUM('C07'!$C$59:$C$60)</f>
        <v>0</v>
      </c>
      <c r="F9" s="4945"/>
      <c r="G9" s="4943">
        <f>SUM('C08'!$C$83:$C$84)</f>
        <v>12513</v>
      </c>
      <c r="H9" s="4944"/>
      <c r="I9" s="4943">
        <f>SUM('C010'!$C$90:$C$91)</f>
        <v>0</v>
      </c>
      <c r="J9" s="4944"/>
      <c r="K9" s="4946">
        <f>SUM('C011'!$C$61:$C$62)</f>
        <v>0</v>
      </c>
      <c r="L9" s="4944"/>
      <c r="M9" s="4946">
        <f>SUM('C012'!$C$56:$C$57)</f>
        <v>0</v>
      </c>
      <c r="N9" s="4944"/>
      <c r="O9" s="4946">
        <f>SUM('C013'!$C$62:$C$63)</f>
        <v>0</v>
      </c>
      <c r="P9" s="4944"/>
      <c r="Q9" s="4947">
        <f>SUM('C014'!$C$58:$C$59)</f>
        <v>0</v>
      </c>
      <c r="R9" s="4944"/>
      <c r="S9" s="4947">
        <f>SUM('C015'!$C$70:$C$71)</f>
        <v>0</v>
      </c>
      <c r="T9" s="4944"/>
      <c r="U9" s="4948"/>
      <c r="V9" s="4949"/>
      <c r="W9" s="4943">
        <f>SUM('C018'!$C$57:$C$58)</f>
        <v>0</v>
      </c>
      <c r="X9" s="4944"/>
      <c r="Y9" s="4943">
        <f>SUM('C022'!$C$57:$C$58)</f>
        <v>0</v>
      </c>
      <c r="Z9" s="4944"/>
      <c r="AA9" s="4950"/>
      <c r="AB9" s="4950"/>
      <c r="AC9" s="4950"/>
      <c r="AD9" s="4950"/>
      <c r="AE9" s="4943">
        <f>SUM('C028'!$C$36:$C$37)</f>
        <v>0</v>
      </c>
      <c r="AF9" s="4944"/>
      <c r="AG9" s="4943">
        <f>SUM('C029'!$C$61:$C$62)</f>
        <v>0</v>
      </c>
      <c r="AH9" s="4951"/>
      <c r="AI9" s="4943">
        <f>SUM('C030'!$C$77:$C$78)</f>
        <v>0</v>
      </c>
      <c r="AJ9" s="4944"/>
      <c r="AK9" s="4943">
        <f>SUM('C034'!$C$77:$C$78)</f>
        <v>0</v>
      </c>
      <c r="AL9" s="4944"/>
      <c r="AM9" s="4943">
        <f>SUM('C035'!$C$77:$C$78)</f>
        <v>0</v>
      </c>
      <c r="AN9" s="4944"/>
      <c r="AO9" s="4943">
        <f>SUM('C057'!$C$52:$C$53)</f>
        <v>0</v>
      </c>
      <c r="AP9" s="4944"/>
      <c r="AQ9" s="4943">
        <f>SUM('C078'!$C$57:$C$58)</f>
        <v>0</v>
      </c>
      <c r="AR9" s="4951"/>
      <c r="AS9" s="4952">
        <f t="shared" si="0"/>
        <v>76230</v>
      </c>
      <c r="AU9" s="4953">
        <f t="shared" si="1"/>
        <v>0</v>
      </c>
      <c r="AW9" s="4954"/>
    </row>
    <row r="10" spans="2:49">
      <c r="B10" s="4939">
        <v>2200</v>
      </c>
      <c r="C10" s="4943">
        <f>SUM('C06'!$C$114:$C$115)</f>
        <v>60124</v>
      </c>
      <c r="D10" s="4944"/>
      <c r="E10" s="4943">
        <f>SUM('C07'!$C$81:$C$82)</f>
        <v>0</v>
      </c>
      <c r="F10" s="4945"/>
      <c r="G10" s="4943">
        <f>SUM('C08'!$C$97:$C$98)</f>
        <v>0</v>
      </c>
      <c r="H10" s="4944"/>
      <c r="I10" s="4943">
        <f>SUM('C010'!$C$104:$C$105)</f>
        <v>0</v>
      </c>
      <c r="J10" s="4944"/>
      <c r="K10" s="4946">
        <f>SUM('C011'!$C$85:$C$86)</f>
        <v>0</v>
      </c>
      <c r="L10" s="4944"/>
      <c r="M10" s="4946">
        <f>SUM('C012'!$C$79:$C$80)</f>
        <v>0</v>
      </c>
      <c r="N10" s="4944"/>
      <c r="O10" s="4946">
        <f>SUM('C013'!$C$84:$C$85)</f>
        <v>0</v>
      </c>
      <c r="P10" s="4944"/>
      <c r="Q10" s="4947">
        <f>SUM('C014'!$C$83:$C$84)</f>
        <v>0</v>
      </c>
      <c r="R10" s="4944"/>
      <c r="S10" s="4947">
        <f>SUM('C015'!$C$84:$C$85)</f>
        <v>0</v>
      </c>
      <c r="T10" s="4944"/>
      <c r="U10" s="4948"/>
      <c r="V10" s="4949"/>
      <c r="W10" s="4943">
        <f>SUM('C018'!$C$81:$C$82)</f>
        <v>0</v>
      </c>
      <c r="X10" s="4944"/>
      <c r="Y10" s="4943">
        <f>SUM('C022'!$C$79:$C$80)</f>
        <v>0</v>
      </c>
      <c r="Z10" s="4944"/>
      <c r="AA10" s="4950"/>
      <c r="AB10" s="4950"/>
      <c r="AC10" s="4943">
        <f>SUM('C026'!$C$26:$C$27)</f>
        <v>0</v>
      </c>
      <c r="AD10" s="4944"/>
      <c r="AE10" s="4943">
        <f>SUM('C028'!$C$66:$C$67)</f>
        <v>0</v>
      </c>
      <c r="AF10" s="4944"/>
      <c r="AG10" s="4943">
        <f>SUM('C029'!$C$84:$C$85)</f>
        <v>0</v>
      </c>
      <c r="AH10" s="4951"/>
      <c r="AI10" s="4943">
        <f>SUM('C030'!$C$91:$C$92)</f>
        <v>0</v>
      </c>
      <c r="AJ10" s="4944"/>
      <c r="AK10" s="4943">
        <f>SUM('C034'!$C$91:$C$92)</f>
        <v>0</v>
      </c>
      <c r="AL10" s="4944"/>
      <c r="AM10" s="4943">
        <f>SUM('C035'!$C$91:$C$92)</f>
        <v>0</v>
      </c>
      <c r="AN10" s="4944"/>
      <c r="AO10" s="4943">
        <f>SUM('C057'!$C$74:$C$75)</f>
        <v>0</v>
      </c>
      <c r="AP10" s="4944"/>
      <c r="AQ10" s="4943">
        <f>SUM('C078'!$C$81:$C$82)</f>
        <v>0</v>
      </c>
      <c r="AR10" s="4951"/>
      <c r="AS10" s="4952">
        <f t="shared" si="0"/>
        <v>60124</v>
      </c>
      <c r="AU10" s="4953">
        <f t="shared" si="1"/>
        <v>0</v>
      </c>
      <c r="AW10" s="4954"/>
    </row>
    <row r="11" spans="2:49">
      <c r="B11" s="4939">
        <v>2300</v>
      </c>
      <c r="C11" s="4943">
        <f>SUM('C06'!$C$142:$C$143)</f>
        <v>139761</v>
      </c>
      <c r="D11" s="4944"/>
      <c r="E11" s="4943">
        <f>SUM('C07'!$C$100:$C$101)</f>
        <v>0</v>
      </c>
      <c r="F11" s="4945"/>
      <c r="G11" s="4943">
        <f>SUM('C08'!$C$114:$C$115)</f>
        <v>0</v>
      </c>
      <c r="H11" s="4944"/>
      <c r="I11" s="4943">
        <f>SUM('C010'!$C$131:$C$132)</f>
        <v>0</v>
      </c>
      <c r="J11" s="4944"/>
      <c r="K11" s="4950"/>
      <c r="L11" s="4955"/>
      <c r="M11" s="4950"/>
      <c r="N11" s="4955"/>
      <c r="O11" s="4950"/>
      <c r="P11" s="4955"/>
      <c r="Q11" s="4950"/>
      <c r="R11" s="4955"/>
      <c r="S11" s="4950"/>
      <c r="T11" s="4950"/>
      <c r="U11" s="4956"/>
      <c r="V11" s="4949"/>
      <c r="W11" s="4950"/>
      <c r="X11" s="4955"/>
      <c r="Y11" s="4950"/>
      <c r="Z11" s="4955"/>
      <c r="AA11" s="4950"/>
      <c r="AB11" s="4950"/>
      <c r="AC11" s="4950"/>
      <c r="AD11" s="4950"/>
      <c r="AE11" s="4950"/>
      <c r="AF11" s="4950"/>
      <c r="AG11" s="4950"/>
      <c r="AH11" s="4950"/>
      <c r="AI11" s="4943">
        <f>SUM('C030'!$C$109:$C$110)</f>
        <v>0</v>
      </c>
      <c r="AJ11" s="4944"/>
      <c r="AK11" s="4950"/>
      <c r="AL11" s="4950"/>
      <c r="AM11" s="4943">
        <f>SUM('C035'!$C$108:$C$109)</f>
        <v>0</v>
      </c>
      <c r="AN11" s="4944"/>
      <c r="AO11" s="4943">
        <f>SUM('C057'!$C$91:$C$92)</f>
        <v>0</v>
      </c>
      <c r="AP11" s="4944"/>
      <c r="AQ11" s="4943">
        <f>SUM('C078'!$C$99:$C$100)</f>
        <v>0</v>
      </c>
      <c r="AR11" s="4951"/>
      <c r="AS11" s="4952">
        <f t="shared" si="0"/>
        <v>139761</v>
      </c>
      <c r="AU11" s="4953">
        <f t="shared" si="1"/>
        <v>0</v>
      </c>
      <c r="AW11" s="4954"/>
    </row>
    <row r="12" spans="2:49">
      <c r="B12" s="4939">
        <v>2400</v>
      </c>
      <c r="C12" s="4943">
        <f>SUM('C06'!$C$161:$C$162)</f>
        <v>218652</v>
      </c>
      <c r="D12" s="4944"/>
      <c r="E12" s="4943">
        <f>SUM('C07'!$C$119:$C$120)</f>
        <v>0</v>
      </c>
      <c r="F12" s="4945"/>
      <c r="G12" s="4943">
        <f>SUM('C08'!$C$141:$C$142)</f>
        <v>0</v>
      </c>
      <c r="H12" s="4944"/>
      <c r="I12" s="4950"/>
      <c r="J12" s="4955"/>
      <c r="K12" s="4943">
        <f>SUM('C011'!$C$102:$C$103)</f>
        <v>0</v>
      </c>
      <c r="L12" s="4944"/>
      <c r="M12" s="4946">
        <f>SUM('C012'!$C$93:$C$94)</f>
        <v>0</v>
      </c>
      <c r="N12" s="4944"/>
      <c r="O12" s="4946">
        <f>SUM('C013'!$C$101:$C$102)</f>
        <v>0</v>
      </c>
      <c r="P12" s="4944"/>
      <c r="Q12" s="4947">
        <f>SUM('C014'!$C$101:$C$102)</f>
        <v>0</v>
      </c>
      <c r="R12" s="4944"/>
      <c r="S12" s="4947">
        <f>SUM('C015'!$C$101:$C$102)</f>
        <v>0</v>
      </c>
      <c r="T12" s="4944"/>
      <c r="U12" s="4948"/>
      <c r="V12" s="4949"/>
      <c r="W12" s="4943">
        <f>SUM('C018'!$C$99:$C$100)</f>
        <v>0</v>
      </c>
      <c r="X12" s="4944"/>
      <c r="Y12" s="4943">
        <f>SUM('C022'!$C$96:$C$97)</f>
        <v>0</v>
      </c>
      <c r="Z12" s="4944"/>
      <c r="AA12" s="4950"/>
      <c r="AB12" s="4950"/>
      <c r="AC12" s="4950"/>
      <c r="AD12" s="4950"/>
      <c r="AE12" s="4950"/>
      <c r="AF12" s="4950"/>
      <c r="AG12" s="4943">
        <f>SUM('C029'!$C$101:$C$102)</f>
        <v>0</v>
      </c>
      <c r="AH12" s="4951"/>
      <c r="AI12" s="4943">
        <f>SUM('C030'!$C$123:$C$124)</f>
        <v>0</v>
      </c>
      <c r="AJ12" s="4944"/>
      <c r="AK12" s="4943">
        <f>SUM('C034'!$C$108:$C$109)</f>
        <v>0</v>
      </c>
      <c r="AL12" s="4944"/>
      <c r="AM12" s="4943">
        <f>SUM('C035'!$C$133:$C$134)</f>
        <v>0</v>
      </c>
      <c r="AN12" s="4944"/>
      <c r="AO12" s="4943">
        <f>SUM('C057'!$C$108:$C$109)</f>
        <v>0</v>
      </c>
      <c r="AP12" s="4944"/>
      <c r="AQ12" s="4943">
        <f>SUM('C078'!$C$113:$C$114)</f>
        <v>0</v>
      </c>
      <c r="AR12" s="4951"/>
      <c r="AS12" s="4952">
        <f t="shared" si="0"/>
        <v>218652</v>
      </c>
      <c r="AU12" s="4953">
        <f t="shared" si="1"/>
        <v>0</v>
      </c>
      <c r="AW12" s="4954"/>
    </row>
    <row r="13" spans="2:49">
      <c r="B13" s="4939">
        <v>2500</v>
      </c>
      <c r="C13" s="4943">
        <f>SUM('C06'!$C$179:$C$180)</f>
        <v>20807</v>
      </c>
      <c r="D13" s="4944"/>
      <c r="E13" s="4943">
        <f>SUM('C07'!$C$145:$C$146)</f>
        <v>0</v>
      </c>
      <c r="F13" s="4945"/>
      <c r="G13" s="4943">
        <f>SUM('C08'!$C$157:$C$158)</f>
        <v>0</v>
      </c>
      <c r="H13" s="4944"/>
      <c r="I13" s="4950"/>
      <c r="J13" s="4955"/>
      <c r="K13" s="4943">
        <f>SUM('C011'!$C$115:$C$116)</f>
        <v>0</v>
      </c>
      <c r="L13" s="4944"/>
      <c r="M13" s="4950"/>
      <c r="N13" s="4955"/>
      <c r="O13" s="4943">
        <f>SUM('C013'!$C$114:$C$115)</f>
        <v>0</v>
      </c>
      <c r="P13" s="4944"/>
      <c r="Q13" s="4947">
        <f>SUM('C014'!$C$114:$C$115)</f>
        <v>0</v>
      </c>
      <c r="R13" s="4944"/>
      <c r="S13" s="4947">
        <f>SUM('C015'!$C$114:$C$115)</f>
        <v>0</v>
      </c>
      <c r="T13" s="4944"/>
      <c r="U13" s="4948"/>
      <c r="V13" s="4949"/>
      <c r="W13" s="4943">
        <f>SUM('C018'!$C$112:$C$113)</f>
        <v>0</v>
      </c>
      <c r="X13" s="4944"/>
      <c r="Y13" s="4943">
        <f>SUM('C022'!$C$109:$C$110)</f>
        <v>0</v>
      </c>
      <c r="Z13" s="4944"/>
      <c r="AA13" s="4950"/>
      <c r="AB13" s="4950"/>
      <c r="AC13" s="4943">
        <f>SUM('C026'!$C$43:$C$44)</f>
        <v>0</v>
      </c>
      <c r="AD13" s="4944"/>
      <c r="AE13" s="4943">
        <f>SUM('C028'!$C$80:$C$81)</f>
        <v>0</v>
      </c>
      <c r="AF13" s="4944"/>
      <c r="AG13" s="4943">
        <f>SUM('C029'!$C$155:$C$156)</f>
        <v>0</v>
      </c>
      <c r="AH13" s="4951"/>
      <c r="AI13" s="4943">
        <f>SUM('C030'!$C$144:$C$145)</f>
        <v>0</v>
      </c>
      <c r="AJ13" s="4944"/>
      <c r="AK13" s="4943">
        <f>SUM('C034'!$C$121:$C$122)</f>
        <v>0</v>
      </c>
      <c r="AL13" s="4944"/>
      <c r="AM13" s="4943">
        <f>SUM('C035'!$C$149:$C$150)</f>
        <v>0</v>
      </c>
      <c r="AN13" s="4944"/>
      <c r="AO13" s="4943">
        <f>SUM('C057'!$C$132:$C$133)</f>
        <v>0</v>
      </c>
      <c r="AP13" s="4944"/>
      <c r="AQ13" s="4943">
        <f>SUM('C078'!$C$136:$C$137)</f>
        <v>0</v>
      </c>
      <c r="AR13" s="4951"/>
      <c r="AS13" s="4952">
        <f t="shared" si="0"/>
        <v>20807</v>
      </c>
      <c r="AU13" s="4953">
        <f t="shared" si="1"/>
        <v>0</v>
      </c>
      <c r="AW13" s="4954"/>
    </row>
    <row r="14" spans="2:49">
      <c r="B14" s="4939">
        <v>2600</v>
      </c>
      <c r="C14" s="4943">
        <f>SUM('C06'!$C$202,'C06'!$C$231)</f>
        <v>73151</v>
      </c>
      <c r="D14" s="4944"/>
      <c r="E14" s="4943">
        <f>'C07'!$C$159</f>
        <v>0</v>
      </c>
      <c r="F14" s="4945"/>
      <c r="G14" s="4943">
        <f>SUM('C08'!$C$209,'C08'!$C$171)</f>
        <v>0</v>
      </c>
      <c r="H14" s="4944"/>
      <c r="I14" s="4943">
        <f>SUM('C010'!$C$145)</f>
        <v>0</v>
      </c>
      <c r="J14" s="4944"/>
      <c r="K14" s="4943">
        <f>SUM('C011'!$C$137)</f>
        <v>0</v>
      </c>
      <c r="L14" s="4944"/>
      <c r="M14" s="4946">
        <f>SUM('C012'!$C$106)</f>
        <v>0</v>
      </c>
      <c r="N14" s="4944"/>
      <c r="O14" s="4946">
        <f>SUM('C013'!$C$136)</f>
        <v>0</v>
      </c>
      <c r="P14" s="4944"/>
      <c r="Q14" s="4947">
        <f>SUM('C014'!$C$136)</f>
        <v>0</v>
      </c>
      <c r="R14" s="4944"/>
      <c r="S14" s="4946">
        <f>SUM('C015'!$C$136)</f>
        <v>0</v>
      </c>
      <c r="T14" s="4957"/>
      <c r="U14" s="4943">
        <f>SUM('C016'!$C$80)</f>
        <v>109662</v>
      </c>
      <c r="V14" s="4951"/>
      <c r="W14" s="4943">
        <f>SUM('C018'!$C$134,'C018'!$C$156)</f>
        <v>0</v>
      </c>
      <c r="X14" s="4944"/>
      <c r="Y14" s="4943">
        <f>SUM('C022'!$C$123)</f>
        <v>0</v>
      </c>
      <c r="Z14" s="4944"/>
      <c r="AA14" s="4943">
        <f>SUM('C024'!$C$63)</f>
        <v>12355</v>
      </c>
      <c r="AB14" s="4944"/>
      <c r="AC14" s="4950"/>
      <c r="AD14" s="4950"/>
      <c r="AE14" s="4950"/>
      <c r="AF14" s="4950"/>
      <c r="AG14" s="4943">
        <f>SUM('C029'!$C$117)</f>
        <v>0</v>
      </c>
      <c r="AH14" s="4951"/>
      <c r="AI14" s="4943">
        <f>SUM('C030'!$C$158)</f>
        <v>0</v>
      </c>
      <c r="AJ14" s="4944"/>
      <c r="AK14" s="4943">
        <f>SUM('C034'!$C$143)</f>
        <v>0</v>
      </c>
      <c r="AL14" s="4944"/>
      <c r="AM14" s="4943">
        <f>SUM('C035'!$C$163)</f>
        <v>0</v>
      </c>
      <c r="AN14" s="4944"/>
      <c r="AO14" s="4943">
        <f>SUM('C057'!$C$146)</f>
        <v>0</v>
      </c>
      <c r="AP14" s="4944"/>
      <c r="AQ14" s="4943">
        <f>SUM('C078'!$C$150)</f>
        <v>0</v>
      </c>
      <c r="AR14" s="4951"/>
      <c r="AS14" s="4952">
        <f t="shared" si="0"/>
        <v>85506</v>
      </c>
      <c r="AU14" s="4953">
        <f t="shared" si="1"/>
        <v>0</v>
      </c>
      <c r="AW14" s="4954"/>
    </row>
    <row r="15" spans="2:49">
      <c r="B15" s="4939">
        <v>2700</v>
      </c>
      <c r="C15" s="4943">
        <f>SUM('C06'!$C$261,'C06'!$C$271,'C06'!$C$286,'C06'!$C$299)</f>
        <v>48298</v>
      </c>
      <c r="D15" s="4944"/>
      <c r="E15" s="4943">
        <f>'C07'!$C$198</f>
        <v>0</v>
      </c>
      <c r="F15" s="4945"/>
      <c r="G15" s="4943">
        <f>SUM('C08'!$C$230,'C08'!$C$240,'C08'!$C$255,'C08'!$C$278)</f>
        <v>0</v>
      </c>
      <c r="H15" s="4944"/>
      <c r="I15" s="4950"/>
      <c r="J15" s="4955"/>
      <c r="K15" s="4943">
        <f>SUM('C011'!$C$161)</f>
        <v>0</v>
      </c>
      <c r="L15" s="4944"/>
      <c r="M15" s="4950"/>
      <c r="N15" s="4950"/>
      <c r="O15" s="4943">
        <f>SUM('C013'!$C$160)</f>
        <v>0</v>
      </c>
      <c r="P15" s="4944"/>
      <c r="Q15" s="4947">
        <f>SUM('C014'!$C$161)</f>
        <v>0</v>
      </c>
      <c r="R15" s="4944"/>
      <c r="S15" s="4958"/>
      <c r="T15" s="4958"/>
      <c r="U15" s="4943">
        <f>SUM('C016'!$C$100)</f>
        <v>0</v>
      </c>
      <c r="V15" s="4959"/>
      <c r="W15" s="4950"/>
      <c r="X15" s="4955"/>
      <c r="Y15" s="4950"/>
      <c r="Z15" s="4955"/>
      <c r="AA15" s="4950"/>
      <c r="AB15" s="4950"/>
      <c r="AC15" s="4950"/>
      <c r="AD15" s="4950"/>
      <c r="AE15" s="4950"/>
      <c r="AF15" s="4950"/>
      <c r="AG15" s="4950"/>
      <c r="AH15" s="4950"/>
      <c r="AI15" s="4943">
        <f>SUM('C030'!$C$184,'C030'!$C$195,'C030'!$C$223,'C030'!$C$235)</f>
        <v>0</v>
      </c>
      <c r="AJ15" s="4944"/>
      <c r="AK15" s="4943">
        <f>SUM('C034'!$C$167)</f>
        <v>0</v>
      </c>
      <c r="AL15" s="4959"/>
      <c r="AM15" s="4943">
        <f>SUM('C035'!$C$200)</f>
        <v>0</v>
      </c>
      <c r="AN15" s="4944"/>
      <c r="AO15" s="4950"/>
      <c r="AP15" s="4950"/>
      <c r="AQ15" s="4943">
        <f>SUM('C078'!$C$176,'C078'!$C$187,'C078'!$C$215,'C078'!$C$227)</f>
        <v>0</v>
      </c>
      <c r="AR15" s="4951"/>
      <c r="AS15" s="4952">
        <f t="shared" si="0"/>
        <v>48298</v>
      </c>
      <c r="AU15" s="4953">
        <f t="shared" si="1"/>
        <v>0</v>
      </c>
      <c r="AW15" s="4954"/>
    </row>
    <row r="16" spans="2:49">
      <c r="B16" s="4939">
        <v>2900</v>
      </c>
      <c r="C16" s="4943">
        <f>SUM('C06'!$C$321:$C$322)</f>
        <v>0</v>
      </c>
      <c r="D16" s="4944"/>
      <c r="E16" s="4943">
        <f>SUM('C07'!$C$213:$C$214)</f>
        <v>0</v>
      </c>
      <c r="F16" s="4945"/>
      <c r="G16" s="4943">
        <f>SUM('C08'!$C$291:$C$292)</f>
        <v>0</v>
      </c>
      <c r="H16" s="4944"/>
      <c r="I16" s="4956"/>
      <c r="J16" s="4949"/>
      <c r="K16" s="4943">
        <f>SUM('C011'!$C$166:$C$167)</f>
        <v>0</v>
      </c>
      <c r="L16" s="4944"/>
      <c r="M16" s="4956"/>
      <c r="N16" s="4956"/>
      <c r="O16" s="4943">
        <f>SUM('C013'!$C$165:$C$166)</f>
        <v>0</v>
      </c>
      <c r="P16" s="4944"/>
      <c r="Q16" s="4947">
        <f>SUM('C014'!$C$166:$C$167)</f>
        <v>0</v>
      </c>
      <c r="R16" s="4944"/>
      <c r="S16" s="4947">
        <f>SUM('C015'!$C$161:$C$162)</f>
        <v>0</v>
      </c>
      <c r="T16" s="4944"/>
      <c r="U16" s="4948"/>
      <c r="V16" s="4949"/>
      <c r="W16" s="4943">
        <f>SUM('C018'!$C$169:$C$170)</f>
        <v>0</v>
      </c>
      <c r="X16" s="4944"/>
      <c r="Y16" s="4943">
        <f>SUM('C022'!$C$156:$C$157)</f>
        <v>0</v>
      </c>
      <c r="Z16" s="4944"/>
      <c r="AA16" s="4956"/>
      <c r="AB16" s="4956"/>
      <c r="AC16" s="4943">
        <f>SUM('C026'!$C$57:$C$58)</f>
        <v>0</v>
      </c>
      <c r="AD16" s="4944"/>
      <c r="AE16" s="4960">
        <f>SUM('C028'!$C$94:$C$95)</f>
        <v>0</v>
      </c>
      <c r="AF16" s="4944"/>
      <c r="AG16" s="4961">
        <f>SUM('C029'!$C$169:$C$170)</f>
        <v>0</v>
      </c>
      <c r="AH16" s="4951"/>
      <c r="AI16" s="4943">
        <f>SUM('C030'!$C$248:$C$249)</f>
        <v>0</v>
      </c>
      <c r="AJ16" s="4944"/>
      <c r="AK16" s="4943">
        <f>SUM('C034'!$C$173:$C$174)</f>
        <v>0</v>
      </c>
      <c r="AL16" s="4944"/>
      <c r="AM16" s="4943">
        <f>SUM('C028'!$C$94:$C$95)</f>
        <v>0</v>
      </c>
      <c r="AN16" s="4944"/>
      <c r="AO16" s="4943">
        <f>SUM('C057'!$C$174:$C$175)</f>
        <v>0</v>
      </c>
      <c r="AP16" s="4944"/>
      <c r="AQ16" s="4943">
        <f>SUM('C078'!$C$240:$C$241)</f>
        <v>0</v>
      </c>
      <c r="AR16" s="4951"/>
      <c r="AS16" s="4952">
        <f t="shared" si="0"/>
        <v>0</v>
      </c>
      <c r="AU16" s="4953">
        <f t="shared" si="1"/>
        <v>0</v>
      </c>
      <c r="AW16" s="4954"/>
    </row>
    <row r="17" spans="2:49">
      <c r="B17" s="4939">
        <v>3000</v>
      </c>
      <c r="C17" s="4962"/>
      <c r="D17" s="4962"/>
      <c r="E17" s="4963">
        <f>SUM('C07'!$C$228:$C$229)</f>
        <v>0</v>
      </c>
      <c r="F17" s="4964"/>
      <c r="G17" s="4962"/>
      <c r="H17" s="4962"/>
      <c r="I17" s="4962"/>
      <c r="J17" s="4962"/>
      <c r="K17" s="4962"/>
      <c r="L17" s="4962"/>
      <c r="M17" s="4962"/>
      <c r="N17" s="4962"/>
      <c r="O17" s="4962"/>
      <c r="P17" s="4965"/>
      <c r="Q17" s="4962"/>
      <c r="R17" s="4962"/>
      <c r="S17" s="4962"/>
      <c r="T17" s="4962"/>
      <c r="U17" s="4962"/>
      <c r="V17" s="4962"/>
      <c r="W17" s="4962"/>
      <c r="X17" s="4965"/>
      <c r="Y17" s="4962"/>
      <c r="Z17" s="4962"/>
      <c r="AA17" s="4966">
        <f>SUM('C024'!$C$85:$C$86)</f>
        <v>84580</v>
      </c>
      <c r="AB17" s="4967"/>
      <c r="AC17" s="4962"/>
      <c r="AD17" s="4962"/>
      <c r="AE17" s="4962"/>
      <c r="AF17" s="4962"/>
      <c r="AG17" s="4962"/>
      <c r="AH17" s="4962"/>
      <c r="AI17" s="4962"/>
      <c r="AJ17" s="4962"/>
      <c r="AK17" s="4962"/>
      <c r="AL17" s="4962"/>
      <c r="AM17" s="4968"/>
      <c r="AN17" s="4969"/>
      <c r="AO17" s="4970"/>
      <c r="AP17" s="4962"/>
      <c r="AQ17" s="4962"/>
      <c r="AR17" s="4965"/>
      <c r="AS17" s="4952">
        <f t="shared" si="0"/>
        <v>84580</v>
      </c>
      <c r="AU17" s="4953">
        <f t="shared" si="1"/>
        <v>0</v>
      </c>
      <c r="AW17" s="4954"/>
    </row>
    <row r="18" spans="2:49">
      <c r="B18" s="4971"/>
      <c r="C18" s="4972">
        <f>SUM(C8:C17)</f>
        <v>1730350</v>
      </c>
      <c r="D18" s="4973">
        <f t="shared" ref="D18:AS18" si="2">SUM(D8:D17)</f>
        <v>0</v>
      </c>
      <c r="E18" s="4972">
        <f t="shared" si="2"/>
        <v>49202</v>
      </c>
      <c r="F18" s="4973">
        <f t="shared" si="2"/>
        <v>0</v>
      </c>
      <c r="G18" s="4972">
        <f t="shared" si="2"/>
        <v>38862</v>
      </c>
      <c r="H18" s="4973">
        <f t="shared" si="2"/>
        <v>0</v>
      </c>
      <c r="I18" s="4972">
        <f t="shared" si="2"/>
        <v>0</v>
      </c>
      <c r="J18" s="4973">
        <f t="shared" si="2"/>
        <v>0</v>
      </c>
      <c r="K18" s="4972">
        <f t="shared" si="2"/>
        <v>0</v>
      </c>
      <c r="L18" s="4973">
        <f t="shared" si="2"/>
        <v>0</v>
      </c>
      <c r="M18" s="4972">
        <f t="shared" si="2"/>
        <v>0</v>
      </c>
      <c r="N18" s="4973">
        <f t="shared" si="2"/>
        <v>0</v>
      </c>
      <c r="O18" s="4972">
        <f t="shared" si="2"/>
        <v>121015</v>
      </c>
      <c r="P18" s="4973">
        <f t="shared" si="2"/>
        <v>0</v>
      </c>
      <c r="Q18" s="4972">
        <f t="shared" si="2"/>
        <v>0</v>
      </c>
      <c r="R18" s="4973">
        <f t="shared" si="2"/>
        <v>0</v>
      </c>
      <c r="S18" s="4972">
        <f t="shared" si="2"/>
        <v>0</v>
      </c>
      <c r="T18" s="4973">
        <f t="shared" si="2"/>
        <v>0</v>
      </c>
      <c r="U18" s="4972">
        <f t="shared" si="2"/>
        <v>109662</v>
      </c>
      <c r="V18" s="4973">
        <f t="shared" si="2"/>
        <v>0</v>
      </c>
      <c r="W18" s="4972">
        <f t="shared" si="2"/>
        <v>3765</v>
      </c>
      <c r="X18" s="4973">
        <f t="shared" si="2"/>
        <v>0</v>
      </c>
      <c r="Y18" s="4972">
        <f t="shared" si="2"/>
        <v>0</v>
      </c>
      <c r="Z18" s="4973">
        <f t="shared" si="2"/>
        <v>0</v>
      </c>
      <c r="AA18" s="4972">
        <f t="shared" si="2"/>
        <v>96935</v>
      </c>
      <c r="AB18" s="4973">
        <f t="shared" si="2"/>
        <v>0</v>
      </c>
      <c r="AC18" s="4972">
        <f t="shared" si="2"/>
        <v>0</v>
      </c>
      <c r="AD18" s="4973">
        <f t="shared" si="2"/>
        <v>0</v>
      </c>
      <c r="AE18" s="4972">
        <f t="shared" si="2"/>
        <v>0</v>
      </c>
      <c r="AF18" s="4973">
        <f t="shared" si="2"/>
        <v>0</v>
      </c>
      <c r="AG18" s="4972">
        <f t="shared" si="2"/>
        <v>14150</v>
      </c>
      <c r="AH18" s="4973">
        <f t="shared" si="2"/>
        <v>0</v>
      </c>
      <c r="AI18" s="4972">
        <f t="shared" si="2"/>
        <v>10689</v>
      </c>
      <c r="AJ18" s="4973">
        <f t="shared" si="2"/>
        <v>0</v>
      </c>
      <c r="AK18" s="4972">
        <f t="shared" si="2"/>
        <v>209271</v>
      </c>
      <c r="AL18" s="4973">
        <f t="shared" si="2"/>
        <v>0</v>
      </c>
      <c r="AM18" s="4972">
        <f t="shared" si="2"/>
        <v>0</v>
      </c>
      <c r="AN18" s="4973">
        <f t="shared" si="2"/>
        <v>0</v>
      </c>
      <c r="AO18" s="4972">
        <f t="shared" si="2"/>
        <v>0</v>
      </c>
      <c r="AP18" s="4973">
        <f t="shared" si="2"/>
        <v>0</v>
      </c>
      <c r="AQ18" s="4972">
        <f t="shared" si="2"/>
        <v>0</v>
      </c>
      <c r="AR18" s="4973">
        <f t="shared" si="2"/>
        <v>0</v>
      </c>
      <c r="AS18" s="4972">
        <f t="shared" si="2"/>
        <v>2274239</v>
      </c>
      <c r="AU18" s="4974">
        <f t="shared" si="1"/>
        <v>0</v>
      </c>
      <c r="AW18" s="4954"/>
    </row>
    <row r="19" spans="2:49">
      <c r="B19" s="4930" t="s">
        <v>1854</v>
      </c>
    </row>
    <row r="20" spans="2:49" ht="15.75">
      <c r="B20" s="4937" t="str">
        <f>"Middle Column:  ("&amp;OPEN!$O$4&amp;")"</f>
        <v>Middle Column:  (2015-2016)</v>
      </c>
      <c r="AS20" s="4939" t="s">
        <v>2430</v>
      </c>
      <c r="AU20" s="4938" t="s">
        <v>2431</v>
      </c>
    </row>
    <row r="21" spans="2:49">
      <c r="B21" s="4939"/>
      <c r="C21" s="4939" t="s">
        <v>122</v>
      </c>
      <c r="D21" s="4939"/>
      <c r="E21" s="4939" t="s">
        <v>123</v>
      </c>
      <c r="F21" s="4941"/>
      <c r="G21" s="4939" t="s">
        <v>124</v>
      </c>
      <c r="H21" s="4939"/>
      <c r="I21" s="4939" t="s">
        <v>125</v>
      </c>
      <c r="J21" s="4939"/>
      <c r="K21" s="4939" t="s">
        <v>126</v>
      </c>
      <c r="L21" s="4939"/>
      <c r="M21" s="4939" t="s">
        <v>127</v>
      </c>
      <c r="N21" s="4939"/>
      <c r="O21" s="4939" t="s">
        <v>128</v>
      </c>
      <c r="P21" s="4939"/>
      <c r="Q21" s="4939" t="s">
        <v>129</v>
      </c>
      <c r="R21" s="4939"/>
      <c r="S21" s="4939" t="s">
        <v>539</v>
      </c>
      <c r="T21" s="4939"/>
      <c r="U21" s="4942" t="s">
        <v>1858</v>
      </c>
      <c r="V21" s="4939"/>
      <c r="W21" s="4939" t="s">
        <v>130</v>
      </c>
      <c r="X21" s="4939"/>
      <c r="Y21" s="4939" t="s">
        <v>131</v>
      </c>
      <c r="Z21" s="4939"/>
      <c r="AA21" s="4939" t="s">
        <v>132</v>
      </c>
      <c r="AB21" s="4939"/>
      <c r="AC21" s="4939" t="s">
        <v>133</v>
      </c>
      <c r="AD21" s="4939"/>
      <c r="AE21" s="4939" t="s">
        <v>134</v>
      </c>
      <c r="AF21" s="4939"/>
      <c r="AG21" s="4939" t="s">
        <v>135</v>
      </c>
      <c r="AH21" s="4939"/>
      <c r="AI21" s="4939" t="s">
        <v>136</v>
      </c>
      <c r="AJ21" s="4939"/>
      <c r="AK21" s="4939" t="s">
        <v>137</v>
      </c>
      <c r="AL21" s="4939"/>
      <c r="AM21" s="4939" t="s">
        <v>138</v>
      </c>
      <c r="AN21" s="4939"/>
      <c r="AO21" s="4939" t="s">
        <v>139</v>
      </c>
      <c r="AP21" s="4939"/>
      <c r="AQ21" s="4939" t="s">
        <v>140</v>
      </c>
      <c r="AR21" s="4939"/>
      <c r="AS21" s="4939" t="s">
        <v>2432</v>
      </c>
      <c r="AU21" s="4938" t="s">
        <v>2432</v>
      </c>
    </row>
    <row r="22" spans="2:49">
      <c r="B22" s="4939">
        <v>1000</v>
      </c>
      <c r="C22" s="4943">
        <f>SUM('C06'!$D$76:$D$77)</f>
        <v>974181</v>
      </c>
      <c r="D22" s="4944"/>
      <c r="E22" s="4943">
        <f>SUM('C07'!$D$35:$D$36)</f>
        <v>56920</v>
      </c>
      <c r="F22" s="4945"/>
      <c r="G22" s="4943">
        <f>SUM('C08'!$D$49:$D$50)</f>
        <v>63931</v>
      </c>
      <c r="H22" s="4951"/>
      <c r="I22" s="4943">
        <f>SUM('C010'!$D$69:$D$70)</f>
        <v>0</v>
      </c>
      <c r="J22" s="4944"/>
      <c r="K22" s="4943">
        <f>SUM('C011'!$D$38:$D$39)</f>
        <v>0</v>
      </c>
      <c r="L22" s="4951"/>
      <c r="M22" s="4943">
        <f>SUM('C012'!$D$33:$D$34)</f>
        <v>0</v>
      </c>
      <c r="N22" s="4944"/>
      <c r="O22" s="4943">
        <f>SUM('C013'!$D$39:$D$40)</f>
        <v>155139</v>
      </c>
      <c r="P22" s="4944"/>
      <c r="Q22" s="4943">
        <f>SUM('C014'!$D$34:$D$35)</f>
        <v>0</v>
      </c>
      <c r="R22" s="4944"/>
      <c r="S22" s="4943">
        <f>SUM('C015'!$D$39:$D$40)</f>
        <v>0</v>
      </c>
      <c r="T22" s="4944"/>
      <c r="U22" s="4948"/>
      <c r="V22" s="4949"/>
      <c r="W22" s="4943">
        <f>SUM('C018'!$D$34:$D$35)</f>
        <v>5253</v>
      </c>
      <c r="X22" s="4944"/>
      <c r="Y22" s="4943">
        <f>SUM('C022'!$D$33:$D$34)</f>
        <v>0</v>
      </c>
      <c r="Z22" s="4944"/>
      <c r="AA22" s="4950"/>
      <c r="AB22" s="4950"/>
      <c r="AC22" s="4950"/>
      <c r="AD22" s="4950"/>
      <c r="AE22" s="4950"/>
      <c r="AF22" s="4950"/>
      <c r="AG22" s="4943">
        <f>SUM('C029'!$D$37:$D$38)</f>
        <v>7781</v>
      </c>
      <c r="AH22" s="4951"/>
      <c r="AI22" s="4943">
        <f>SUM('C030'!$D$42:$D$43)</f>
        <v>7004</v>
      </c>
      <c r="AJ22" s="4944"/>
      <c r="AK22" s="4943">
        <f>SUM('C034'!$D$45:$D$46)</f>
        <v>228626</v>
      </c>
      <c r="AL22" s="4944"/>
      <c r="AM22" s="4943">
        <f>SUM('C035'!$D$45:$D$46)</f>
        <v>0</v>
      </c>
      <c r="AN22" s="4944"/>
      <c r="AO22" s="4946">
        <f>SUM('C057'!$D$28:$D$29)</f>
        <v>0</v>
      </c>
      <c r="AP22" s="4944"/>
      <c r="AQ22" s="4943">
        <f>SUM('C078'!$D$34:$D$35)</f>
        <v>0</v>
      </c>
      <c r="AR22" s="4951"/>
      <c r="AS22" s="4952">
        <f t="shared" ref="AS22:AS31" si="3">SUM(AQ22,AO22,AM22,AK22,AI22,AG22,AE22,AC22,AA22,Y22,W22,S22,Q22,O22,M22,K22,I22,G22,E22,C22)</f>
        <v>1498835</v>
      </c>
      <c r="AU22" s="4953">
        <f t="shared" ref="AU22:AU32" si="4">SUM(AR22,AP22,AN22,AL22,AJ22,AH22,AF22,AD22,AB22,Z22,X22,T22,R22,P22,N22,L22,J22,H22,F22,D22)</f>
        <v>0</v>
      </c>
      <c r="AW22" s="4954"/>
    </row>
    <row r="23" spans="2:49">
      <c r="B23" s="4939">
        <v>2100</v>
      </c>
      <c r="C23" s="4943">
        <f>SUM('C06'!$D$100:$D$101)</f>
        <v>50646</v>
      </c>
      <c r="D23" s="4944"/>
      <c r="E23" s="4943">
        <f>SUM('C07'!$D$59:$D$60)</f>
        <v>0</v>
      </c>
      <c r="F23" s="4945"/>
      <c r="G23" s="4943">
        <f>SUM('C08'!$D$83:$D$84)</f>
        <v>0</v>
      </c>
      <c r="H23" s="4951"/>
      <c r="I23" s="4943">
        <f>SUM('C010'!$D$90:$D$91)</f>
        <v>0</v>
      </c>
      <c r="J23" s="4944"/>
      <c r="K23" s="4943">
        <f>SUM('C011'!$D$61:$D$62)</f>
        <v>0</v>
      </c>
      <c r="L23" s="4951"/>
      <c r="M23" s="4943">
        <f>SUM('C012'!$D$56:$D$57)</f>
        <v>0</v>
      </c>
      <c r="N23" s="4944"/>
      <c r="O23" s="4943">
        <f>SUM('C013'!$D$62:$D$63)</f>
        <v>0</v>
      </c>
      <c r="P23" s="4944"/>
      <c r="Q23" s="4943">
        <f>SUM('C014'!$D$58:$D$59)</f>
        <v>0</v>
      </c>
      <c r="R23" s="4944"/>
      <c r="S23" s="4943">
        <f>SUM('C015'!$D$70:$D$71)</f>
        <v>0</v>
      </c>
      <c r="T23" s="4944"/>
      <c r="U23" s="4948"/>
      <c r="V23" s="4949"/>
      <c r="W23" s="4943">
        <f>SUM('C018'!$D$57:$D$58)</f>
        <v>0</v>
      </c>
      <c r="X23" s="4944"/>
      <c r="Y23" s="4943">
        <f>SUM('C022'!$D$57:$D$58)</f>
        <v>0</v>
      </c>
      <c r="Z23" s="4944"/>
      <c r="AA23" s="4950"/>
      <c r="AB23" s="4950"/>
      <c r="AC23" s="4950"/>
      <c r="AD23" s="4950"/>
      <c r="AE23" s="4943">
        <f>SUM('C028'!$D$36:$D$37)</f>
        <v>0</v>
      </c>
      <c r="AF23" s="4944"/>
      <c r="AG23" s="4943">
        <f>SUM('C029'!$D$61:$D$62)</f>
        <v>0</v>
      </c>
      <c r="AH23" s="4951"/>
      <c r="AI23" s="4943">
        <f>SUM('C030'!$D$77:$D$78)</f>
        <v>0</v>
      </c>
      <c r="AJ23" s="4944"/>
      <c r="AK23" s="4943">
        <f>SUM('C034'!$D$77:$D$78)</f>
        <v>0</v>
      </c>
      <c r="AL23" s="4944"/>
      <c r="AM23" s="4943">
        <f>SUM('C035'!$D$77:$D$78)</f>
        <v>0</v>
      </c>
      <c r="AN23" s="4944"/>
      <c r="AO23" s="4946">
        <f>SUM('C057'!$D$52:$D$53)</f>
        <v>0</v>
      </c>
      <c r="AP23" s="4944"/>
      <c r="AQ23" s="4943">
        <f>SUM('C078'!$D$57:$D$58)</f>
        <v>0</v>
      </c>
      <c r="AR23" s="4951"/>
      <c r="AS23" s="4952">
        <f t="shared" si="3"/>
        <v>50646</v>
      </c>
      <c r="AU23" s="4953">
        <f t="shared" si="4"/>
        <v>0</v>
      </c>
      <c r="AW23" s="4954"/>
    </row>
    <row r="24" spans="2:49">
      <c r="B24" s="4939">
        <v>2200</v>
      </c>
      <c r="C24" s="4943">
        <f>SUM('C06'!$D$114:$D$115)</f>
        <v>75877</v>
      </c>
      <c r="D24" s="4944"/>
      <c r="E24" s="4943">
        <f>SUM('C07'!$D$81:$D$82)</f>
        <v>0</v>
      </c>
      <c r="F24" s="4945"/>
      <c r="G24" s="4943">
        <f>SUM('C08'!$D$97:$D$98)</f>
        <v>0</v>
      </c>
      <c r="H24" s="4951"/>
      <c r="I24" s="4943">
        <f>SUM('C010'!$D$104:$D$105)</f>
        <v>0</v>
      </c>
      <c r="J24" s="4944"/>
      <c r="K24" s="4943">
        <f>SUM('C011'!$D$85:$D$86)</f>
        <v>0</v>
      </c>
      <c r="L24" s="4951"/>
      <c r="M24" s="4943">
        <f>SUM('C012'!$D$79:$D$80)</f>
        <v>0</v>
      </c>
      <c r="N24" s="4944"/>
      <c r="O24" s="4943">
        <f>SUM('C013'!$D$84:$D$85)</f>
        <v>0</v>
      </c>
      <c r="P24" s="4944"/>
      <c r="Q24" s="4943">
        <f>SUM('C014'!$D$83:$D$84)</f>
        <v>0</v>
      </c>
      <c r="R24" s="4944"/>
      <c r="S24" s="4943">
        <f>SUM('C015'!$D$84:$D$85)</f>
        <v>0</v>
      </c>
      <c r="T24" s="4944"/>
      <c r="U24" s="4948"/>
      <c r="V24" s="4949"/>
      <c r="W24" s="4943">
        <f>SUM('C018'!$D$81:$D$82)</f>
        <v>0</v>
      </c>
      <c r="X24" s="4944"/>
      <c r="Y24" s="4943">
        <f>SUM('C022'!$D$79:$D$80)</f>
        <v>0</v>
      </c>
      <c r="Z24" s="4944"/>
      <c r="AA24" s="4950"/>
      <c r="AB24" s="4950"/>
      <c r="AC24" s="4943">
        <f>SUM('C026'!$D$26:$D$27)</f>
        <v>0</v>
      </c>
      <c r="AD24" s="4944"/>
      <c r="AE24" s="4943">
        <f>SUM('C028'!$D$66:$D$67)</f>
        <v>0</v>
      </c>
      <c r="AF24" s="4944"/>
      <c r="AG24" s="4943">
        <f>SUM('C029'!$D$84:$D$85)</f>
        <v>0</v>
      </c>
      <c r="AH24" s="4951"/>
      <c r="AI24" s="4943">
        <f>SUM('C030'!$D$91:$D$92)</f>
        <v>0</v>
      </c>
      <c r="AJ24" s="4944"/>
      <c r="AK24" s="4943">
        <f>SUM('C034'!$D$91:$D$92)</f>
        <v>0</v>
      </c>
      <c r="AL24" s="4944"/>
      <c r="AM24" s="4943">
        <f>SUM('C035'!$D$91:$D$92)</f>
        <v>0</v>
      </c>
      <c r="AN24" s="4944"/>
      <c r="AO24" s="4946">
        <f>SUM('C057'!$D$74:$D$75)</f>
        <v>0</v>
      </c>
      <c r="AP24" s="4944"/>
      <c r="AQ24" s="4943">
        <f>SUM('C078'!$D$81:$D$82)</f>
        <v>0</v>
      </c>
      <c r="AR24" s="4951"/>
      <c r="AS24" s="4952">
        <f t="shared" si="3"/>
        <v>75877</v>
      </c>
      <c r="AU24" s="4953">
        <f t="shared" si="4"/>
        <v>0</v>
      </c>
      <c r="AW24" s="4954"/>
    </row>
    <row r="25" spans="2:49">
      <c r="B25" s="4939">
        <v>2300</v>
      </c>
      <c r="C25" s="4943">
        <f>SUM('C06'!$D$142:$D$143)</f>
        <v>122670</v>
      </c>
      <c r="D25" s="4944"/>
      <c r="E25" s="4943">
        <f>SUM('C07'!$D$100:$D$101)</f>
        <v>0</v>
      </c>
      <c r="F25" s="4945"/>
      <c r="G25" s="4943">
        <f>SUM('C08'!$D$114:$D$115)</f>
        <v>0</v>
      </c>
      <c r="H25" s="4951"/>
      <c r="I25" s="4943">
        <f>SUM('C010'!$D$131:$D$132)</f>
        <v>0</v>
      </c>
      <c r="J25" s="4944"/>
      <c r="K25" s="4950"/>
      <c r="L25" s="4950"/>
      <c r="M25" s="4950"/>
      <c r="N25" s="4950"/>
      <c r="O25" s="4950"/>
      <c r="P25" s="4950"/>
      <c r="Q25" s="4950"/>
      <c r="R25" s="4950"/>
      <c r="S25" s="4950"/>
      <c r="T25" s="4950"/>
      <c r="U25" s="4956"/>
      <c r="V25" s="4956"/>
      <c r="W25" s="4950"/>
      <c r="X25" s="4950"/>
      <c r="Y25" s="4950"/>
      <c r="Z25" s="4950"/>
      <c r="AA25" s="4950"/>
      <c r="AB25" s="4950"/>
      <c r="AC25" s="4950"/>
      <c r="AD25" s="4950"/>
      <c r="AE25" s="4950"/>
      <c r="AF25" s="4950"/>
      <c r="AG25" s="4950"/>
      <c r="AH25" s="4950"/>
      <c r="AI25" s="4943">
        <f>SUM('C030'!$D$109:$D$110)</f>
        <v>0</v>
      </c>
      <c r="AJ25" s="4944"/>
      <c r="AK25" s="4950"/>
      <c r="AL25" s="4950"/>
      <c r="AM25" s="4943">
        <f>SUM('C035'!$D$108:$D$109)</f>
        <v>0</v>
      </c>
      <c r="AN25" s="4944"/>
      <c r="AO25" s="4946">
        <f>SUM('C057'!$D$91:$D$92)</f>
        <v>0</v>
      </c>
      <c r="AP25" s="4944"/>
      <c r="AQ25" s="4943">
        <f>SUM('C078'!$D$99:$D$100)</f>
        <v>0</v>
      </c>
      <c r="AR25" s="4951"/>
      <c r="AS25" s="4952">
        <f t="shared" si="3"/>
        <v>122670</v>
      </c>
      <c r="AU25" s="4953">
        <f t="shared" si="4"/>
        <v>0</v>
      </c>
      <c r="AW25" s="4954"/>
    </row>
    <row r="26" spans="2:49">
      <c r="B26" s="4939">
        <v>2400</v>
      </c>
      <c r="C26" s="4943">
        <f>SUM('C06'!$D$161:$D$162)</f>
        <v>195074</v>
      </c>
      <c r="D26" s="4944"/>
      <c r="E26" s="4943">
        <f>SUM('C07'!$D$119:$D$120)</f>
        <v>0</v>
      </c>
      <c r="F26" s="4945"/>
      <c r="G26" s="4943">
        <f>SUM('C08'!$D$141:$D$142)</f>
        <v>0</v>
      </c>
      <c r="H26" s="4944"/>
      <c r="I26" s="4950"/>
      <c r="J26" s="4950"/>
      <c r="K26" s="4943">
        <f>SUM('C011'!$D$102:$D$103)</f>
        <v>0</v>
      </c>
      <c r="L26" s="4951"/>
      <c r="M26" s="4943">
        <f>SUM('C012'!$D$93:$D$94)</f>
        <v>0</v>
      </c>
      <c r="N26" s="4944"/>
      <c r="O26" s="4943">
        <f>SUM('C013'!$D$101:$D$102)</f>
        <v>0</v>
      </c>
      <c r="P26" s="4944"/>
      <c r="Q26" s="4943">
        <f>SUM('C014'!$D$101:$D$102)</f>
        <v>0</v>
      </c>
      <c r="R26" s="4944"/>
      <c r="S26" s="4943">
        <f>SUM('C015'!$D$101:$D$102)</f>
        <v>0</v>
      </c>
      <c r="T26" s="4944"/>
      <c r="U26" s="4948"/>
      <c r="V26" s="4949"/>
      <c r="W26" s="4943">
        <f>SUM('C018'!$D$99:$D$100)</f>
        <v>0</v>
      </c>
      <c r="X26" s="4944"/>
      <c r="Y26" s="4943">
        <f>SUM('C022'!$D$96:$D$97)</f>
        <v>0</v>
      </c>
      <c r="Z26" s="4944"/>
      <c r="AA26" s="4950"/>
      <c r="AB26" s="4950"/>
      <c r="AC26" s="4950"/>
      <c r="AD26" s="4950"/>
      <c r="AE26" s="4950"/>
      <c r="AF26" s="4950"/>
      <c r="AG26" s="4943">
        <f>SUM('C029'!$D$101:$D$102)</f>
        <v>0</v>
      </c>
      <c r="AH26" s="4951"/>
      <c r="AI26" s="4943">
        <f>SUM('C030'!$D$123:$D$124)</f>
        <v>0</v>
      </c>
      <c r="AJ26" s="4944"/>
      <c r="AK26" s="4943">
        <f>SUM('C034'!$D$108:$D$109)</f>
        <v>0</v>
      </c>
      <c r="AL26" s="4944"/>
      <c r="AM26" s="4943">
        <f>SUM('C035'!$D$133:$D$134)</f>
        <v>0</v>
      </c>
      <c r="AN26" s="4944"/>
      <c r="AO26" s="4946">
        <f>SUM('C057'!$D$108:$D$109)</f>
        <v>0</v>
      </c>
      <c r="AP26" s="4944"/>
      <c r="AQ26" s="4943">
        <f>SUM('C078'!$D$113:$D$114)</f>
        <v>0</v>
      </c>
      <c r="AR26" s="4951"/>
      <c r="AS26" s="4952">
        <f t="shared" si="3"/>
        <v>195074</v>
      </c>
      <c r="AU26" s="4953">
        <f t="shared" si="4"/>
        <v>0</v>
      </c>
      <c r="AW26" s="4954"/>
    </row>
    <row r="27" spans="2:49">
      <c r="B27" s="4939">
        <v>2500</v>
      </c>
      <c r="C27" s="4943">
        <f>SUM('C06'!$D$179:$D$180)</f>
        <v>20446</v>
      </c>
      <c r="D27" s="4944"/>
      <c r="E27" s="4943">
        <f>SUM('C07'!$D$145:$D$146)</f>
        <v>0</v>
      </c>
      <c r="F27" s="4945"/>
      <c r="G27" s="4943">
        <f>SUM('C08'!$D$157:$D$158)</f>
        <v>0</v>
      </c>
      <c r="H27" s="4944"/>
      <c r="I27" s="4950"/>
      <c r="J27" s="4950"/>
      <c r="K27" s="4943">
        <f>SUM('C011'!$D$115:$D$116)</f>
        <v>0</v>
      </c>
      <c r="L27" s="4944"/>
      <c r="M27" s="4950"/>
      <c r="N27" s="4950"/>
      <c r="O27" s="4943">
        <f>SUM('C013'!$D$114:$D$115)</f>
        <v>0</v>
      </c>
      <c r="P27" s="4944"/>
      <c r="Q27" s="4943">
        <f>SUM('C014'!$D$114:$D$115)</f>
        <v>0</v>
      </c>
      <c r="R27" s="4944"/>
      <c r="S27" s="4943">
        <f>SUM('C015'!$D$114:$D$115)</f>
        <v>0</v>
      </c>
      <c r="T27" s="4944"/>
      <c r="U27" s="4948"/>
      <c r="V27" s="4949"/>
      <c r="W27" s="4943">
        <f>SUM('C018'!$D$112:$D$113)</f>
        <v>0</v>
      </c>
      <c r="X27" s="4944"/>
      <c r="Y27" s="4943">
        <f>SUM('C022'!$D$109:$D$110)</f>
        <v>0</v>
      </c>
      <c r="Z27" s="4944"/>
      <c r="AA27" s="4950"/>
      <c r="AB27" s="4950"/>
      <c r="AC27" s="4943">
        <f>SUM('C026'!$D$43:$D$44)</f>
        <v>0</v>
      </c>
      <c r="AD27" s="4944"/>
      <c r="AE27" s="4943">
        <f>SUM('C028'!$D$80:$D$81)</f>
        <v>0</v>
      </c>
      <c r="AF27" s="4944"/>
      <c r="AG27" s="4943">
        <f>SUM('C029'!$D$155:$D$156)</f>
        <v>0</v>
      </c>
      <c r="AH27" s="4951"/>
      <c r="AI27" s="4943">
        <f>SUM('C030'!$D$144:$D$145)</f>
        <v>0</v>
      </c>
      <c r="AJ27" s="4944"/>
      <c r="AK27" s="4943">
        <f>SUM('C034'!$D$121:$D$122)</f>
        <v>0</v>
      </c>
      <c r="AL27" s="4944"/>
      <c r="AM27" s="4943">
        <f>SUM('C035'!$D$149:$D$150)</f>
        <v>0</v>
      </c>
      <c r="AN27" s="4944"/>
      <c r="AO27" s="4946">
        <f>SUM('C057'!$D$132:$D$133)</f>
        <v>0</v>
      </c>
      <c r="AP27" s="4944"/>
      <c r="AQ27" s="4943">
        <f>SUM('C078'!$D$136:$D$137)</f>
        <v>0</v>
      </c>
      <c r="AR27" s="4951"/>
      <c r="AS27" s="4952">
        <f t="shared" si="3"/>
        <v>20446</v>
      </c>
      <c r="AU27" s="4953">
        <f t="shared" si="4"/>
        <v>0</v>
      </c>
      <c r="AW27" s="4954"/>
    </row>
    <row r="28" spans="2:49">
      <c r="B28" s="4939">
        <v>2600</v>
      </c>
      <c r="C28" s="4943">
        <f>SUM('C06'!$D$202,'C06'!$D$231)</f>
        <v>124066</v>
      </c>
      <c r="D28" s="4944"/>
      <c r="E28" s="4943">
        <f>SUM('C07'!$D$159)</f>
        <v>0</v>
      </c>
      <c r="F28" s="4945"/>
      <c r="G28" s="4943">
        <f>SUM('C08'!$D$171,'C08'!$D$209)</f>
        <v>7829</v>
      </c>
      <c r="H28" s="4951"/>
      <c r="I28" s="4943">
        <f>SUM('C010'!$D$145)</f>
        <v>0</v>
      </c>
      <c r="J28" s="4944"/>
      <c r="K28" s="4943">
        <f>SUM('C011'!$D$137)</f>
        <v>0</v>
      </c>
      <c r="L28" s="4951"/>
      <c r="M28" s="4943">
        <f>SUM('C012'!$D$106)</f>
        <v>0</v>
      </c>
      <c r="N28" s="4944"/>
      <c r="O28" s="4975">
        <f>SUM('C013'!$D$136)</f>
        <v>0</v>
      </c>
      <c r="P28" s="4976"/>
      <c r="Q28" s="4977">
        <f>SUM('C014'!$D$136)</f>
        <v>0</v>
      </c>
      <c r="R28" s="4976"/>
      <c r="S28" s="4943">
        <f>SUM('C015'!$D$136)</f>
        <v>0</v>
      </c>
      <c r="T28" s="4978"/>
      <c r="U28" s="4943">
        <f>SUM('C016'!$D$80)</f>
        <v>50864</v>
      </c>
      <c r="V28" s="4951"/>
      <c r="W28" s="4943">
        <f>SUM('C018'!$D$134,'C018'!$D$156)</f>
        <v>0</v>
      </c>
      <c r="X28" s="4944"/>
      <c r="Y28" s="4943">
        <f>SUM('C022'!$D$123)</f>
        <v>0</v>
      </c>
      <c r="Z28" s="4944"/>
      <c r="AA28" s="4943">
        <f>SUM('C024'!$D$63)</f>
        <v>9200</v>
      </c>
      <c r="AB28" s="4944"/>
      <c r="AC28" s="4950"/>
      <c r="AD28" s="4950"/>
      <c r="AE28" s="4950"/>
      <c r="AF28" s="4950"/>
      <c r="AG28" s="4943">
        <f>SUM('C029'!$D$117)</f>
        <v>0</v>
      </c>
      <c r="AH28" s="4951"/>
      <c r="AI28" s="4943">
        <f>SUM('C030'!$D$158)</f>
        <v>0</v>
      </c>
      <c r="AJ28" s="4944"/>
      <c r="AK28" s="4943">
        <f>SUM('C034'!$D$143)</f>
        <v>0</v>
      </c>
      <c r="AL28" s="4944"/>
      <c r="AM28" s="4943">
        <f>SUM('C035'!$D$163)</f>
        <v>0</v>
      </c>
      <c r="AN28" s="4944"/>
      <c r="AO28" s="4946">
        <f>SUM('C057'!$D$146)</f>
        <v>0</v>
      </c>
      <c r="AP28" s="4944"/>
      <c r="AQ28" s="4943">
        <f>SUM('C078'!$D$150)</f>
        <v>0</v>
      </c>
      <c r="AR28" s="4951"/>
      <c r="AS28" s="4952">
        <f t="shared" si="3"/>
        <v>141095</v>
      </c>
      <c r="AU28" s="4953">
        <f t="shared" si="4"/>
        <v>0</v>
      </c>
      <c r="AW28" s="4954"/>
    </row>
    <row r="29" spans="2:49">
      <c r="B29" s="4939">
        <v>2700</v>
      </c>
      <c r="C29" s="4943">
        <f>SUM('C06'!$D$261,'C06'!$D$271,'C06'!$D$286,'C06'!$D$299)</f>
        <v>44112</v>
      </c>
      <c r="D29" s="4944"/>
      <c r="E29" s="4943">
        <f>SUM('C07'!$D$198)</f>
        <v>0</v>
      </c>
      <c r="F29" s="4945"/>
      <c r="G29" s="4943">
        <f>SUM('C08'!$D$230,'C08'!$D$240,'C08'!$D$255,'C08'!$D$278)</f>
        <v>0</v>
      </c>
      <c r="H29" s="4944"/>
      <c r="I29" s="4950"/>
      <c r="J29" s="4950"/>
      <c r="K29" s="4943">
        <f>SUM('C011'!$D$161)</f>
        <v>0</v>
      </c>
      <c r="L29" s="4944"/>
      <c r="M29" s="4950"/>
      <c r="N29" s="4950"/>
      <c r="O29" s="4943">
        <f>SUM('C013'!$D$160)</f>
        <v>0</v>
      </c>
      <c r="P29" s="4944"/>
      <c r="Q29" s="4943">
        <f>SUM('C014'!$D$161)</f>
        <v>0</v>
      </c>
      <c r="R29" s="4944"/>
      <c r="S29" s="4958"/>
      <c r="T29" s="4958"/>
      <c r="U29" s="4943">
        <f>SUM('C016'!$D$100)</f>
        <v>0</v>
      </c>
      <c r="V29" s="4957"/>
      <c r="W29" s="4950"/>
      <c r="X29" s="4950"/>
      <c r="Y29" s="4950"/>
      <c r="Z29" s="4950"/>
      <c r="AA29" s="4950"/>
      <c r="AB29" s="4950"/>
      <c r="AC29" s="4950"/>
      <c r="AD29" s="4950"/>
      <c r="AE29" s="4950"/>
      <c r="AF29" s="4950"/>
      <c r="AG29" s="4950"/>
      <c r="AH29" s="4950"/>
      <c r="AI29" s="4943">
        <f>SUM('C030'!$D$184,'C030'!$D$195,'C030'!$D$223,'C030'!$D$235)</f>
        <v>0</v>
      </c>
      <c r="AJ29" s="4944"/>
      <c r="AK29" s="4943">
        <f>SUM('C034'!$D$167)</f>
        <v>0</v>
      </c>
      <c r="AL29" s="4959"/>
      <c r="AM29" s="4943">
        <f>SUM('C035'!$D$200)</f>
        <v>0</v>
      </c>
      <c r="AN29" s="4944"/>
      <c r="AO29" s="4950"/>
      <c r="AP29" s="4950"/>
      <c r="AQ29" s="4943">
        <f>SUM('C078'!$D$176,'C078'!$D$187,'C078'!$D$215,'C078'!$D$227)</f>
        <v>0</v>
      </c>
      <c r="AR29" s="4951"/>
      <c r="AS29" s="4952">
        <f t="shared" si="3"/>
        <v>44112</v>
      </c>
      <c r="AU29" s="4953">
        <f t="shared" si="4"/>
        <v>0</v>
      </c>
      <c r="AW29" s="4954"/>
    </row>
    <row r="30" spans="2:49">
      <c r="B30" s="4939">
        <v>2900</v>
      </c>
      <c r="C30" s="4943">
        <f>SUM('C06'!$D$321:$D$322)</f>
        <v>0</v>
      </c>
      <c r="D30" s="4944"/>
      <c r="E30" s="4943">
        <f>SUM('C07'!$D$213:$D$214)</f>
        <v>0</v>
      </c>
      <c r="F30" s="4945"/>
      <c r="G30" s="4943">
        <f>SUM('C08'!$D$291:$D$292)</f>
        <v>0</v>
      </c>
      <c r="H30" s="4944"/>
      <c r="I30" s="4956"/>
      <c r="J30" s="4949"/>
      <c r="K30" s="4943">
        <f>SUM('C011'!$D$166:$D$167)</f>
        <v>0</v>
      </c>
      <c r="L30" s="4944"/>
      <c r="M30" s="4956"/>
      <c r="N30" s="4956"/>
      <c r="O30" s="4943">
        <f>SUM('C013'!$D$165:$D$166)</f>
        <v>0</v>
      </c>
      <c r="P30" s="4944"/>
      <c r="Q30" s="4943">
        <f>SUM('C014'!$D$166:$D$167)</f>
        <v>0</v>
      </c>
      <c r="R30" s="4944"/>
      <c r="S30" s="4943">
        <f>SUM('C015'!$D$161:$D$162)</f>
        <v>0</v>
      </c>
      <c r="T30" s="4944"/>
      <c r="U30" s="4948"/>
      <c r="V30" s="4949"/>
      <c r="W30" s="4943">
        <f>SUM('C018'!$D$169:$D$170)</f>
        <v>0</v>
      </c>
      <c r="X30" s="4944"/>
      <c r="Y30" s="4943">
        <f>SUM('C022'!$D$156:$D$157)</f>
        <v>0</v>
      </c>
      <c r="Z30" s="4944"/>
      <c r="AA30" s="4956"/>
      <c r="AB30" s="4956"/>
      <c r="AC30" s="4943">
        <f>SUM('C026'!$D$57:$D$58)</f>
        <v>0</v>
      </c>
      <c r="AD30" s="4944"/>
      <c r="AE30" s="4960">
        <f>SUM('C028'!$D$94:$D$95)</f>
        <v>0</v>
      </c>
      <c r="AF30" s="4944"/>
      <c r="AG30" s="4960">
        <f>SUM('C029'!$D$169:$D$170)</f>
        <v>0</v>
      </c>
      <c r="AH30" s="4951"/>
      <c r="AI30" s="4943">
        <f>SUM('C030'!$D$248:$D$249)</f>
        <v>0</v>
      </c>
      <c r="AJ30" s="4944"/>
      <c r="AK30" s="4943">
        <f>SUM('C034'!$D$173:$D$174)</f>
        <v>0</v>
      </c>
      <c r="AL30" s="4944"/>
      <c r="AM30" s="4943">
        <f>SUM('C035'!$D$215:$D$216)</f>
        <v>0</v>
      </c>
      <c r="AN30" s="4944"/>
      <c r="AO30" s="4946">
        <f>SUM('C057'!$D$174:$D$175)</f>
        <v>0</v>
      </c>
      <c r="AP30" s="4944"/>
      <c r="AQ30" s="4943">
        <f>SUM('C078'!$D$240:$D$241)</f>
        <v>0</v>
      </c>
      <c r="AR30" s="4951"/>
      <c r="AS30" s="4952">
        <f t="shared" si="3"/>
        <v>0</v>
      </c>
      <c r="AU30" s="4953">
        <f t="shared" si="4"/>
        <v>0</v>
      </c>
      <c r="AW30" s="4954"/>
    </row>
    <row r="31" spans="2:49">
      <c r="B31" s="4939">
        <v>3000</v>
      </c>
      <c r="C31" s="4962"/>
      <c r="D31" s="4962"/>
      <c r="E31" s="4963">
        <f>SUM('C07'!$D$228:$D$229)</f>
        <v>0</v>
      </c>
      <c r="F31" s="4964"/>
      <c r="G31" s="4962"/>
      <c r="H31" s="4965"/>
      <c r="I31" s="4962"/>
      <c r="J31" s="4962"/>
      <c r="K31" s="4962"/>
      <c r="L31" s="4962"/>
      <c r="M31" s="4962"/>
      <c r="N31" s="4962"/>
      <c r="O31" s="4962"/>
      <c r="P31" s="4962"/>
      <c r="Q31" s="4962"/>
      <c r="R31" s="4965"/>
      <c r="S31" s="4962"/>
      <c r="T31" s="4962"/>
      <c r="U31" s="4962"/>
      <c r="V31" s="4962"/>
      <c r="W31" s="4962"/>
      <c r="X31" s="4962"/>
      <c r="Y31" s="4962"/>
      <c r="Z31" s="4962"/>
      <c r="AA31" s="4966">
        <f>SUM('C024'!$D$85:$D$86)</f>
        <v>83079</v>
      </c>
      <c r="AB31" s="4967"/>
      <c r="AC31" s="4962"/>
      <c r="AD31" s="4962"/>
      <c r="AE31" s="4962"/>
      <c r="AF31" s="4962"/>
      <c r="AG31" s="4962"/>
      <c r="AH31" s="4962"/>
      <c r="AI31" s="4962"/>
      <c r="AJ31" s="4962"/>
      <c r="AK31" s="4962"/>
      <c r="AL31" s="4962"/>
      <c r="AM31" s="4966">
        <f>SUM('C035'!$D$230:$D$231)</f>
        <v>0</v>
      </c>
      <c r="AN31" s="4967"/>
      <c r="AO31" s="4962"/>
      <c r="AP31" s="4962"/>
      <c r="AQ31" s="4962"/>
      <c r="AR31" s="4965"/>
      <c r="AS31" s="4952">
        <f t="shared" si="3"/>
        <v>83079</v>
      </c>
      <c r="AU31" s="4953">
        <f t="shared" si="4"/>
        <v>0</v>
      </c>
      <c r="AW31" s="4954"/>
    </row>
    <row r="32" spans="2:49">
      <c r="B32" s="4971"/>
      <c r="C32" s="4972">
        <f>SUM(C22:C31)</f>
        <v>1607072</v>
      </c>
      <c r="D32" s="4973">
        <f t="shared" ref="D32:AS32" si="5">SUM(D22:D31)</f>
        <v>0</v>
      </c>
      <c r="E32" s="4972">
        <f t="shared" si="5"/>
        <v>56920</v>
      </c>
      <c r="F32" s="4973">
        <f t="shared" si="5"/>
        <v>0</v>
      </c>
      <c r="G32" s="4972">
        <f t="shared" si="5"/>
        <v>71760</v>
      </c>
      <c r="H32" s="4973">
        <f t="shared" si="5"/>
        <v>0</v>
      </c>
      <c r="I32" s="4972">
        <f t="shared" si="5"/>
        <v>0</v>
      </c>
      <c r="J32" s="4973">
        <f t="shared" si="5"/>
        <v>0</v>
      </c>
      <c r="K32" s="4972">
        <f t="shared" si="5"/>
        <v>0</v>
      </c>
      <c r="L32" s="4973">
        <f t="shared" si="5"/>
        <v>0</v>
      </c>
      <c r="M32" s="4972">
        <f t="shared" si="5"/>
        <v>0</v>
      </c>
      <c r="N32" s="4973">
        <f t="shared" si="5"/>
        <v>0</v>
      </c>
      <c r="O32" s="4972">
        <f t="shared" si="5"/>
        <v>155139</v>
      </c>
      <c r="P32" s="4973">
        <f t="shared" si="5"/>
        <v>0</v>
      </c>
      <c r="Q32" s="4972">
        <f t="shared" si="5"/>
        <v>0</v>
      </c>
      <c r="R32" s="4973">
        <f t="shared" si="5"/>
        <v>0</v>
      </c>
      <c r="S32" s="4972">
        <f t="shared" si="5"/>
        <v>0</v>
      </c>
      <c r="T32" s="4973">
        <f t="shared" si="5"/>
        <v>0</v>
      </c>
      <c r="U32" s="4972">
        <f t="shared" si="5"/>
        <v>50864</v>
      </c>
      <c r="V32" s="4973">
        <f t="shared" si="5"/>
        <v>0</v>
      </c>
      <c r="W32" s="4972">
        <f t="shared" si="5"/>
        <v>5253</v>
      </c>
      <c r="X32" s="4973">
        <f t="shared" si="5"/>
        <v>0</v>
      </c>
      <c r="Y32" s="4972">
        <f t="shared" si="5"/>
        <v>0</v>
      </c>
      <c r="Z32" s="4973">
        <f t="shared" si="5"/>
        <v>0</v>
      </c>
      <c r="AA32" s="4972">
        <f t="shared" si="5"/>
        <v>92279</v>
      </c>
      <c r="AB32" s="4973">
        <f t="shared" si="5"/>
        <v>0</v>
      </c>
      <c r="AC32" s="4972">
        <f t="shared" si="5"/>
        <v>0</v>
      </c>
      <c r="AD32" s="4973">
        <f t="shared" si="5"/>
        <v>0</v>
      </c>
      <c r="AE32" s="4972">
        <f t="shared" si="5"/>
        <v>0</v>
      </c>
      <c r="AF32" s="4973">
        <f t="shared" si="5"/>
        <v>0</v>
      </c>
      <c r="AG32" s="4972">
        <f t="shared" si="5"/>
        <v>7781</v>
      </c>
      <c r="AH32" s="4973">
        <f t="shared" si="5"/>
        <v>0</v>
      </c>
      <c r="AI32" s="4972">
        <f t="shared" si="5"/>
        <v>7004</v>
      </c>
      <c r="AJ32" s="4973">
        <f t="shared" si="5"/>
        <v>0</v>
      </c>
      <c r="AK32" s="4972">
        <f t="shared" si="5"/>
        <v>228626</v>
      </c>
      <c r="AL32" s="4973">
        <f t="shared" si="5"/>
        <v>0</v>
      </c>
      <c r="AM32" s="4972">
        <f t="shared" si="5"/>
        <v>0</v>
      </c>
      <c r="AN32" s="4973">
        <f t="shared" si="5"/>
        <v>0</v>
      </c>
      <c r="AO32" s="4972">
        <f t="shared" si="5"/>
        <v>0</v>
      </c>
      <c r="AP32" s="4973">
        <f t="shared" si="5"/>
        <v>0</v>
      </c>
      <c r="AQ32" s="4972">
        <f t="shared" si="5"/>
        <v>0</v>
      </c>
      <c r="AR32" s="4973">
        <f t="shared" si="5"/>
        <v>0</v>
      </c>
      <c r="AS32" s="4972">
        <f t="shared" si="5"/>
        <v>2231834</v>
      </c>
      <c r="AU32" s="4974">
        <f t="shared" si="4"/>
        <v>0</v>
      </c>
      <c r="AW32" s="4954"/>
    </row>
    <row r="33" spans="2:49">
      <c r="B33" s="4930" t="s">
        <v>2445</v>
      </c>
      <c r="AW33" s="4954"/>
    </row>
    <row r="34" spans="2:49" ht="15.75">
      <c r="B34" s="4937" t="str">
        <f>"Right Column:  ("&amp;OPEN!$P$4&amp;")"</f>
        <v>Right Column:  (2016-2017)</v>
      </c>
      <c r="AS34" s="4939" t="s">
        <v>2430</v>
      </c>
      <c r="AU34" s="4938" t="s">
        <v>2431</v>
      </c>
    </row>
    <row r="35" spans="2:49">
      <c r="B35" s="4939"/>
      <c r="C35" s="4939" t="s">
        <v>122</v>
      </c>
      <c r="D35" s="4939"/>
      <c r="E35" s="4939" t="s">
        <v>123</v>
      </c>
      <c r="F35" s="4941"/>
      <c r="G35" s="4939" t="s">
        <v>124</v>
      </c>
      <c r="H35" s="4939"/>
      <c r="I35" s="4939" t="s">
        <v>125</v>
      </c>
      <c r="J35" s="4939"/>
      <c r="K35" s="4939" t="s">
        <v>126</v>
      </c>
      <c r="L35" s="4939"/>
      <c r="M35" s="4939" t="s">
        <v>127</v>
      </c>
      <c r="N35" s="4939"/>
      <c r="O35" s="4939" t="s">
        <v>128</v>
      </c>
      <c r="P35" s="4939"/>
      <c r="Q35" s="4939" t="s">
        <v>129</v>
      </c>
      <c r="R35" s="4939"/>
      <c r="S35" s="4939" t="s">
        <v>539</v>
      </c>
      <c r="T35" s="4939"/>
      <c r="U35" s="4942" t="s">
        <v>1858</v>
      </c>
      <c r="V35" s="4939"/>
      <c r="W35" s="4939" t="s">
        <v>130</v>
      </c>
      <c r="X35" s="4939"/>
      <c r="Y35" s="4939" t="s">
        <v>131</v>
      </c>
      <c r="Z35" s="4939"/>
      <c r="AA35" s="4939" t="s">
        <v>132</v>
      </c>
      <c r="AB35" s="4939"/>
      <c r="AC35" s="4939" t="s">
        <v>133</v>
      </c>
      <c r="AD35" s="4939"/>
      <c r="AE35" s="4939" t="s">
        <v>134</v>
      </c>
      <c r="AF35" s="4939"/>
      <c r="AG35" s="4939" t="s">
        <v>135</v>
      </c>
      <c r="AH35" s="4939"/>
      <c r="AI35" s="4939" t="s">
        <v>136</v>
      </c>
      <c r="AJ35" s="4939"/>
      <c r="AK35" s="4939" t="s">
        <v>137</v>
      </c>
      <c r="AL35" s="4939"/>
      <c r="AM35" s="4939" t="s">
        <v>138</v>
      </c>
      <c r="AN35" s="4939"/>
      <c r="AO35" s="4939" t="s">
        <v>139</v>
      </c>
      <c r="AP35" s="4939"/>
      <c r="AQ35" s="4939" t="s">
        <v>140</v>
      </c>
      <c r="AR35" s="4939"/>
      <c r="AS35" s="4939" t="s">
        <v>2432</v>
      </c>
      <c r="AU35" s="4938" t="s">
        <v>2432</v>
      </c>
    </row>
    <row r="36" spans="2:49">
      <c r="B36" s="4939">
        <v>1000</v>
      </c>
      <c r="C36" s="4943">
        <f>SUM('C06'!$E$76:$E$77)</f>
        <v>1048000</v>
      </c>
      <c r="D36" s="4944"/>
      <c r="E36" s="4943">
        <f>SUM('C07'!$E$35:$E$36)</f>
        <v>60000</v>
      </c>
      <c r="F36" s="4945"/>
      <c r="G36" s="4943">
        <f>SUM('C08'!$E$49:$E$50)</f>
        <v>72000</v>
      </c>
      <c r="H36" s="4944"/>
      <c r="I36" s="4943">
        <f>SUM('C010'!$E$69:$E$70)</f>
        <v>0</v>
      </c>
      <c r="J36" s="4944"/>
      <c r="K36" s="4943">
        <f>SUM('C011'!$E$38:$E$39)</f>
        <v>0</v>
      </c>
      <c r="L36" s="4944"/>
      <c r="M36" s="4943">
        <f>SUM('C012'!$E$33:$E$34)</f>
        <v>0</v>
      </c>
      <c r="N36" s="4944"/>
      <c r="O36" s="4943">
        <f>SUM('C013'!$E$39:$E$40)</f>
        <v>161497</v>
      </c>
      <c r="P36" s="4944"/>
      <c r="Q36" s="4943">
        <f>SUM('C014'!$E$34:$E$35)</f>
        <v>0</v>
      </c>
      <c r="R36" s="4944"/>
      <c r="S36" s="4943">
        <f>SUM('C015'!$E$39:$E$40)</f>
        <v>0</v>
      </c>
      <c r="T36" s="4944"/>
      <c r="U36" s="4948"/>
      <c r="V36" s="4949"/>
      <c r="W36" s="4943">
        <f>SUM('C018'!$E$34:$E$35)</f>
        <v>7000</v>
      </c>
      <c r="X36" s="4944"/>
      <c r="Y36" s="4943">
        <f>SUM('C022'!$E$33:$E$34)</f>
        <v>0</v>
      </c>
      <c r="Z36" s="4944"/>
      <c r="AA36" s="4950"/>
      <c r="AB36" s="4950"/>
      <c r="AC36" s="4950"/>
      <c r="AD36" s="4950"/>
      <c r="AE36" s="4950"/>
      <c r="AF36" s="4950"/>
      <c r="AG36" s="4943">
        <f>SUM('C029'!$E$37:$E$38)</f>
        <v>12000</v>
      </c>
      <c r="AH36" s="4944"/>
      <c r="AI36" s="4943">
        <f>SUM('C030'!$E$42:$E$43)</f>
        <v>3050</v>
      </c>
      <c r="AJ36" s="4944"/>
      <c r="AK36" s="4946">
        <f>SUM('C034'!$E$45:$E$46)</f>
        <v>230000</v>
      </c>
      <c r="AL36" s="4944"/>
      <c r="AM36" s="4943">
        <f>SUM('C035'!$E$45:$E$46)</f>
        <v>0</v>
      </c>
      <c r="AN36" s="4944"/>
      <c r="AO36" s="4943">
        <f>SUM('C057'!$E$28:$E$29)</f>
        <v>0</v>
      </c>
      <c r="AP36" s="4944"/>
      <c r="AQ36" s="4943">
        <f>SUM('C078'!$E$34:$E$35)</f>
        <v>0</v>
      </c>
      <c r="AR36" s="4979"/>
      <c r="AS36" s="4952">
        <f t="shared" ref="AS36:AS45" si="6">SUM(AQ36,AO36,AM36,AK36,AI36,AG36,AE36,AC36,AA36,Y36,W36,S36,Q36,O36,M36,K36,I36,G36,E36,C36)</f>
        <v>1593547</v>
      </c>
      <c r="AU36" s="4953">
        <f t="shared" ref="AU36:AU46" si="7">SUM(AR36,AP36,AN36,AL36,AJ36,AH36,AF36,AD36,AB36,Z36,X36,T36,R36,P36,N36,L36,J36,H36,F36,D36)</f>
        <v>0</v>
      </c>
      <c r="AW36" s="4954"/>
    </row>
    <row r="37" spans="2:49">
      <c r="B37" s="4939">
        <v>2100</v>
      </c>
      <c r="C37" s="4943">
        <f>SUM('C06'!$E$100:$E$101)</f>
        <v>64866</v>
      </c>
      <c r="D37" s="4944"/>
      <c r="E37" s="4943">
        <f>SUM('C07'!$E$59:$E$60)</f>
        <v>0</v>
      </c>
      <c r="F37" s="4945"/>
      <c r="G37" s="4943">
        <f>SUM('C08'!$E$83:$E$84)</f>
        <v>0</v>
      </c>
      <c r="H37" s="4944"/>
      <c r="I37" s="4943">
        <f>SUM('C010'!$E$90:$E$91)</f>
        <v>0</v>
      </c>
      <c r="J37" s="4944"/>
      <c r="K37" s="4943">
        <f>SUM('C011'!$E$61:$E$62)</f>
        <v>0</v>
      </c>
      <c r="L37" s="4944"/>
      <c r="M37" s="4943">
        <f>SUM('C012'!$E$56:$E$57)</f>
        <v>0</v>
      </c>
      <c r="N37" s="4944"/>
      <c r="O37" s="4943">
        <f>SUM('C013'!$E$62:$E$63)</f>
        <v>0</v>
      </c>
      <c r="P37" s="4944"/>
      <c r="Q37" s="4943">
        <f>SUM('C014'!$E$58:$E$59)</f>
        <v>0</v>
      </c>
      <c r="R37" s="4944"/>
      <c r="S37" s="4943">
        <f>SUM('C015'!$E$70:$E$71)</f>
        <v>0</v>
      </c>
      <c r="T37" s="4944"/>
      <c r="U37" s="4948"/>
      <c r="V37" s="4949"/>
      <c r="W37" s="4943">
        <f>SUM('C018'!$E$57:$E$58)</f>
        <v>0</v>
      </c>
      <c r="X37" s="4944"/>
      <c r="Y37" s="4943">
        <f>SUM('C022'!$E$57:$E$58)</f>
        <v>0</v>
      </c>
      <c r="Z37" s="4944"/>
      <c r="AA37" s="4950"/>
      <c r="AB37" s="4950"/>
      <c r="AC37" s="4950"/>
      <c r="AD37" s="4950"/>
      <c r="AE37" s="4943">
        <f>SUM('C028'!$E$36:$E$37)</f>
        <v>0</v>
      </c>
      <c r="AF37" s="4944"/>
      <c r="AG37" s="4943">
        <f>SUM('C029'!$E$61:$E$62)</f>
        <v>0</v>
      </c>
      <c r="AH37" s="4944"/>
      <c r="AI37" s="4943">
        <f>SUM('C030'!$E$77:$E$78)</f>
        <v>0</v>
      </c>
      <c r="AJ37" s="4944"/>
      <c r="AK37" s="4946">
        <f>SUM('C034'!$E$77:$E$78)</f>
        <v>0</v>
      </c>
      <c r="AL37" s="4944"/>
      <c r="AM37" s="4943">
        <f>SUM('C035'!$E$77:$E$78)</f>
        <v>0</v>
      </c>
      <c r="AN37" s="4944"/>
      <c r="AO37" s="4943">
        <f>SUM('C057'!$E$52:$E$53)</f>
        <v>0</v>
      </c>
      <c r="AP37" s="4944"/>
      <c r="AQ37" s="4943">
        <f>SUM('C078'!$E$57:$E$58)</f>
        <v>0</v>
      </c>
      <c r="AR37" s="4979"/>
      <c r="AS37" s="4952">
        <f t="shared" si="6"/>
        <v>64866</v>
      </c>
      <c r="AU37" s="4953">
        <f t="shared" si="7"/>
        <v>0</v>
      </c>
      <c r="AW37" s="4954"/>
    </row>
    <row r="38" spans="2:49">
      <c r="B38" s="4939">
        <v>2200</v>
      </c>
      <c r="C38" s="4943">
        <f>SUM('C06'!$E$114:$E$115)</f>
        <v>81000</v>
      </c>
      <c r="D38" s="4944"/>
      <c r="E38" s="4943">
        <f>SUM('C07'!$E$81:$E$82)</f>
        <v>0</v>
      </c>
      <c r="F38" s="4945"/>
      <c r="G38" s="4943">
        <f>SUM('C08'!$E$97:$E$98)</f>
        <v>0</v>
      </c>
      <c r="H38" s="4944"/>
      <c r="I38" s="4943">
        <f>SUM('C010'!$E$104:$E$105)</f>
        <v>0</v>
      </c>
      <c r="J38" s="4944"/>
      <c r="K38" s="4943">
        <f>SUM('C011'!$E$85:$E$86)</f>
        <v>0</v>
      </c>
      <c r="L38" s="4944"/>
      <c r="M38" s="4943">
        <f>SUM('C012'!$E$79:$E$80)</f>
        <v>0</v>
      </c>
      <c r="N38" s="4944"/>
      <c r="O38" s="4943">
        <f>SUM('C013'!$E$84:$E$85)</f>
        <v>0</v>
      </c>
      <c r="P38" s="4944"/>
      <c r="Q38" s="4943">
        <f>SUM('C014'!$E$83:$E$84)</f>
        <v>0</v>
      </c>
      <c r="R38" s="4944"/>
      <c r="S38" s="4943">
        <f>SUM('C015'!$E$84:$E$85)</f>
        <v>0</v>
      </c>
      <c r="T38" s="4944"/>
      <c r="U38" s="4948"/>
      <c r="V38" s="4949"/>
      <c r="W38" s="4943">
        <f>SUM('C018'!$E$81:$E$82)</f>
        <v>0</v>
      </c>
      <c r="X38" s="4944"/>
      <c r="Y38" s="4943">
        <f>SUM('C022'!$E$79:$E$80)</f>
        <v>0</v>
      </c>
      <c r="Z38" s="4944"/>
      <c r="AA38" s="4950"/>
      <c r="AB38" s="4950"/>
      <c r="AC38" s="4943">
        <f>SUM('C026'!$E$26:$E$27)</f>
        <v>0</v>
      </c>
      <c r="AD38" s="4944"/>
      <c r="AE38" s="4946">
        <f>SUM('C028'!$E$66:$E$67)</f>
        <v>0</v>
      </c>
      <c r="AF38" s="4944"/>
      <c r="AG38" s="4943">
        <f>SUM('C029'!$E$84:$E$85)</f>
        <v>0</v>
      </c>
      <c r="AH38" s="4944"/>
      <c r="AI38" s="4943">
        <f>SUM('C030'!$E$91:$E$92)</f>
        <v>0</v>
      </c>
      <c r="AJ38" s="4944"/>
      <c r="AK38" s="4946">
        <f>SUM('C034'!$E$91:$E$92)</f>
        <v>0</v>
      </c>
      <c r="AL38" s="4944"/>
      <c r="AM38" s="4943">
        <f>SUM('C035'!$E$91:$E$92)</f>
        <v>0</v>
      </c>
      <c r="AN38" s="4944"/>
      <c r="AO38" s="4943">
        <f>SUM('C057'!$E$74:$E$75)</f>
        <v>0</v>
      </c>
      <c r="AP38" s="4944"/>
      <c r="AQ38" s="4943">
        <f>SUM('C078'!$E$81:$E$82)</f>
        <v>0</v>
      </c>
      <c r="AR38" s="4979"/>
      <c r="AS38" s="4952">
        <f t="shared" si="6"/>
        <v>81000</v>
      </c>
      <c r="AU38" s="4953">
        <f t="shared" si="7"/>
        <v>0</v>
      </c>
      <c r="AW38" s="4954"/>
    </row>
    <row r="39" spans="2:49">
      <c r="B39" s="4939">
        <v>2300</v>
      </c>
      <c r="C39" s="4943">
        <f>SUM('C06'!$E$142:$E$143)</f>
        <v>143000</v>
      </c>
      <c r="D39" s="4944"/>
      <c r="E39" s="4943">
        <f>SUM('C07'!$E$100:$E$101)</f>
        <v>0</v>
      </c>
      <c r="F39" s="4945"/>
      <c r="G39" s="4943">
        <f>SUM('C08'!$E$114:$E$115)</f>
        <v>0</v>
      </c>
      <c r="H39" s="4944"/>
      <c r="I39" s="4943">
        <f>SUM('C010'!$E$131:$E$132)</f>
        <v>0</v>
      </c>
      <c r="J39" s="4944"/>
      <c r="K39" s="4950"/>
      <c r="L39" s="4950"/>
      <c r="M39" s="4950"/>
      <c r="N39" s="4950"/>
      <c r="O39" s="4950"/>
      <c r="P39" s="4955"/>
      <c r="Q39" s="4950"/>
      <c r="R39" s="4955"/>
      <c r="S39" s="4950"/>
      <c r="T39" s="4955"/>
      <c r="U39" s="4956"/>
      <c r="V39" s="4956"/>
      <c r="W39" s="4950"/>
      <c r="X39" s="4950"/>
      <c r="Y39" s="4950"/>
      <c r="Z39" s="4950"/>
      <c r="AA39" s="4950"/>
      <c r="AB39" s="4950"/>
      <c r="AC39" s="4950"/>
      <c r="AD39" s="4955"/>
      <c r="AE39" s="4950"/>
      <c r="AF39" s="4950"/>
      <c r="AG39" s="4950"/>
      <c r="AH39" s="4950"/>
      <c r="AI39" s="4943">
        <f>SUM('C030'!$E$109:$E$110)</f>
        <v>0</v>
      </c>
      <c r="AJ39" s="4944"/>
      <c r="AK39" s="4950"/>
      <c r="AL39" s="4950"/>
      <c r="AM39" s="4943">
        <f>SUM('C035'!$E$108:$E$109)</f>
        <v>0</v>
      </c>
      <c r="AN39" s="4944"/>
      <c r="AO39" s="4943">
        <f>SUM('C057'!$E$91:$E$92)</f>
        <v>0</v>
      </c>
      <c r="AP39" s="4944"/>
      <c r="AQ39" s="4943">
        <f>SUM('C078'!$E$99:$E$100)</f>
        <v>0</v>
      </c>
      <c r="AR39" s="4979"/>
      <c r="AS39" s="4952">
        <f t="shared" si="6"/>
        <v>143000</v>
      </c>
      <c r="AU39" s="4953">
        <f t="shared" si="7"/>
        <v>0</v>
      </c>
      <c r="AW39" s="4954"/>
    </row>
    <row r="40" spans="2:49">
      <c r="B40" s="4939">
        <v>2400</v>
      </c>
      <c r="C40" s="4943">
        <f>SUM('C06'!$E$161:$E$162)</f>
        <v>184000</v>
      </c>
      <c r="D40" s="4944"/>
      <c r="E40" s="4943">
        <f>SUM('C07'!$E$119:$E$120)</f>
        <v>0</v>
      </c>
      <c r="F40" s="4945"/>
      <c r="G40" s="4943">
        <f>SUM('C08'!$E$141:$E$142)</f>
        <v>0</v>
      </c>
      <c r="H40" s="4944"/>
      <c r="I40" s="4950"/>
      <c r="J40" s="4950"/>
      <c r="K40" s="4943">
        <f>SUM('C011'!$E$102:$E$103)</f>
        <v>0</v>
      </c>
      <c r="L40" s="4944"/>
      <c r="M40" s="4943">
        <f>SUM('C012'!$E$93:$E$94)</f>
        <v>0</v>
      </c>
      <c r="N40" s="4944"/>
      <c r="O40" s="4943">
        <f>SUM('C013'!$E$101:$E$102)</f>
        <v>0</v>
      </c>
      <c r="P40" s="4944"/>
      <c r="Q40" s="4943">
        <f>SUM('C014'!$E$101:$E$102)</f>
        <v>0</v>
      </c>
      <c r="R40" s="4944"/>
      <c r="S40" s="4943">
        <f>SUM('C015'!$E$101:$E$102)</f>
        <v>0</v>
      </c>
      <c r="T40" s="4944"/>
      <c r="U40" s="4948"/>
      <c r="V40" s="4949"/>
      <c r="W40" s="4943">
        <f>SUM('C018'!$E$99:$E$100)</f>
        <v>0</v>
      </c>
      <c r="X40" s="4944"/>
      <c r="Y40" s="4943">
        <f>SUM('C022'!$E$96:$E$97)</f>
        <v>0</v>
      </c>
      <c r="Z40" s="4944"/>
      <c r="AA40" s="4950"/>
      <c r="AB40" s="4950"/>
      <c r="AC40" s="4950"/>
      <c r="AD40" s="4950"/>
      <c r="AE40" s="4950"/>
      <c r="AF40" s="4950"/>
      <c r="AG40" s="4943">
        <f>SUM('C029'!$E$101:$E$102)</f>
        <v>0</v>
      </c>
      <c r="AH40" s="4944"/>
      <c r="AI40" s="4943">
        <f>SUM('C030'!$E$123:$E$124)</f>
        <v>0</v>
      </c>
      <c r="AJ40" s="4944"/>
      <c r="AK40" s="4946">
        <f>SUM('C034'!$E$108:$E$109)</f>
        <v>0</v>
      </c>
      <c r="AL40" s="4944"/>
      <c r="AM40" s="4943">
        <f>SUM('C035'!$E$133:$E$134)</f>
        <v>0</v>
      </c>
      <c r="AN40" s="4944"/>
      <c r="AO40" s="4943">
        <f>SUM('C057'!$E$108:$E$109)</f>
        <v>0</v>
      </c>
      <c r="AP40" s="4944"/>
      <c r="AQ40" s="4943">
        <f>SUM('C078'!$E$113:$E$114)</f>
        <v>0</v>
      </c>
      <c r="AR40" s="4979"/>
      <c r="AS40" s="4952">
        <f t="shared" si="6"/>
        <v>184000</v>
      </c>
      <c r="AU40" s="4953">
        <f t="shared" si="7"/>
        <v>0</v>
      </c>
      <c r="AW40" s="4954"/>
    </row>
    <row r="41" spans="2:49">
      <c r="B41" s="4939">
        <v>2500</v>
      </c>
      <c r="C41" s="4943">
        <f>SUM('C06'!$E$179:$E$180)</f>
        <v>24000</v>
      </c>
      <c r="D41" s="4944"/>
      <c r="E41" s="4943">
        <f>SUM('C07'!$E$145:$E$146)</f>
        <v>0</v>
      </c>
      <c r="F41" s="4945"/>
      <c r="G41" s="4943">
        <f>SUM('C08'!$E$157:$E$158)</f>
        <v>0</v>
      </c>
      <c r="H41" s="4944"/>
      <c r="I41" s="4950"/>
      <c r="J41" s="4950"/>
      <c r="K41" s="4943">
        <f>SUM('C011'!$E$115:$E$116)</f>
        <v>0</v>
      </c>
      <c r="L41" s="4944"/>
      <c r="M41" s="4950"/>
      <c r="N41" s="4950"/>
      <c r="O41" s="4943">
        <f>SUM('C013'!$E$114:$E$115)</f>
        <v>0</v>
      </c>
      <c r="P41" s="4944"/>
      <c r="Q41" s="4943">
        <f>SUM('C014'!$E$114:$E$115)</f>
        <v>0</v>
      </c>
      <c r="R41" s="4944"/>
      <c r="S41" s="4943">
        <f>SUM('C015'!$E$114:$E$115)</f>
        <v>0</v>
      </c>
      <c r="T41" s="4944"/>
      <c r="U41" s="4948"/>
      <c r="V41" s="4949"/>
      <c r="W41" s="4943">
        <f>SUM('C018'!$E$112:$E$113)</f>
        <v>0</v>
      </c>
      <c r="X41" s="4944"/>
      <c r="Y41" s="4943">
        <f>SUM('C022'!$E$109:$E$110)</f>
        <v>0</v>
      </c>
      <c r="Z41" s="4944"/>
      <c r="AA41" s="4950"/>
      <c r="AB41" s="4950"/>
      <c r="AC41" s="4943">
        <f>SUM('C026'!$E$43:$E$44)</f>
        <v>0</v>
      </c>
      <c r="AD41" s="4944"/>
      <c r="AE41" s="4943">
        <f>SUM('C028'!$E$80:$E$81)</f>
        <v>0</v>
      </c>
      <c r="AF41" s="4944"/>
      <c r="AG41" s="4946">
        <f>SUM('C029'!$E$155:$E$156)</f>
        <v>0</v>
      </c>
      <c r="AH41" s="4944"/>
      <c r="AI41" s="4943">
        <f>SUM('C030'!$E$144:$E$145)</f>
        <v>0</v>
      </c>
      <c r="AJ41" s="4944"/>
      <c r="AK41" s="4946">
        <f>SUM('C034'!$E$121:$E$122)</f>
        <v>0</v>
      </c>
      <c r="AL41" s="4944"/>
      <c r="AM41" s="4943">
        <f>SUM('C035'!$E$149:$E$150)</f>
        <v>0</v>
      </c>
      <c r="AN41" s="4944"/>
      <c r="AO41" s="4943">
        <f>SUM('C057'!$E$132:$E$133)</f>
        <v>0</v>
      </c>
      <c r="AP41" s="4944"/>
      <c r="AQ41" s="4943">
        <f>SUM('C078'!$E$136:$E$137)</f>
        <v>0</v>
      </c>
      <c r="AR41" s="4979"/>
      <c r="AS41" s="4952">
        <f t="shared" si="6"/>
        <v>24000</v>
      </c>
      <c r="AU41" s="4953">
        <f t="shared" si="7"/>
        <v>0</v>
      </c>
      <c r="AW41" s="4954"/>
    </row>
    <row r="42" spans="2:49">
      <c r="B42" s="4939">
        <v>2600</v>
      </c>
      <c r="C42" s="4943">
        <f>SUM('C06'!$D$202,'C06'!$D$231)</f>
        <v>124066</v>
      </c>
      <c r="D42" s="4944"/>
      <c r="E42" s="4943">
        <f>SUM('C07'!$E$159)</f>
        <v>0</v>
      </c>
      <c r="F42" s="4945"/>
      <c r="G42" s="4943">
        <f>SUM('C08'!$E$171,'C08'!$E$209)</f>
        <v>62829</v>
      </c>
      <c r="H42" s="4944"/>
      <c r="I42" s="4943">
        <f>SUM('C010'!$E$145)</f>
        <v>0</v>
      </c>
      <c r="J42" s="4951"/>
      <c r="K42" s="4977">
        <f>SUM('C011'!$E$137)</f>
        <v>0</v>
      </c>
      <c r="L42" s="4976"/>
      <c r="M42" s="4943">
        <f>SUM('C012'!$E$106)</f>
        <v>0</v>
      </c>
      <c r="N42" s="4944"/>
      <c r="O42" s="4977">
        <f>SUM('C013'!$E$136)</f>
        <v>0</v>
      </c>
      <c r="P42" s="4976"/>
      <c r="Q42" s="4977">
        <f>SUM('C014'!$E$136)</f>
        <v>0</v>
      </c>
      <c r="R42" s="4976"/>
      <c r="S42" s="4943">
        <f>SUM('C015'!$E$136)</f>
        <v>0</v>
      </c>
      <c r="T42" s="4980"/>
      <c r="U42" s="4943">
        <f>SUM('C016'!$E$80)</f>
        <v>30000</v>
      </c>
      <c r="V42" s="4951"/>
      <c r="W42" s="4943">
        <f>SUM('C018'!$E$134,'C018'!$E$156)</f>
        <v>0</v>
      </c>
      <c r="X42" s="4944"/>
      <c r="Y42" s="4943">
        <f>SUM('C022'!$E$123)</f>
        <v>0</v>
      </c>
      <c r="Z42" s="4944"/>
      <c r="AA42" s="4946">
        <f>SUM('C024'!$E$63)</f>
        <v>13000</v>
      </c>
      <c r="AB42" s="4944"/>
      <c r="AC42" s="4950"/>
      <c r="AD42" s="4950"/>
      <c r="AE42" s="4950"/>
      <c r="AF42" s="4950"/>
      <c r="AG42" s="4943">
        <f>SUM('C029'!$E$117)</f>
        <v>0</v>
      </c>
      <c r="AH42" s="4944"/>
      <c r="AI42" s="4943">
        <f>SUM('C030'!$E$158)</f>
        <v>0</v>
      </c>
      <c r="AJ42" s="4944"/>
      <c r="AK42" s="4946">
        <f>SUM('C034'!$E$143)</f>
        <v>0</v>
      </c>
      <c r="AL42" s="4944"/>
      <c r="AM42" s="4977">
        <f>SUM('C035'!$E$163)</f>
        <v>0</v>
      </c>
      <c r="AN42" s="4976"/>
      <c r="AO42" s="4943">
        <f>SUM('C057'!$E$146)</f>
        <v>0</v>
      </c>
      <c r="AP42" s="4944"/>
      <c r="AQ42" s="4943">
        <f>SUM('C078'!$E$150)</f>
        <v>0</v>
      </c>
      <c r="AR42" s="4979"/>
      <c r="AS42" s="4952">
        <f t="shared" si="6"/>
        <v>199895</v>
      </c>
      <c r="AU42" s="4953">
        <f t="shared" si="7"/>
        <v>0</v>
      </c>
      <c r="AW42" s="4954"/>
    </row>
    <row r="43" spans="2:49">
      <c r="B43" s="4939">
        <v>2700</v>
      </c>
      <c r="C43" s="4943">
        <f>SUM('C06'!$E$261,'C06'!$E$271,'C06'!$E$286,'C06'!$E$299)</f>
        <v>53575</v>
      </c>
      <c r="D43" s="4944"/>
      <c r="E43" s="4943">
        <f>SUM('C07'!$E$198)</f>
        <v>0</v>
      </c>
      <c r="F43" s="4945"/>
      <c r="G43" s="4943">
        <f>SUM('C08'!$E$230,'C08'!$E$240,'C08'!$E$255,'C08'!$E$278)</f>
        <v>0</v>
      </c>
      <c r="H43" s="4944"/>
      <c r="I43" s="4950"/>
      <c r="J43" s="4950"/>
      <c r="K43" s="4943">
        <f>SUM('C011'!$E$161)</f>
        <v>0</v>
      </c>
      <c r="L43" s="4944"/>
      <c r="M43" s="4950"/>
      <c r="N43" s="4955"/>
      <c r="O43" s="4943">
        <f>SUM('C013'!$E$160)</f>
        <v>0</v>
      </c>
      <c r="P43" s="4944"/>
      <c r="Q43" s="4943">
        <f>SUM('C014'!$E$161)</f>
        <v>0</v>
      </c>
      <c r="R43" s="4944"/>
      <c r="S43" s="4958"/>
      <c r="T43" s="4958"/>
      <c r="U43" s="4943">
        <f>SUM('C016'!$E$100)</f>
        <v>0</v>
      </c>
      <c r="V43" s="4957"/>
      <c r="W43" s="4950"/>
      <c r="X43" s="4950"/>
      <c r="Y43" s="4950"/>
      <c r="Z43" s="4950"/>
      <c r="AA43" s="4950"/>
      <c r="AB43" s="4950"/>
      <c r="AC43" s="4950"/>
      <c r="AD43" s="4950"/>
      <c r="AE43" s="4950"/>
      <c r="AF43" s="4950"/>
      <c r="AG43" s="4950"/>
      <c r="AH43" s="4950"/>
      <c r="AI43" s="4943">
        <f>SUM('C030'!$E$184,'C030'!$E$195,'C030'!$E$223,'C030'!$E$235)</f>
        <v>0</v>
      </c>
      <c r="AJ43" s="4944"/>
      <c r="AK43" s="4943">
        <f>SUM('C034'!$E$167)</f>
        <v>0</v>
      </c>
      <c r="AL43" s="4959"/>
      <c r="AM43" s="4943">
        <f>SUM('C035'!$E$200)</f>
        <v>0</v>
      </c>
      <c r="AN43" s="4944"/>
      <c r="AO43" s="4950"/>
      <c r="AP43" s="4950"/>
      <c r="AQ43" s="4943">
        <f>SUM('C078'!$E$176,'C078'!$E$187,'C078'!$E$215,'C078'!$E$227)</f>
        <v>0</v>
      </c>
      <c r="AR43" s="4979"/>
      <c r="AS43" s="4952">
        <f t="shared" si="6"/>
        <v>53575</v>
      </c>
      <c r="AU43" s="4953">
        <f t="shared" si="7"/>
        <v>0</v>
      </c>
      <c r="AW43" s="4954"/>
    </row>
    <row r="44" spans="2:49">
      <c r="B44" s="4939">
        <v>2900</v>
      </c>
      <c r="C44" s="4943">
        <f>SUM('C06'!$E$321:$E$322)</f>
        <v>0</v>
      </c>
      <c r="D44" s="4944"/>
      <c r="E44" s="4943">
        <f>SUM('C07'!$E$213:$E$214)</f>
        <v>0</v>
      </c>
      <c r="F44" s="4945"/>
      <c r="G44" s="4943">
        <f>SUM('C08'!$E$291:$E$292)</f>
        <v>0</v>
      </c>
      <c r="H44" s="4944"/>
      <c r="I44" s="4956"/>
      <c r="J44" s="4949"/>
      <c r="K44" s="4943">
        <f>SUM('C011'!$E$166:$E$167)</f>
        <v>0</v>
      </c>
      <c r="L44" s="4944"/>
      <c r="M44" s="4956"/>
      <c r="N44" s="4956"/>
      <c r="O44" s="4943">
        <f>SUM('C013'!$E$165:$E$166)</f>
        <v>0</v>
      </c>
      <c r="P44" s="4944"/>
      <c r="Q44" s="4943">
        <f>SUM('C014'!$E$166:$E$167)</f>
        <v>0</v>
      </c>
      <c r="R44" s="4944"/>
      <c r="S44" s="4943">
        <f>SUM('C015'!$E$161:$E$162)</f>
        <v>0</v>
      </c>
      <c r="T44" s="4944"/>
      <c r="U44" s="4948"/>
      <c r="V44" s="4949"/>
      <c r="W44" s="4943">
        <f>SUM('C018'!$E$169:$E$170)</f>
        <v>0</v>
      </c>
      <c r="X44" s="4944"/>
      <c r="Y44" s="4943">
        <f>SUM('C022'!$E$156:$E$157)</f>
        <v>0</v>
      </c>
      <c r="Z44" s="4944"/>
      <c r="AA44" s="4956"/>
      <c r="AB44" s="4956"/>
      <c r="AC44" s="4943">
        <f>SUM('C026'!$E$57:$E$58)</f>
        <v>0</v>
      </c>
      <c r="AD44" s="4944"/>
      <c r="AE44" s="4960">
        <f>SUM('C028'!$E$94:$E$95)</f>
        <v>0</v>
      </c>
      <c r="AF44" s="4944"/>
      <c r="AG44" s="4981">
        <f>SUM('C029'!$E$169:$E$170)</f>
        <v>0</v>
      </c>
      <c r="AH44" s="4944"/>
      <c r="AI44" s="4943">
        <f>SUM('C030'!$E$248:$E$249)</f>
        <v>0</v>
      </c>
      <c r="AJ44" s="4944"/>
      <c r="AK44" s="4946">
        <f>SUM('C034'!$E$173:$E$174)</f>
        <v>0</v>
      </c>
      <c r="AL44" s="4944"/>
      <c r="AM44" s="4943">
        <f>SUM('C035'!$E$215:$E$216)</f>
        <v>0</v>
      </c>
      <c r="AN44" s="4944"/>
      <c r="AO44" s="4943">
        <f>SUM('C057'!$E$174:$E$175)</f>
        <v>0</v>
      </c>
      <c r="AP44" s="4944"/>
      <c r="AQ44" s="4946">
        <f>SUM('C078'!$E$240:$E$241)</f>
        <v>0</v>
      </c>
      <c r="AR44" s="4979"/>
      <c r="AS44" s="4952">
        <f t="shared" si="6"/>
        <v>0</v>
      </c>
      <c r="AU44" s="4953">
        <f t="shared" si="7"/>
        <v>0</v>
      </c>
      <c r="AW44" s="4954"/>
    </row>
    <row r="45" spans="2:49">
      <c r="B45" s="4939">
        <v>3000</v>
      </c>
      <c r="C45" s="4962"/>
      <c r="D45" s="4962"/>
      <c r="E45" s="4963">
        <f>SUM('C07'!$E$228:$E$229)</f>
        <v>0</v>
      </c>
      <c r="F45" s="4964"/>
      <c r="G45" s="4962"/>
      <c r="H45" s="4962"/>
      <c r="I45" s="4962"/>
      <c r="J45" s="4962"/>
      <c r="K45" s="4962"/>
      <c r="L45" s="4962"/>
      <c r="M45" s="4962"/>
      <c r="N45" s="4962"/>
      <c r="O45" s="4962"/>
      <c r="P45" s="4962"/>
      <c r="Q45" s="4962"/>
      <c r="R45" s="4962"/>
      <c r="S45" s="4962"/>
      <c r="T45" s="4965"/>
      <c r="U45" s="4962"/>
      <c r="V45" s="4962"/>
      <c r="W45" s="4962"/>
      <c r="X45" s="4962"/>
      <c r="Y45" s="4962"/>
      <c r="Z45" s="4962"/>
      <c r="AA45" s="4966">
        <f>SUM('C024'!$E$85:$E$86)</f>
        <v>90000</v>
      </c>
      <c r="AB45" s="4967"/>
      <c r="AC45" s="4962"/>
      <c r="AD45" s="4962"/>
      <c r="AE45" s="4962"/>
      <c r="AF45" s="4962"/>
      <c r="AG45" s="4962"/>
      <c r="AH45" s="4962"/>
      <c r="AI45" s="4962"/>
      <c r="AJ45" s="4965"/>
      <c r="AK45" s="4962"/>
      <c r="AL45" s="4962"/>
      <c r="AM45" s="4966">
        <f>SUM('C035'!$E$230:$E$231)</f>
        <v>0</v>
      </c>
      <c r="AN45" s="4967"/>
      <c r="AO45" s="4962"/>
      <c r="AP45" s="4962"/>
      <c r="AQ45" s="4962"/>
      <c r="AR45" s="4965"/>
      <c r="AS45" s="4952">
        <f t="shared" si="6"/>
        <v>90000</v>
      </c>
      <c r="AU45" s="4953">
        <f t="shared" si="7"/>
        <v>0</v>
      </c>
      <c r="AW45" s="4954"/>
    </row>
    <row r="46" spans="2:49">
      <c r="B46" s="4971"/>
      <c r="C46" s="4972">
        <f>SUM(C36:C45)</f>
        <v>1722507</v>
      </c>
      <c r="D46" s="4973">
        <f t="shared" ref="D46:AS46" si="8">SUM(D36:D45)</f>
        <v>0</v>
      </c>
      <c r="E46" s="4972">
        <f t="shared" si="8"/>
        <v>60000</v>
      </c>
      <c r="F46" s="4973">
        <f t="shared" si="8"/>
        <v>0</v>
      </c>
      <c r="G46" s="4972">
        <f t="shared" si="8"/>
        <v>134829</v>
      </c>
      <c r="H46" s="4973">
        <f t="shared" si="8"/>
        <v>0</v>
      </c>
      <c r="I46" s="4972">
        <f t="shared" si="8"/>
        <v>0</v>
      </c>
      <c r="J46" s="4973">
        <f t="shared" si="8"/>
        <v>0</v>
      </c>
      <c r="K46" s="4972">
        <f t="shared" si="8"/>
        <v>0</v>
      </c>
      <c r="L46" s="4973">
        <f t="shared" si="8"/>
        <v>0</v>
      </c>
      <c r="M46" s="4972">
        <f t="shared" si="8"/>
        <v>0</v>
      </c>
      <c r="N46" s="4973">
        <f t="shared" si="8"/>
        <v>0</v>
      </c>
      <c r="O46" s="4972">
        <f t="shared" si="8"/>
        <v>161497</v>
      </c>
      <c r="P46" s="4973">
        <f t="shared" si="8"/>
        <v>0</v>
      </c>
      <c r="Q46" s="4972">
        <f t="shared" si="8"/>
        <v>0</v>
      </c>
      <c r="R46" s="4973">
        <f t="shared" si="8"/>
        <v>0</v>
      </c>
      <c r="S46" s="4972">
        <f t="shared" si="8"/>
        <v>0</v>
      </c>
      <c r="T46" s="4973">
        <f t="shared" si="8"/>
        <v>0</v>
      </c>
      <c r="U46" s="4972">
        <f t="shared" si="8"/>
        <v>30000</v>
      </c>
      <c r="V46" s="4973">
        <f t="shared" si="8"/>
        <v>0</v>
      </c>
      <c r="W46" s="4972">
        <f t="shared" si="8"/>
        <v>7000</v>
      </c>
      <c r="X46" s="4973">
        <f t="shared" si="8"/>
        <v>0</v>
      </c>
      <c r="Y46" s="4972">
        <f t="shared" si="8"/>
        <v>0</v>
      </c>
      <c r="Z46" s="4973">
        <f t="shared" si="8"/>
        <v>0</v>
      </c>
      <c r="AA46" s="4972">
        <f t="shared" si="8"/>
        <v>103000</v>
      </c>
      <c r="AB46" s="4973">
        <f t="shared" si="8"/>
        <v>0</v>
      </c>
      <c r="AC46" s="4972">
        <f t="shared" si="8"/>
        <v>0</v>
      </c>
      <c r="AD46" s="4973">
        <f t="shared" si="8"/>
        <v>0</v>
      </c>
      <c r="AE46" s="4972">
        <f t="shared" si="8"/>
        <v>0</v>
      </c>
      <c r="AF46" s="4973">
        <f t="shared" si="8"/>
        <v>0</v>
      </c>
      <c r="AG46" s="4972">
        <f t="shared" si="8"/>
        <v>12000</v>
      </c>
      <c r="AH46" s="4973">
        <f t="shared" si="8"/>
        <v>0</v>
      </c>
      <c r="AI46" s="4972">
        <f t="shared" si="8"/>
        <v>3050</v>
      </c>
      <c r="AJ46" s="4973">
        <f t="shared" si="8"/>
        <v>0</v>
      </c>
      <c r="AK46" s="4972">
        <f t="shared" si="8"/>
        <v>230000</v>
      </c>
      <c r="AL46" s="4973">
        <f t="shared" si="8"/>
        <v>0</v>
      </c>
      <c r="AM46" s="4972">
        <f t="shared" si="8"/>
        <v>0</v>
      </c>
      <c r="AN46" s="4973">
        <f t="shared" si="8"/>
        <v>0</v>
      </c>
      <c r="AO46" s="4972">
        <f t="shared" si="8"/>
        <v>0</v>
      </c>
      <c r="AP46" s="4973">
        <f t="shared" si="8"/>
        <v>0</v>
      </c>
      <c r="AQ46" s="4972">
        <f t="shared" si="8"/>
        <v>0</v>
      </c>
      <c r="AR46" s="4973">
        <f t="shared" si="8"/>
        <v>0</v>
      </c>
      <c r="AS46" s="4972">
        <f t="shared" si="8"/>
        <v>2433883</v>
      </c>
      <c r="AU46" s="4974">
        <f t="shared" si="7"/>
        <v>0</v>
      </c>
      <c r="AW46" s="4954"/>
    </row>
  </sheetData>
  <sheetProtection algorithmName="SHA-512" hashValue="6Qs0gQuV/JGI6YsVVcsSW9WaoK+fotHc1zZXGaJIjAsCTohNXmyy/VAEln/kVmk5eeIk5FnonBnQiGztYP/dPg==" saltValue="OqA6uMnNYV1oU2wjhdTOaA==" spinCount="100000" sheet="1" objects="1" scenarios="1"/>
  <hyperlinks>
    <hyperlink ref="U1" location="Contents!A1" display="Return to Contents page"/>
  </hyperlinks>
  <pageMargins left="0.45" right="0.45" top="0.5" bottom="0.5" header="0.3" footer="0.3"/>
  <pageSetup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6" tint="-0.249977111117893"/>
    <pageSetUpPr fitToPage="1"/>
  </sheetPr>
  <dimension ref="A1:W79"/>
  <sheetViews>
    <sheetView zoomScaleNormal="100" workbookViewId="0">
      <selection activeCell="A18" sqref="A18"/>
    </sheetView>
  </sheetViews>
  <sheetFormatPr defaultRowHeight="12.75"/>
  <cols>
    <col min="1" max="1" width="33.42578125" style="4287" customWidth="1"/>
    <col min="2" max="2" width="8.28515625" style="4287" customWidth="1"/>
    <col min="3" max="3" width="12.5703125" style="4287" customWidth="1"/>
    <col min="4" max="4" width="13.42578125" style="4287" customWidth="1"/>
    <col min="5" max="5" width="1.42578125" style="4287" customWidth="1"/>
    <col min="6" max="6" width="8.5703125" style="4287" customWidth="1"/>
    <col min="7" max="7" width="12.42578125" style="4287" customWidth="1"/>
    <col min="8" max="8" width="12.85546875" style="4287" customWidth="1"/>
    <col min="9" max="9" width="1.42578125" style="4287" customWidth="1"/>
    <col min="10" max="10" width="8.5703125" style="4287" customWidth="1"/>
    <col min="11" max="11" width="12.42578125" style="4287" customWidth="1"/>
    <col min="12" max="12" width="13.5703125" style="4287" customWidth="1"/>
    <col min="13" max="19" width="9.140625" style="4287"/>
    <col min="20" max="20" width="33.28515625" style="4287" bestFit="1" customWidth="1"/>
    <col min="21" max="23" width="9.5703125" style="4287" bestFit="1" customWidth="1"/>
    <col min="24" max="16384" width="9.140625" style="4287"/>
  </cols>
  <sheetData>
    <row r="1" spans="1:23">
      <c r="C1" s="4906"/>
      <c r="D1" s="4906" t="s">
        <v>1019</v>
      </c>
      <c r="F1" s="4907">
        <f>OPEN!B4</f>
        <v>270</v>
      </c>
      <c r="M1" s="4288" t="s">
        <v>1980</v>
      </c>
    </row>
    <row r="2" spans="1:23">
      <c r="A2" s="5307" t="s">
        <v>2386</v>
      </c>
      <c r="B2" s="5307"/>
      <c r="C2" s="5307"/>
      <c r="D2" s="5307"/>
      <c r="E2" s="5307"/>
      <c r="F2" s="5307"/>
      <c r="G2" s="5307"/>
      <c r="H2" s="5307"/>
      <c r="I2" s="5307"/>
      <c r="J2" s="5307"/>
      <c r="K2" s="5307"/>
      <c r="L2" s="5307"/>
    </row>
    <row r="4" spans="1:23">
      <c r="B4" s="5307" t="str">
        <f>OPEN!N12</f>
        <v>2014-15 Actual</v>
      </c>
      <c r="C4" s="5307"/>
      <c r="D4" s="5307"/>
      <c r="F4" s="5307" t="str">
        <f>OPEN!O12</f>
        <v>2015-16 Actual</v>
      </c>
      <c r="G4" s="5307"/>
      <c r="H4" s="5307"/>
      <c r="J4" s="5307" t="str">
        <f>OPEN!P12</f>
        <v>2016-17 Contracted</v>
      </c>
      <c r="K4" s="5307"/>
      <c r="L4" s="5307"/>
    </row>
    <row r="5" spans="1:23" ht="13.5" thickBot="1">
      <c r="B5" s="4781" t="s">
        <v>2387</v>
      </c>
      <c r="C5" s="4781" t="s">
        <v>2388</v>
      </c>
      <c r="D5" s="4781" t="s">
        <v>2389</v>
      </c>
      <c r="F5" s="4781" t="s">
        <v>2387</v>
      </c>
      <c r="G5" s="4781" t="s">
        <v>2388</v>
      </c>
      <c r="H5" s="4781" t="s">
        <v>2389</v>
      </c>
      <c r="J5" s="4781" t="s">
        <v>2387</v>
      </c>
      <c r="K5" s="4781" t="s">
        <v>2388</v>
      </c>
      <c r="L5" s="4781" t="s">
        <v>2389</v>
      </c>
      <c r="T5" s="4464" t="s">
        <v>2390</v>
      </c>
      <c r="U5" s="4307" t="str">
        <f>OPEN!$N$4</f>
        <v>2014-2015</v>
      </c>
      <c r="V5" s="4307" t="str">
        <f>OPEN!$O$4</f>
        <v>2015-2016</v>
      </c>
      <c r="W5" s="4307" t="str">
        <f>OPEN!$P$4</f>
        <v>2016-2017</v>
      </c>
    </row>
    <row r="6" spans="1:23">
      <c r="A6" s="4908" t="s">
        <v>2391</v>
      </c>
      <c r="B6" s="4909">
        <v>3</v>
      </c>
      <c r="C6" s="4437">
        <v>266</v>
      </c>
      <c r="D6" s="4910">
        <f>IF(B6&lt;1,C6,C6/B6)</f>
        <v>89</v>
      </c>
      <c r="F6" s="4909">
        <v>2</v>
      </c>
      <c r="G6" s="4437">
        <v>200040</v>
      </c>
      <c r="H6" s="4910">
        <f>IF(F6&lt;1,G6,G6/F6)</f>
        <v>100020</v>
      </c>
      <c r="J6" s="4909">
        <v>2</v>
      </c>
      <c r="K6" s="4437">
        <v>204040</v>
      </c>
      <c r="L6" s="4910">
        <f>IF(J6&lt;1,K6,K6/J6)</f>
        <v>102020</v>
      </c>
      <c r="T6" s="4908" t="s">
        <v>2391</v>
      </c>
      <c r="U6" s="4561">
        <f>D6</f>
        <v>89</v>
      </c>
      <c r="V6" s="4561">
        <f>H6</f>
        <v>100020</v>
      </c>
      <c r="W6" s="4561">
        <f>L6</f>
        <v>102020</v>
      </c>
    </row>
    <row r="7" spans="1:23">
      <c r="A7" s="4908" t="s">
        <v>2392</v>
      </c>
      <c r="B7" s="4909">
        <v>31</v>
      </c>
      <c r="C7" s="4437">
        <v>1391069</v>
      </c>
      <c r="D7" s="4910">
        <f>IF(B7&lt;1,C7,C7/B7)</f>
        <v>44873</v>
      </c>
      <c r="F7" s="4909">
        <v>30</v>
      </c>
      <c r="G7" s="4437">
        <v>1243966</v>
      </c>
      <c r="H7" s="4910">
        <f>IF(F7&lt;1,G7,G7/F7)</f>
        <v>41466</v>
      </c>
      <c r="J7" s="4909">
        <v>30</v>
      </c>
      <c r="K7" s="4437">
        <v>1472536</v>
      </c>
      <c r="L7" s="4910">
        <f>IF(J7&lt;1,K7,K7/J7)</f>
        <v>49085</v>
      </c>
      <c r="T7" s="4908" t="s">
        <v>2392</v>
      </c>
      <c r="U7" s="4561">
        <f t="shared" ref="U7:U9" si="0">D7</f>
        <v>44873</v>
      </c>
      <c r="V7" s="4561">
        <f t="shared" ref="V7:V9" si="1">H7</f>
        <v>41466</v>
      </c>
      <c r="W7" s="4561">
        <f t="shared" ref="W7:W9" si="2">L7</f>
        <v>49085</v>
      </c>
    </row>
    <row r="8" spans="1:23">
      <c r="A8" s="4908" t="s">
        <v>2393</v>
      </c>
      <c r="B8" s="4909">
        <v>2</v>
      </c>
      <c r="C8" s="4437">
        <v>105025</v>
      </c>
      <c r="D8" s="4910">
        <f>IF(B8&lt;1,C8,C8/B8)</f>
        <v>52513</v>
      </c>
      <c r="F8" s="4909">
        <v>3</v>
      </c>
      <c r="G8" s="4437">
        <v>126734</v>
      </c>
      <c r="H8" s="4910">
        <f>IF(F8&lt;1,G8,G8/F8)</f>
        <v>42245</v>
      </c>
      <c r="J8" s="4909">
        <v>3</v>
      </c>
      <c r="K8" s="4437">
        <v>128834</v>
      </c>
      <c r="L8" s="4910">
        <f>IF(J8&lt;1,K8,K8/J8)</f>
        <v>42945</v>
      </c>
      <c r="T8" s="4908" t="s">
        <v>2393</v>
      </c>
      <c r="U8" s="4561">
        <f t="shared" si="0"/>
        <v>52513</v>
      </c>
      <c r="V8" s="4561">
        <f t="shared" si="1"/>
        <v>42245</v>
      </c>
      <c r="W8" s="4561">
        <f t="shared" si="2"/>
        <v>42945</v>
      </c>
    </row>
    <row r="9" spans="1:23">
      <c r="A9" s="4908" t="s">
        <v>2394</v>
      </c>
      <c r="B9" s="4909">
        <v>17</v>
      </c>
      <c r="C9" s="4437">
        <v>463500</v>
      </c>
      <c r="D9" s="4910">
        <f>IF(B9&lt;1,C9,C9/B9)</f>
        <v>27265</v>
      </c>
      <c r="F9" s="4909">
        <v>16</v>
      </c>
      <c r="G9" s="4437">
        <v>509962</v>
      </c>
      <c r="H9" s="4910">
        <f>IF(F9&lt;1,G9,G9/F9)</f>
        <v>31873</v>
      </c>
      <c r="J9" s="4909">
        <v>16</v>
      </c>
      <c r="K9" s="4437">
        <v>468958</v>
      </c>
      <c r="L9" s="4910">
        <f>IF(J9&lt;1,K9,K9/J9)</f>
        <v>29310</v>
      </c>
      <c r="T9" s="4908" t="s">
        <v>2394</v>
      </c>
      <c r="U9" s="4561">
        <f t="shared" si="0"/>
        <v>27265</v>
      </c>
      <c r="V9" s="4561">
        <f t="shared" si="1"/>
        <v>31873</v>
      </c>
      <c r="W9" s="4561">
        <f t="shared" si="2"/>
        <v>29310</v>
      </c>
    </row>
    <row r="10" spans="1:23">
      <c r="A10" s="4908" t="s">
        <v>2395</v>
      </c>
      <c r="B10" s="4911" t="s">
        <v>2396</v>
      </c>
      <c r="C10" s="4437"/>
      <c r="D10" s="4912" t="s">
        <v>2397</v>
      </c>
      <c r="F10" s="4911" t="s">
        <v>2396</v>
      </c>
      <c r="G10" s="4437"/>
      <c r="H10" s="4912" t="s">
        <v>2397</v>
      </c>
      <c r="J10" s="4911" t="s">
        <v>2396</v>
      </c>
      <c r="K10" s="4437"/>
      <c r="L10" s="4912" t="s">
        <v>2397</v>
      </c>
    </row>
    <row r="11" spans="1:23" s="4305" customFormat="1">
      <c r="A11" s="4775"/>
      <c r="B11" s="4913"/>
      <c r="C11" s="4914"/>
      <c r="D11" s="4915"/>
      <c r="F11" s="4913"/>
      <c r="G11" s="4914"/>
      <c r="H11" s="4915"/>
      <c r="J11" s="4913"/>
      <c r="K11" s="4914"/>
      <c r="L11" s="4915"/>
    </row>
    <row r="12" spans="1:23" s="4305" customFormat="1">
      <c r="A12" s="4775"/>
      <c r="B12" s="4913"/>
      <c r="C12" s="4914"/>
      <c r="D12" s="4915"/>
      <c r="F12" s="4913"/>
      <c r="G12" s="4914"/>
      <c r="H12" s="4915"/>
      <c r="J12" s="4913"/>
      <c r="K12" s="4914"/>
      <c r="L12" s="4915"/>
    </row>
    <row r="13" spans="1:23" s="4305" customFormat="1">
      <c r="A13" s="4775"/>
      <c r="B13" s="4913"/>
      <c r="C13" s="4914"/>
      <c r="D13" s="4915"/>
      <c r="F13" s="4913"/>
      <c r="G13" s="4914"/>
      <c r="H13" s="4915"/>
      <c r="J13" s="4913"/>
      <c r="K13" s="4914"/>
      <c r="L13" s="4915"/>
    </row>
    <row r="14" spans="1:23" s="4305" customFormat="1">
      <c r="A14" s="4775"/>
      <c r="B14" s="4913"/>
      <c r="C14" s="4914"/>
      <c r="D14" s="4915"/>
      <c r="F14" s="4913"/>
      <c r="G14" s="4914"/>
      <c r="H14" s="4915"/>
      <c r="J14" s="4913"/>
      <c r="K14" s="4914"/>
      <c r="L14" s="4915"/>
    </row>
    <row r="15" spans="1:23" s="4305" customFormat="1">
      <c r="A15" s="4775"/>
      <c r="B15" s="4913"/>
      <c r="C15" s="4914"/>
      <c r="D15" s="4915"/>
      <c r="F15" s="4913"/>
      <c r="G15" s="4914"/>
      <c r="H15" s="4915"/>
      <c r="J15" s="4913"/>
      <c r="K15" s="4914"/>
      <c r="L15" s="4915"/>
    </row>
    <row r="16" spans="1:23" s="4305" customFormat="1">
      <c r="A16" s="4775"/>
      <c r="B16" s="4913"/>
      <c r="C16" s="4914"/>
      <c r="D16" s="4915"/>
      <c r="F16" s="4913"/>
      <c r="G16" s="4914"/>
      <c r="H16" s="4915"/>
      <c r="J16" s="4913"/>
      <c r="K16" s="4914"/>
      <c r="L16" s="4915"/>
    </row>
    <row r="17" spans="1:12" s="4305" customFormat="1">
      <c r="A17" s="4775"/>
      <c r="B17" s="4913"/>
      <c r="C17" s="4914"/>
      <c r="D17" s="4915"/>
      <c r="F17" s="4913"/>
      <c r="G17" s="4914"/>
      <c r="H17" s="4915"/>
      <c r="J17" s="4913"/>
      <c r="K17" s="4914"/>
      <c r="L17" s="4915"/>
    </row>
    <row r="18" spans="1:12" s="4305" customFormat="1">
      <c r="A18" s="4775"/>
      <c r="B18" s="4913"/>
      <c r="C18" s="4914"/>
      <c r="D18" s="4915"/>
      <c r="F18" s="4913"/>
      <c r="G18" s="4914"/>
      <c r="H18" s="4915"/>
      <c r="J18" s="4913"/>
      <c r="K18" s="4914"/>
      <c r="L18" s="4915"/>
    </row>
    <row r="19" spans="1:12" s="4305" customFormat="1">
      <c r="A19" s="4775"/>
      <c r="B19" s="4913"/>
      <c r="C19" s="4914"/>
      <c r="D19" s="4915"/>
      <c r="F19" s="4913"/>
      <c r="G19" s="4914"/>
      <c r="H19" s="4915"/>
      <c r="J19" s="4913"/>
      <c r="K19" s="4914"/>
      <c r="L19" s="4915"/>
    </row>
    <row r="20" spans="1:12" s="4305" customFormat="1">
      <c r="A20" s="4775"/>
      <c r="B20" s="4913"/>
      <c r="C20" s="4914"/>
      <c r="D20" s="4915"/>
      <c r="F20" s="4913"/>
      <c r="G20" s="4914"/>
      <c r="H20" s="4915"/>
      <c r="J20" s="4913"/>
      <c r="K20" s="4914"/>
      <c r="L20" s="4915"/>
    </row>
    <row r="21" spans="1:12" s="4305" customFormat="1">
      <c r="A21" s="4775"/>
      <c r="B21" s="4913"/>
      <c r="C21" s="4914"/>
      <c r="D21" s="4915"/>
      <c r="F21" s="4913"/>
      <c r="G21" s="4914"/>
      <c r="H21" s="4915"/>
      <c r="J21" s="4913"/>
      <c r="K21" s="4914"/>
      <c r="L21" s="4915"/>
    </row>
    <row r="22" spans="1:12" s="4305" customFormat="1">
      <c r="A22" s="4775"/>
      <c r="B22" s="4913"/>
      <c r="C22" s="4914"/>
      <c r="D22" s="4915"/>
      <c r="F22" s="4913"/>
      <c r="G22" s="4914"/>
      <c r="H22" s="4915"/>
      <c r="J22" s="4913"/>
      <c r="K22" s="4914"/>
      <c r="L22" s="4915"/>
    </row>
    <row r="23" spans="1:12" s="4305" customFormat="1">
      <c r="A23" s="4775"/>
      <c r="B23" s="4913"/>
      <c r="C23" s="4914"/>
      <c r="D23" s="4915"/>
      <c r="F23" s="4913"/>
      <c r="G23" s="4914"/>
      <c r="H23" s="4915"/>
      <c r="J23" s="4913"/>
      <c r="K23" s="4914"/>
      <c r="L23" s="4915"/>
    </row>
    <row r="24" spans="1:12" s="4305" customFormat="1">
      <c r="A24" s="4775"/>
      <c r="B24" s="4913"/>
      <c r="C24" s="4914"/>
      <c r="D24" s="4915"/>
      <c r="F24" s="4913"/>
      <c r="G24" s="4914"/>
      <c r="H24" s="4915"/>
      <c r="J24" s="4913"/>
      <c r="K24" s="4914"/>
      <c r="L24" s="4915"/>
    </row>
    <row r="25" spans="1:12" s="4305" customFormat="1">
      <c r="A25" s="4775"/>
      <c r="B25" s="4913"/>
      <c r="C25" s="4914"/>
      <c r="D25" s="4915"/>
      <c r="F25" s="4913"/>
      <c r="G25" s="4914"/>
      <c r="H25" s="4915"/>
      <c r="J25" s="4913"/>
      <c r="K25" s="4914"/>
      <c r="L25" s="4915"/>
    </row>
    <row r="26" spans="1:12" s="4305" customFormat="1">
      <c r="A26" s="4775"/>
      <c r="B26" s="4913"/>
      <c r="C26" s="4914"/>
      <c r="D26" s="4915"/>
      <c r="F26" s="4913"/>
      <c r="G26" s="4914"/>
      <c r="H26" s="4915"/>
      <c r="J26" s="4913"/>
      <c r="K26" s="4914"/>
      <c r="L26" s="4915"/>
    </row>
    <row r="28" spans="1:12" ht="17.25" thickBot="1">
      <c r="A28" s="4916" t="s">
        <v>2398</v>
      </c>
      <c r="B28" s="4917"/>
      <c r="C28" s="4917"/>
      <c r="D28" s="4917"/>
      <c r="E28" s="4917"/>
      <c r="F28" s="4917"/>
      <c r="G28" s="4917"/>
      <c r="H28" s="4917"/>
      <c r="I28" s="4917"/>
      <c r="J28" s="4917"/>
      <c r="K28" s="4917"/>
      <c r="L28" s="4917"/>
    </row>
    <row r="29" spans="1:12" ht="16.5">
      <c r="A29" s="4918" t="s">
        <v>2399</v>
      </c>
      <c r="B29" s="4919" t="s">
        <v>2400</v>
      </c>
      <c r="C29" s="4776"/>
      <c r="D29" s="4776"/>
      <c r="E29" s="4776"/>
      <c r="F29" s="4776"/>
      <c r="G29" s="4776"/>
      <c r="H29" s="4776"/>
      <c r="I29" s="4776"/>
      <c r="J29" s="4776"/>
      <c r="K29" s="4776"/>
      <c r="L29" s="4776"/>
    </row>
    <row r="30" spans="1:12" ht="16.5">
      <c r="A30" s="4920"/>
      <c r="B30" s="4919" t="s">
        <v>2401</v>
      </c>
      <c r="C30" s="4776"/>
      <c r="D30" s="4776"/>
      <c r="E30" s="4776"/>
      <c r="F30" s="4776"/>
      <c r="G30" s="4776"/>
      <c r="H30" s="4776"/>
      <c r="I30" s="4776"/>
      <c r="J30" s="4776"/>
      <c r="K30" s="4776"/>
      <c r="L30" s="4776"/>
    </row>
    <row r="31" spans="1:12" ht="16.5">
      <c r="A31" s="4920"/>
      <c r="B31" s="4919" t="s">
        <v>2402</v>
      </c>
      <c r="C31" s="4776"/>
      <c r="D31" s="4776"/>
      <c r="E31" s="4776"/>
      <c r="F31" s="4776"/>
      <c r="G31" s="4776"/>
      <c r="H31" s="4776"/>
      <c r="I31" s="4776"/>
      <c r="J31" s="4776"/>
      <c r="K31" s="4776"/>
      <c r="L31" s="4776"/>
    </row>
    <row r="32" spans="1:12" ht="16.5">
      <c r="A32" s="4920"/>
      <c r="B32" s="4919"/>
      <c r="C32" s="4776"/>
      <c r="D32" s="4776"/>
      <c r="E32" s="4776"/>
      <c r="F32" s="4776"/>
      <c r="G32" s="4776"/>
      <c r="H32" s="4776"/>
      <c r="I32" s="4776"/>
      <c r="J32" s="4776"/>
      <c r="K32" s="4776"/>
      <c r="L32" s="4776"/>
    </row>
    <row r="33" spans="1:12" ht="16.5">
      <c r="A33" s="4920"/>
      <c r="B33" s="4919" t="s">
        <v>2403</v>
      </c>
      <c r="C33" s="4776"/>
      <c r="D33" s="4776"/>
      <c r="E33" s="4776"/>
      <c r="F33" s="4776"/>
      <c r="G33" s="4776"/>
      <c r="H33" s="4776"/>
      <c r="I33" s="4776"/>
      <c r="J33" s="4776"/>
      <c r="K33" s="4776"/>
      <c r="L33" s="4776"/>
    </row>
    <row r="34" spans="1:12" ht="16.5">
      <c r="A34" s="4920"/>
      <c r="B34" s="4919" t="s">
        <v>2404</v>
      </c>
      <c r="C34" s="4776"/>
      <c r="D34" s="4776"/>
      <c r="E34" s="4776"/>
      <c r="F34" s="4776"/>
      <c r="G34" s="4776"/>
      <c r="H34" s="4776"/>
      <c r="I34" s="4776"/>
      <c r="J34" s="4776"/>
      <c r="K34" s="4776"/>
      <c r="L34" s="4776"/>
    </row>
    <row r="35" spans="1:12" ht="17.25" thickBot="1">
      <c r="A35" s="4921"/>
      <c r="B35" s="4922" t="s">
        <v>2405</v>
      </c>
      <c r="C35" s="4917"/>
      <c r="D35" s="4917"/>
      <c r="E35" s="4917"/>
      <c r="F35" s="4917"/>
      <c r="G35" s="4917"/>
      <c r="H35" s="4917"/>
      <c r="I35" s="4917"/>
      <c r="J35" s="4917"/>
      <c r="K35" s="4917"/>
      <c r="L35" s="4917"/>
    </row>
    <row r="36" spans="1:12">
      <c r="A36" s="4920"/>
      <c r="B36" s="4776"/>
      <c r="C36" s="4776"/>
      <c r="D36" s="4776"/>
      <c r="E36" s="4776"/>
      <c r="F36" s="4776"/>
      <c r="G36" s="4776"/>
      <c r="H36" s="4776"/>
      <c r="I36" s="4776"/>
      <c r="J36" s="4776"/>
      <c r="K36" s="4776"/>
      <c r="L36" s="4776"/>
    </row>
    <row r="37" spans="1:12" ht="16.5">
      <c r="A37" s="4918" t="s">
        <v>2406</v>
      </c>
      <c r="B37" s="4919" t="s">
        <v>2407</v>
      </c>
      <c r="C37" s="4776"/>
      <c r="D37" s="4776"/>
      <c r="E37" s="4776"/>
      <c r="F37" s="4776"/>
      <c r="G37" s="4776"/>
      <c r="H37" s="4776"/>
      <c r="I37" s="4776"/>
      <c r="J37" s="4776"/>
      <c r="K37" s="4776"/>
      <c r="L37" s="4776"/>
    </row>
    <row r="38" spans="1:12" ht="17.25" thickBot="1">
      <c r="A38" s="4921"/>
      <c r="B38" s="4922" t="s">
        <v>2408</v>
      </c>
      <c r="C38" s="4917"/>
      <c r="D38" s="4917"/>
      <c r="E38" s="4917"/>
      <c r="F38" s="4917"/>
      <c r="G38" s="4917"/>
      <c r="H38" s="4917"/>
      <c r="I38" s="4917"/>
      <c r="J38" s="4917"/>
      <c r="K38" s="4917"/>
      <c r="L38" s="4917"/>
    </row>
    <row r="39" spans="1:12">
      <c r="A39" s="4923"/>
      <c r="B39" s="4773"/>
      <c r="C39" s="4773"/>
      <c r="D39" s="4773"/>
      <c r="E39" s="4773"/>
      <c r="F39" s="4773"/>
      <c r="G39" s="4773"/>
      <c r="H39" s="4773"/>
      <c r="I39" s="4776"/>
      <c r="J39" s="4776"/>
      <c r="K39" s="4776"/>
      <c r="L39" s="4776"/>
    </row>
    <row r="40" spans="1:12" ht="16.5">
      <c r="A40" s="4924" t="s">
        <v>2409</v>
      </c>
      <c r="B40" s="4925" t="s">
        <v>2410</v>
      </c>
      <c r="C40" s="4773"/>
      <c r="D40" s="4773"/>
      <c r="E40" s="4773"/>
      <c r="F40" s="4773"/>
      <c r="G40" s="4773"/>
      <c r="H40" s="4773"/>
      <c r="I40" s="4776"/>
      <c r="J40" s="4776"/>
      <c r="K40" s="4776"/>
      <c r="L40" s="4776"/>
    </row>
    <row r="41" spans="1:12" ht="17.25" thickBot="1">
      <c r="A41" s="4921"/>
      <c r="B41" s="4926" t="s">
        <v>2411</v>
      </c>
      <c r="C41" s="4917"/>
      <c r="D41" s="4917"/>
      <c r="E41" s="4917"/>
      <c r="F41" s="4917"/>
      <c r="G41" s="4917"/>
      <c r="H41" s="4917"/>
      <c r="I41" s="4917"/>
      <c r="J41" s="4917"/>
      <c r="K41" s="4917"/>
      <c r="L41" s="4917"/>
    </row>
    <row r="42" spans="1:12">
      <c r="A42" s="4920"/>
      <c r="B42" s="4776"/>
      <c r="C42" s="4776"/>
      <c r="D42" s="4776"/>
      <c r="E42" s="4776"/>
      <c r="F42" s="4776"/>
      <c r="G42" s="4776"/>
      <c r="H42" s="4776"/>
      <c r="I42" s="4776"/>
      <c r="J42" s="4776"/>
      <c r="K42" s="4776"/>
      <c r="L42" s="4776"/>
    </row>
    <row r="43" spans="1:12" ht="16.5">
      <c r="A43" s="4918" t="s">
        <v>2412</v>
      </c>
      <c r="B43" s="4919" t="s">
        <v>2413</v>
      </c>
      <c r="C43" s="4776"/>
      <c r="D43" s="4776"/>
      <c r="E43" s="4776"/>
      <c r="F43" s="4776"/>
      <c r="G43" s="4776"/>
      <c r="H43" s="4776"/>
      <c r="I43" s="4776"/>
      <c r="J43" s="4776"/>
      <c r="K43" s="4776"/>
      <c r="L43" s="4776"/>
    </row>
    <row r="44" spans="1:12" ht="17.25" thickBot="1">
      <c r="A44" s="4921"/>
      <c r="B44" s="4922" t="s">
        <v>2414</v>
      </c>
      <c r="C44" s="4917"/>
      <c r="D44" s="4917"/>
      <c r="E44" s="4917"/>
      <c r="F44" s="4917"/>
      <c r="G44" s="4917"/>
      <c r="H44" s="4917"/>
      <c r="I44" s="4917"/>
      <c r="J44" s="4917"/>
      <c r="K44" s="4917"/>
      <c r="L44" s="4917"/>
    </row>
    <row r="45" spans="1:12">
      <c r="A45" s="4920"/>
      <c r="B45" s="4776"/>
      <c r="C45" s="4776"/>
      <c r="D45" s="4776"/>
      <c r="E45" s="4776"/>
      <c r="F45" s="4776"/>
      <c r="G45" s="4776"/>
      <c r="H45" s="4776"/>
      <c r="I45" s="4776"/>
      <c r="J45" s="4776"/>
      <c r="K45" s="4776"/>
      <c r="L45" s="4776"/>
    </row>
    <row r="46" spans="1:12" ht="17.25" thickBot="1">
      <c r="A46" s="4927" t="s">
        <v>2415</v>
      </c>
      <c r="B46" s="4922" t="s">
        <v>2416</v>
      </c>
      <c r="C46" s="4917"/>
      <c r="D46" s="4917"/>
      <c r="E46" s="4917"/>
      <c r="F46" s="4917"/>
      <c r="G46" s="4917"/>
      <c r="H46" s="4917"/>
      <c r="I46" s="4917"/>
      <c r="J46" s="4917"/>
      <c r="K46" s="4917"/>
      <c r="L46" s="4917"/>
    </row>
    <row r="47" spans="1:12">
      <c r="A47" s="4920"/>
      <c r="B47" s="4776"/>
      <c r="C47" s="4776"/>
      <c r="D47" s="4776"/>
      <c r="E47" s="4776"/>
      <c r="F47" s="4776"/>
      <c r="G47" s="4776"/>
      <c r="H47" s="4776"/>
      <c r="I47" s="4776"/>
      <c r="J47" s="4776"/>
      <c r="K47" s="4776"/>
      <c r="L47" s="4776"/>
    </row>
    <row r="48" spans="1:12" ht="16.5">
      <c r="A48" s="4918" t="s">
        <v>2417</v>
      </c>
      <c r="B48" s="4919" t="s">
        <v>2418</v>
      </c>
      <c r="C48" s="4776"/>
      <c r="D48" s="4776"/>
      <c r="E48" s="4776"/>
      <c r="F48" s="4776"/>
      <c r="G48" s="4776"/>
      <c r="H48" s="4776"/>
      <c r="I48" s="4776"/>
      <c r="J48" s="4776"/>
      <c r="K48" s="4776"/>
      <c r="L48" s="4776"/>
    </row>
    <row r="49" spans="1:12" ht="17.25" thickBot="1">
      <c r="A49" s="4921"/>
      <c r="B49" s="4922" t="s">
        <v>2419</v>
      </c>
      <c r="C49" s="4917"/>
      <c r="D49" s="4917"/>
      <c r="E49" s="4917"/>
      <c r="F49" s="4917"/>
      <c r="G49" s="4917"/>
      <c r="H49" s="4917"/>
      <c r="I49" s="4917"/>
      <c r="J49" s="4917"/>
      <c r="K49" s="4917"/>
      <c r="L49" s="4917"/>
    </row>
    <row r="50" spans="1:12">
      <c r="A50" s="4920"/>
      <c r="B50" s="4776"/>
      <c r="C50" s="4776"/>
      <c r="D50" s="4776"/>
      <c r="E50" s="4776"/>
      <c r="F50" s="4776"/>
      <c r="G50" s="4776"/>
      <c r="H50" s="4776"/>
      <c r="I50" s="4776"/>
      <c r="J50" s="4776"/>
      <c r="K50" s="4776"/>
      <c r="L50" s="4776"/>
    </row>
    <row r="51" spans="1:12" ht="16.5">
      <c r="A51" s="4928" t="s">
        <v>2420</v>
      </c>
      <c r="B51" s="4776"/>
      <c r="C51" s="4776"/>
      <c r="D51" s="4776"/>
      <c r="E51" s="4776"/>
      <c r="F51" s="4776"/>
      <c r="G51" s="4776"/>
      <c r="H51" s="4776"/>
      <c r="I51" s="4776"/>
      <c r="J51" s="4776"/>
      <c r="K51" s="4776"/>
      <c r="L51" s="4776"/>
    </row>
    <row r="52" spans="1:12" ht="16.5">
      <c r="A52" s="4919" t="s">
        <v>2421</v>
      </c>
      <c r="B52" s="4776"/>
      <c r="C52" s="4776"/>
      <c r="D52" s="4776"/>
      <c r="E52" s="4776"/>
      <c r="F52" s="4776"/>
      <c r="G52" s="4776"/>
      <c r="H52" s="4776"/>
      <c r="I52" s="4776"/>
      <c r="J52" s="4776"/>
      <c r="K52" s="4776"/>
      <c r="L52" s="4776"/>
    </row>
    <row r="53" spans="1:12" ht="16.5">
      <c r="A53" s="4919" t="s">
        <v>2422</v>
      </c>
      <c r="B53" s="4776"/>
      <c r="C53" s="4776"/>
      <c r="D53" s="4776"/>
      <c r="E53" s="4776"/>
      <c r="F53" s="4776"/>
      <c r="G53" s="4776"/>
      <c r="H53" s="4776"/>
      <c r="I53" s="4776"/>
      <c r="J53" s="4776"/>
      <c r="K53" s="4776"/>
      <c r="L53" s="4776"/>
    </row>
    <row r="54" spans="1:12" ht="10.5" customHeight="1">
      <c r="A54" s="4919"/>
      <c r="B54" s="4776"/>
      <c r="C54" s="4776"/>
      <c r="D54" s="4776"/>
      <c r="E54" s="4776"/>
      <c r="F54" s="4776"/>
      <c r="G54" s="4776"/>
      <c r="H54" s="4776"/>
      <c r="I54" s="4776"/>
      <c r="J54" s="4776"/>
      <c r="K54" s="4776"/>
      <c r="L54" s="4776"/>
    </row>
    <row r="55" spans="1:12" ht="16.5">
      <c r="A55" s="4919" t="s">
        <v>2423</v>
      </c>
      <c r="B55" s="4776"/>
      <c r="C55" s="4776"/>
      <c r="D55" s="4776"/>
      <c r="E55" s="4776"/>
      <c r="F55" s="4776"/>
      <c r="G55" s="4776"/>
      <c r="H55" s="4776"/>
      <c r="I55" s="4776"/>
      <c r="J55" s="4776"/>
      <c r="K55" s="4776"/>
      <c r="L55" s="4776"/>
    </row>
    <row r="56" spans="1:12" ht="11.25" customHeight="1">
      <c r="A56" s="4919"/>
      <c r="B56" s="4776"/>
      <c r="C56" s="4776"/>
      <c r="D56" s="4776"/>
      <c r="E56" s="4776"/>
      <c r="F56" s="4776"/>
      <c r="G56" s="4776"/>
      <c r="H56" s="4776"/>
      <c r="I56" s="4776"/>
      <c r="J56" s="4776"/>
      <c r="K56" s="4776"/>
      <c r="L56" s="4776"/>
    </row>
    <row r="57" spans="1:12" ht="16.5">
      <c r="A57" s="4919" t="s">
        <v>2424</v>
      </c>
      <c r="B57" s="4776"/>
      <c r="C57" s="4776"/>
      <c r="D57" s="4776"/>
      <c r="E57" s="4776"/>
      <c r="F57" s="4776"/>
      <c r="G57" s="4776"/>
      <c r="H57" s="4776"/>
      <c r="I57" s="4776"/>
      <c r="J57" s="4776"/>
      <c r="K57" s="4776"/>
      <c r="L57" s="4776"/>
    </row>
    <row r="58" spans="1:12" ht="16.5">
      <c r="A58" s="4919" t="s">
        <v>2425</v>
      </c>
      <c r="B58" s="4776"/>
      <c r="C58" s="4776"/>
      <c r="D58" s="4776"/>
      <c r="E58" s="4776"/>
      <c r="F58" s="4776"/>
      <c r="G58" s="4776"/>
      <c r="H58" s="4776"/>
      <c r="I58" s="4776"/>
      <c r="J58" s="4776"/>
      <c r="K58" s="4776"/>
      <c r="L58" s="4776"/>
    </row>
    <row r="59" spans="1:12" ht="12.75" customHeight="1">
      <c r="A59" s="4919"/>
      <c r="B59" s="4776"/>
      <c r="C59" s="4776"/>
      <c r="D59" s="4776"/>
      <c r="E59" s="4776"/>
      <c r="F59" s="4776"/>
      <c r="G59" s="4776"/>
      <c r="H59" s="4776"/>
      <c r="I59" s="4776"/>
      <c r="J59" s="4776"/>
      <c r="K59" s="4776"/>
      <c r="L59" s="4776"/>
    </row>
    <row r="60" spans="1:12" ht="16.5">
      <c r="A60" s="4919" t="s">
        <v>2426</v>
      </c>
      <c r="B60" s="4776"/>
      <c r="C60" s="4776"/>
      <c r="D60" s="4776"/>
      <c r="E60" s="4776"/>
      <c r="F60" s="4776"/>
      <c r="G60" s="4776"/>
      <c r="H60" s="4776"/>
      <c r="I60" s="4776"/>
      <c r="J60" s="4776"/>
      <c r="K60" s="4776"/>
      <c r="L60" s="4776"/>
    </row>
    <row r="61" spans="1:12" ht="16.5">
      <c r="A61" s="4919" t="s">
        <v>2427</v>
      </c>
      <c r="B61" s="4776"/>
      <c r="C61" s="4776"/>
      <c r="D61" s="4776"/>
      <c r="E61" s="4776"/>
      <c r="F61" s="4776"/>
      <c r="G61" s="4776"/>
      <c r="H61" s="4776"/>
      <c r="I61" s="4776"/>
      <c r="J61" s="4776"/>
      <c r="K61" s="4776"/>
      <c r="L61" s="4776"/>
    </row>
    <row r="62" spans="1:12">
      <c r="A62" s="4776"/>
      <c r="B62" s="4776"/>
      <c r="C62" s="4776"/>
      <c r="D62" s="4776"/>
      <c r="E62" s="4776"/>
      <c r="F62" s="4776"/>
      <c r="G62" s="4776"/>
      <c r="H62" s="4776"/>
      <c r="I62" s="4776"/>
      <c r="J62" s="4776"/>
      <c r="K62" s="4776"/>
      <c r="L62" s="4776"/>
    </row>
    <row r="63" spans="1:12">
      <c r="A63" s="4776"/>
      <c r="B63" s="4776"/>
      <c r="C63" s="4776"/>
      <c r="D63" s="4776"/>
      <c r="E63" s="4776"/>
      <c r="F63" s="4776"/>
      <c r="G63" s="4776"/>
      <c r="H63" s="4776"/>
      <c r="I63" s="4776"/>
      <c r="J63" s="4776"/>
      <c r="K63" s="4776"/>
      <c r="L63" s="4776"/>
    </row>
    <row r="64" spans="1:12">
      <c r="A64" s="4776"/>
      <c r="B64" s="4776"/>
      <c r="C64" s="4776"/>
      <c r="D64" s="4776"/>
      <c r="E64" s="4776"/>
      <c r="F64" s="4776"/>
      <c r="G64" s="4776"/>
      <c r="H64" s="4776"/>
      <c r="I64" s="4776"/>
      <c r="J64" s="4776"/>
      <c r="K64" s="4776"/>
      <c r="L64" s="4776"/>
    </row>
    <row r="79" spans="2:11">
      <c r="B79" s="4929">
        <f>SUM(B6:B9)</f>
        <v>53</v>
      </c>
      <c r="C79" s="4561">
        <f>SUM(C6:C10)</f>
        <v>1959860</v>
      </c>
      <c r="F79" s="4929">
        <f>SUM(F6:F9)</f>
        <v>51</v>
      </c>
      <c r="G79" s="4561">
        <f>SUM(G6:G10)</f>
        <v>2080702</v>
      </c>
      <c r="J79" s="4929">
        <f>SUM(J6:J9)</f>
        <v>51</v>
      </c>
      <c r="K79" s="4561">
        <f>SUM(K6:K10)</f>
        <v>2274368</v>
      </c>
    </row>
  </sheetData>
  <sheetProtection algorithmName="SHA-512" hashValue="heIojyBhBAylvbl/vRV7Xxlv2X+FFjXNua757nidKLKeOi//8u0x+7sbE1ixE5PG6ArDzfRlRDyTn+CKPVF/nw==" saltValue="3GQSWslrLRuB1qb5PsSeqw==" spinCount="100000" sheet="1" objects="1" scenarios="1"/>
  <mergeCells count="4">
    <mergeCell ref="A2:L2"/>
    <mergeCell ref="B4:D4"/>
    <mergeCell ref="F4:H4"/>
    <mergeCell ref="J4:L4"/>
  </mergeCells>
  <dataValidations count="2">
    <dataValidation type="whole" operator="greaterThanOrEqual" showInputMessage="1" showErrorMessage="1" errorTitle="Invalid Data Entry" error="Please enter a whole, positive number or press the delete key or enter zero." sqref="C6:C26 G6:G26 K6:K26">
      <formula1>0</formula1>
    </dataValidation>
    <dataValidation type="decimal" operator="greaterThanOrEqual" showInputMessage="1" showErrorMessage="1" errorTitle="Invalid Data Entry" error="Please enter a positive number (up to a 10th of a decimal) or press the delete key or enter zero." sqref="B6:B9 F6:F9 J6:J9">
      <formula1>0</formula1>
    </dataValidation>
  </dataValidations>
  <hyperlinks>
    <hyperlink ref="M1" location="Contents!A1" display="Return to Contents"/>
  </hyperlinks>
  <printOptions horizontalCentered="1"/>
  <pageMargins left="0.7" right="0.7" top="0.5" bottom="0.5" header="0.3" footer="0.3"/>
  <pageSetup scale="66" orientation="portrait" r:id="rId1"/>
  <headerFooter>
    <oddFooter>&amp;L&amp;D  &amp;T&amp;CSalaries</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6" tint="-0.249977111117893"/>
  </sheetPr>
  <dimension ref="A1:H61"/>
  <sheetViews>
    <sheetView zoomScaleNormal="100" workbookViewId="0">
      <selection activeCell="I41" sqref="I41"/>
    </sheetView>
  </sheetViews>
  <sheetFormatPr defaultRowHeight="12.75"/>
  <cols>
    <col min="1" max="1" width="28.5703125" style="4427" customWidth="1"/>
    <col min="2" max="2" width="7.140625" style="4427" customWidth="1"/>
    <col min="3" max="3" width="15.140625" style="4427" customWidth="1"/>
    <col min="4" max="4" width="15" style="4427" customWidth="1"/>
    <col min="5" max="5" width="15.85546875" style="4427" customWidth="1"/>
    <col min="6" max="6" width="4.85546875" style="4427" customWidth="1"/>
    <col min="7" max="16384" width="9.140625" style="4427"/>
  </cols>
  <sheetData>
    <row r="1" spans="1:8">
      <c r="A1" s="4870" t="s">
        <v>1020</v>
      </c>
      <c r="B1" s="4870"/>
      <c r="C1" s="4550"/>
      <c r="D1" s="4871" t="s">
        <v>1019</v>
      </c>
      <c r="E1" s="4872">
        <f>OPEN!$B$4</f>
        <v>270</v>
      </c>
      <c r="F1" s="4550"/>
      <c r="G1" s="4288" t="s">
        <v>866</v>
      </c>
      <c r="H1" s="4550"/>
    </row>
    <row r="2" spans="1:8">
      <c r="A2" s="4870" t="str">
        <f>"Budget " &amp; OPEN!P14</f>
        <v>Budget 2016-17</v>
      </c>
      <c r="B2" s="4870"/>
      <c r="C2" s="4550"/>
      <c r="D2" s="4550"/>
      <c r="E2" s="4550"/>
      <c r="F2" s="4550"/>
      <c r="G2" s="4550"/>
      <c r="H2" s="4550"/>
    </row>
    <row r="3" spans="1:8" ht="6.75" customHeight="1">
      <c r="A3" s="4870"/>
      <c r="B3" s="4870"/>
      <c r="C3" s="4550"/>
      <c r="D3" s="4550"/>
      <c r="E3" s="4550"/>
      <c r="F3" s="4550"/>
      <c r="G3" s="4550"/>
      <c r="H3" s="4550"/>
    </row>
    <row r="4" spans="1:8">
      <c r="A4" s="5308" t="s">
        <v>2316</v>
      </c>
      <c r="B4" s="5308"/>
      <c r="C4" s="5308"/>
      <c r="D4" s="5308"/>
      <c r="E4" s="5308"/>
      <c r="F4" s="4550"/>
      <c r="G4" s="4550"/>
      <c r="H4" s="4550"/>
    </row>
    <row r="5" spans="1:8" ht="7.5" customHeight="1">
      <c r="A5" s="4550"/>
      <c r="B5" s="4550"/>
      <c r="C5" s="4550"/>
      <c r="D5" s="4550"/>
      <c r="E5" s="4550"/>
      <c r="F5" s="4550"/>
      <c r="G5" s="4550"/>
      <c r="H5" s="4550"/>
    </row>
    <row r="6" spans="1:8">
      <c r="A6" s="4550" t="s">
        <v>1506</v>
      </c>
      <c r="B6" s="4873" t="s">
        <v>2317</v>
      </c>
      <c r="C6" s="4874" t="str">
        <f>OPEN!N17</f>
        <v>July 1, 2014</v>
      </c>
      <c r="D6" s="4874" t="str">
        <f>OPEN!O17</f>
        <v>July 1, 2015</v>
      </c>
      <c r="E6" s="4874" t="str">
        <f>OPEN!P17</f>
        <v>July 1, 2016</v>
      </c>
      <c r="F6" s="4550"/>
      <c r="G6" s="4550"/>
      <c r="H6" s="4550"/>
    </row>
    <row r="7" spans="1:8">
      <c r="A7" s="4875" t="s">
        <v>993</v>
      </c>
      <c r="B7" s="4876">
        <v>6</v>
      </c>
      <c r="C7" s="4877">
        <f>'C06'!C9</f>
        <v>14403</v>
      </c>
      <c r="D7" s="4878">
        <f>IF(ISERROR('C06'!D9),0,'C06'!D9)</f>
        <v>6057</v>
      </c>
      <c r="E7" s="4878">
        <f>IF(ISERROR('C06'!E9),0,'C06'!E9)</f>
        <v>0</v>
      </c>
      <c r="F7" s="4550"/>
      <c r="G7" s="4550"/>
      <c r="H7" s="4550"/>
    </row>
    <row r="8" spans="1:8">
      <c r="A8" s="4875" t="s">
        <v>1365</v>
      </c>
      <c r="B8" s="4876">
        <v>7</v>
      </c>
      <c r="C8" s="4877">
        <f>'C07'!C9</f>
        <v>10587</v>
      </c>
      <c r="D8" s="4877">
        <f>'C07'!D9</f>
        <v>20485</v>
      </c>
      <c r="E8" s="4877">
        <f>'C07'!E9</f>
        <v>28750</v>
      </c>
      <c r="F8" s="4550"/>
      <c r="G8" s="4550"/>
      <c r="H8" s="4550"/>
    </row>
    <row r="9" spans="1:8">
      <c r="A9" s="4875" t="s">
        <v>994</v>
      </c>
      <c r="B9" s="4876">
        <v>8</v>
      </c>
      <c r="C9" s="4877">
        <f>'C08'!C9</f>
        <v>80081</v>
      </c>
      <c r="D9" s="4878">
        <f>IF(ISERROR('C08'!D9),0,'C08'!D9)</f>
        <v>223152</v>
      </c>
      <c r="E9" s="4878">
        <f>IF(ISERROR('C08'!E9),0,'C08'!E9)</f>
        <v>275937</v>
      </c>
      <c r="F9" s="4550"/>
      <c r="G9" s="4550"/>
      <c r="H9" s="4550"/>
    </row>
    <row r="10" spans="1:8">
      <c r="A10" s="4879" t="s">
        <v>995</v>
      </c>
      <c r="B10" s="4880">
        <v>10</v>
      </c>
      <c r="C10" s="4877">
        <f>'C010'!C9</f>
        <v>0</v>
      </c>
      <c r="D10" s="4877">
        <f>'C010'!D9</f>
        <v>0</v>
      </c>
      <c r="E10" s="4877">
        <f>'C010'!E9</f>
        <v>0</v>
      </c>
      <c r="F10" s="4550"/>
      <c r="G10" s="4550"/>
      <c r="H10" s="4550"/>
    </row>
    <row r="11" spans="1:8">
      <c r="A11" s="4875" t="s">
        <v>2318</v>
      </c>
      <c r="B11" s="4876">
        <v>11</v>
      </c>
      <c r="C11" s="4877">
        <f>'C011'!C9</f>
        <v>0</v>
      </c>
      <c r="D11" s="4877">
        <f>'C011'!D9</f>
        <v>0</v>
      </c>
      <c r="E11" s="4877">
        <f>'C011'!E9</f>
        <v>0</v>
      </c>
      <c r="F11" s="4550"/>
      <c r="G11" s="4550"/>
      <c r="H11" s="4550"/>
    </row>
    <row r="12" spans="1:8">
      <c r="A12" s="4879" t="s">
        <v>2319</v>
      </c>
      <c r="B12" s="4880">
        <v>12</v>
      </c>
      <c r="C12" s="4877">
        <f>'C012'!C9</f>
        <v>0</v>
      </c>
      <c r="D12" s="4877">
        <f>'C012'!D9</f>
        <v>0</v>
      </c>
      <c r="E12" s="4877">
        <f>'C012'!E9</f>
        <v>0</v>
      </c>
      <c r="F12" s="4550"/>
      <c r="G12" s="4550"/>
      <c r="H12" s="4550"/>
    </row>
    <row r="13" spans="1:8">
      <c r="A13" s="4875" t="s">
        <v>2320</v>
      </c>
      <c r="B13" s="4876">
        <v>13</v>
      </c>
      <c r="C13" s="4877">
        <f>'C013'!C9</f>
        <v>31478</v>
      </c>
      <c r="D13" s="4877">
        <f>'C013'!D9</f>
        <v>36017</v>
      </c>
      <c r="E13" s="4877">
        <f>'C013'!E9</f>
        <v>24497</v>
      </c>
      <c r="F13" s="4881"/>
      <c r="G13" s="4550"/>
      <c r="H13" s="4550"/>
    </row>
    <row r="14" spans="1:8">
      <c r="A14" s="4875" t="s">
        <v>2096</v>
      </c>
      <c r="B14" s="4876">
        <v>14</v>
      </c>
      <c r="C14" s="4877">
        <f>'C014'!C9</f>
        <v>0</v>
      </c>
      <c r="D14" s="4877">
        <f>'C014'!D9</f>
        <v>0</v>
      </c>
      <c r="E14" s="4877">
        <f>'C014'!E9</f>
        <v>0</v>
      </c>
      <c r="F14" s="4550"/>
      <c r="G14" s="4550"/>
      <c r="H14" s="4550"/>
    </row>
    <row r="15" spans="1:8">
      <c r="A15" s="4875" t="s">
        <v>2103</v>
      </c>
      <c r="B15" s="4876">
        <v>15</v>
      </c>
      <c r="C15" s="4877">
        <f>'C015'!C9</f>
        <v>0</v>
      </c>
      <c r="D15" s="4877">
        <f>'C015'!D9</f>
        <v>0</v>
      </c>
      <c r="E15" s="4877">
        <f>'C015'!E9</f>
        <v>0</v>
      </c>
      <c r="F15" s="4550"/>
      <c r="G15" s="4550"/>
      <c r="H15" s="4550"/>
    </row>
    <row r="16" spans="1:8">
      <c r="A16" s="4875" t="s">
        <v>996</v>
      </c>
      <c r="B16" s="4876">
        <v>16</v>
      </c>
      <c r="C16" s="4877">
        <f>'C016'!C9</f>
        <v>638806</v>
      </c>
      <c r="D16" s="4877">
        <f>'C016'!D9</f>
        <v>823870</v>
      </c>
      <c r="E16" s="4877">
        <f>'C016'!E9</f>
        <v>763461</v>
      </c>
      <c r="F16" s="4550"/>
      <c r="G16" s="4550"/>
      <c r="H16" s="4550"/>
    </row>
    <row r="17" spans="1:8">
      <c r="A17" s="4875" t="s">
        <v>2321</v>
      </c>
      <c r="B17" s="4876">
        <v>18</v>
      </c>
      <c r="C17" s="4877">
        <f>'C018'!C9</f>
        <v>19981</v>
      </c>
      <c r="D17" s="4877">
        <f>'C018'!D9</f>
        <v>22861</v>
      </c>
      <c r="E17" s="4877">
        <f>'C018'!E9</f>
        <v>23839</v>
      </c>
      <c r="F17" s="4550"/>
      <c r="G17" s="4550"/>
      <c r="H17" s="4550"/>
    </row>
    <row r="18" spans="1:8">
      <c r="A18" s="4875" t="s">
        <v>365</v>
      </c>
      <c r="B18" s="4876">
        <v>19</v>
      </c>
      <c r="C18" s="4877">
        <f>'C019'!C9</f>
        <v>0</v>
      </c>
      <c r="D18" s="4877">
        <f>'C019'!D9</f>
        <v>0</v>
      </c>
      <c r="E18" s="4877">
        <f>'C019'!E9</f>
        <v>0</v>
      </c>
      <c r="F18" s="4550"/>
      <c r="G18" s="4550"/>
      <c r="H18" s="4550"/>
    </row>
    <row r="19" spans="1:8">
      <c r="A19" s="4875" t="s">
        <v>2322</v>
      </c>
      <c r="B19" s="4876">
        <v>22</v>
      </c>
      <c r="C19" s="4877">
        <f>'C022'!C9</f>
        <v>0</v>
      </c>
      <c r="D19" s="4877">
        <f>'C022'!D9</f>
        <v>0</v>
      </c>
      <c r="E19" s="4877">
        <f>'C022'!E9</f>
        <v>0</v>
      </c>
      <c r="F19" s="4550"/>
      <c r="G19" s="4550"/>
      <c r="H19" s="4550"/>
    </row>
    <row r="20" spans="1:8">
      <c r="A20" s="4875" t="s">
        <v>2323</v>
      </c>
      <c r="B20" s="4876">
        <v>24</v>
      </c>
      <c r="C20" s="4877">
        <f>'C024'!C9</f>
        <v>75774</v>
      </c>
      <c r="D20" s="4877">
        <f>'C024'!D9</f>
        <v>95843</v>
      </c>
      <c r="E20" s="4877">
        <f>'C024'!E9</f>
        <v>96385</v>
      </c>
      <c r="F20" s="4550"/>
      <c r="G20" s="4550"/>
      <c r="H20" s="4550"/>
    </row>
    <row r="21" spans="1:8">
      <c r="A21" s="4875" t="s">
        <v>2101</v>
      </c>
      <c r="B21" s="4876">
        <v>26</v>
      </c>
      <c r="C21" s="4877">
        <f>'C026'!C9</f>
        <v>28039</v>
      </c>
      <c r="D21" s="4877">
        <f>'C026'!D9</f>
        <v>25653</v>
      </c>
      <c r="E21" s="4877">
        <f>'C026'!E9</f>
        <v>24883</v>
      </c>
      <c r="F21" s="4550"/>
      <c r="G21" s="4550"/>
      <c r="H21" s="4550"/>
    </row>
    <row r="22" spans="1:8">
      <c r="A22" s="4875" t="s">
        <v>2099</v>
      </c>
      <c r="B22" s="4876">
        <v>28</v>
      </c>
      <c r="C22" s="4877">
        <f>'C028'!C9</f>
        <v>2603</v>
      </c>
      <c r="D22" s="4877">
        <f>'C028'!D9</f>
        <v>2036</v>
      </c>
      <c r="E22" s="4877">
        <f>'C028'!E9</f>
        <v>1261</v>
      </c>
      <c r="F22" s="4550"/>
      <c r="G22" s="4550"/>
      <c r="H22" s="4550"/>
    </row>
    <row r="23" spans="1:8">
      <c r="A23" s="4875" t="s">
        <v>2102</v>
      </c>
      <c r="B23" s="4876">
        <v>29</v>
      </c>
      <c r="C23" s="4877">
        <f>'C029'!C9</f>
        <v>14137</v>
      </c>
      <c r="D23" s="4877">
        <f>'C029'!D9</f>
        <v>27245</v>
      </c>
      <c r="E23" s="4877">
        <f>'C029'!E9</f>
        <v>18752</v>
      </c>
      <c r="F23" s="4550"/>
      <c r="G23" s="4550"/>
      <c r="H23" s="4550"/>
    </row>
    <row r="24" spans="1:8">
      <c r="A24" s="4875" t="s">
        <v>2324</v>
      </c>
      <c r="B24" s="4876">
        <v>30</v>
      </c>
      <c r="C24" s="4877">
        <f>'C030'!C9</f>
        <v>136137</v>
      </c>
      <c r="D24" s="4877">
        <f>'C030'!D9</f>
        <v>166419</v>
      </c>
      <c r="E24" s="4877">
        <f>'C030'!E9</f>
        <v>158277</v>
      </c>
      <c r="F24" s="4550"/>
      <c r="G24" s="4550"/>
      <c r="H24" s="4550"/>
    </row>
    <row r="25" spans="1:8">
      <c r="A25" s="4875" t="s">
        <v>1232</v>
      </c>
      <c r="B25" s="4876">
        <v>33</v>
      </c>
      <c r="C25" s="4877">
        <f>'C033'!C9</f>
        <v>0</v>
      </c>
      <c r="D25" s="4877">
        <f>'C033'!D9</f>
        <v>0</v>
      </c>
      <c r="E25" s="4877">
        <f>'C033'!E9</f>
        <v>0</v>
      </c>
      <c r="F25" s="4550"/>
      <c r="G25" s="4550"/>
      <c r="H25" s="4550"/>
    </row>
    <row r="26" spans="1:8">
      <c r="A26" s="4875" t="s">
        <v>2104</v>
      </c>
      <c r="B26" s="4876">
        <v>34</v>
      </c>
      <c r="C26" s="4877">
        <f>'C034'!C9</f>
        <v>84844</v>
      </c>
      <c r="D26" s="4877">
        <f>'C034'!D9</f>
        <v>114569</v>
      </c>
      <c r="E26" s="4877">
        <f>'C034'!E9</f>
        <v>105814</v>
      </c>
      <c r="F26" s="4550"/>
      <c r="G26" s="4550"/>
      <c r="H26" s="4550"/>
    </row>
    <row r="27" spans="1:8">
      <c r="A27" s="4875" t="s">
        <v>2325</v>
      </c>
      <c r="B27" s="4876">
        <v>35</v>
      </c>
      <c r="C27" s="4877">
        <f>'C035'!C9</f>
        <v>67001</v>
      </c>
      <c r="D27" s="4877">
        <f>'C035'!D9</f>
        <v>77002</v>
      </c>
      <c r="E27" s="4877">
        <f>'C035'!E9</f>
        <v>79121</v>
      </c>
      <c r="F27" s="4550"/>
      <c r="G27" s="4550"/>
      <c r="H27" s="4550"/>
    </row>
    <row r="28" spans="1:8">
      <c r="A28" s="4879" t="s">
        <v>2326</v>
      </c>
      <c r="B28" s="4880">
        <v>42</v>
      </c>
      <c r="C28" s="4877">
        <f>'C042'!C9</f>
        <v>0</v>
      </c>
      <c r="D28" s="4877">
        <f>'C042'!D9</f>
        <v>0</v>
      </c>
      <c r="E28" s="4877">
        <f>'C042'!E9</f>
        <v>0</v>
      </c>
      <c r="F28" s="4550"/>
      <c r="G28" s="4550"/>
      <c r="H28" s="4550"/>
    </row>
    <row r="29" spans="1:8">
      <c r="A29" s="4879" t="s">
        <v>997</v>
      </c>
      <c r="B29" s="4880">
        <v>44</v>
      </c>
      <c r="C29" s="4877">
        <f>'C044'!C9</f>
        <v>0</v>
      </c>
      <c r="D29" s="4877">
        <f>'C044'!D9</f>
        <v>0</v>
      </c>
      <c r="E29" s="4877">
        <f>'C044'!E9</f>
        <v>0</v>
      </c>
      <c r="F29" s="4550"/>
      <c r="G29" s="4550"/>
      <c r="H29" s="4550"/>
    </row>
    <row r="30" spans="1:8">
      <c r="A30" s="4879" t="s">
        <v>1006</v>
      </c>
      <c r="B30" s="4880">
        <v>45</v>
      </c>
      <c r="C30" s="4877">
        <f>'C045'!C9</f>
        <v>0</v>
      </c>
      <c r="D30" s="4877">
        <f>'C045'!D9</f>
        <v>0</v>
      </c>
      <c r="E30" s="4877">
        <f>'C045'!E9</f>
        <v>0</v>
      </c>
      <c r="F30" s="4550"/>
      <c r="G30" s="4550"/>
      <c r="H30" s="4550"/>
    </row>
    <row r="31" spans="1:8">
      <c r="A31" s="4879" t="s">
        <v>2327</v>
      </c>
      <c r="B31" s="4880">
        <v>47</v>
      </c>
      <c r="C31" s="4877">
        <f>'C047'!C9</f>
        <v>0</v>
      </c>
      <c r="D31" s="4877">
        <f>'C047'!D9</f>
        <v>0</v>
      </c>
      <c r="E31" s="4877">
        <f>'C047'!E9</f>
        <v>0</v>
      </c>
      <c r="F31" s="4550"/>
      <c r="G31" s="4550"/>
      <c r="H31" s="4550"/>
    </row>
    <row r="32" spans="1:8">
      <c r="A32" s="4879" t="s">
        <v>2328</v>
      </c>
      <c r="B32" s="4880">
        <v>51</v>
      </c>
      <c r="C32" s="4879">
        <v>0</v>
      </c>
      <c r="D32" s="4879">
        <v>0</v>
      </c>
      <c r="E32" s="4879">
        <v>0</v>
      </c>
      <c r="F32" s="4550"/>
      <c r="G32" s="4550"/>
      <c r="H32" s="4550"/>
    </row>
    <row r="33" spans="1:8">
      <c r="A33" s="4879" t="s">
        <v>2329</v>
      </c>
      <c r="B33" s="4880">
        <v>53</v>
      </c>
      <c r="C33" s="4877">
        <f>'C053'!C9</f>
        <v>270532</v>
      </c>
      <c r="D33" s="4877">
        <f>'C053'!D9</f>
        <v>300089</v>
      </c>
      <c r="E33" s="4877">
        <f>'C053'!E9</f>
        <v>267979</v>
      </c>
      <c r="F33" s="4550"/>
      <c r="G33" s="4550"/>
      <c r="H33" s="4550"/>
    </row>
    <row r="34" spans="1:8">
      <c r="A34" s="4879" t="s">
        <v>2330</v>
      </c>
      <c r="B34" s="4880">
        <v>55</v>
      </c>
      <c r="C34" s="4877">
        <f>'C055'!C9</f>
        <v>56434</v>
      </c>
      <c r="D34" s="4877">
        <f>'C055'!D9</f>
        <v>84218</v>
      </c>
      <c r="E34" s="4877">
        <f>'C055'!E9</f>
        <v>92034</v>
      </c>
      <c r="F34" s="4550"/>
      <c r="G34" s="4550"/>
      <c r="H34" s="4550"/>
    </row>
    <row r="35" spans="1:8">
      <c r="A35" s="4879" t="s">
        <v>2331</v>
      </c>
      <c r="B35" s="4880">
        <v>56</v>
      </c>
      <c r="C35" s="4877">
        <f>'C056'!$C$9</f>
        <v>24415</v>
      </c>
      <c r="D35" s="4877">
        <f>'C056'!$D$9</f>
        <v>24600</v>
      </c>
      <c r="E35" s="4877">
        <f>'C056'!$E$9</f>
        <v>24371</v>
      </c>
      <c r="F35" s="4550"/>
      <c r="G35" s="4550"/>
      <c r="H35" s="4550"/>
    </row>
    <row r="36" spans="1:8">
      <c r="A36" s="4879" t="s">
        <v>2332</v>
      </c>
      <c r="B36" s="4880">
        <v>57</v>
      </c>
      <c r="C36" s="4877">
        <f>'C057'!C9</f>
        <v>0</v>
      </c>
      <c r="D36" s="4877">
        <f>'C057'!D9</f>
        <v>0</v>
      </c>
      <c r="E36" s="4877">
        <f>'C057'!E9</f>
        <v>0</v>
      </c>
      <c r="F36" s="4550"/>
      <c r="G36" s="4550"/>
      <c r="H36" s="4550"/>
    </row>
    <row r="37" spans="1:8">
      <c r="A37" s="4879" t="s">
        <v>2333</v>
      </c>
      <c r="B37" s="4880">
        <v>62</v>
      </c>
      <c r="C37" s="4877">
        <f>'C062'!C9</f>
        <v>338684</v>
      </c>
      <c r="D37" s="4877">
        <f>'C062'!D9</f>
        <v>399657</v>
      </c>
      <c r="E37" s="4877">
        <f>'C062'!E9</f>
        <v>410664</v>
      </c>
      <c r="F37" s="4550"/>
      <c r="G37" s="4550"/>
      <c r="H37" s="4550"/>
    </row>
    <row r="38" spans="1:8">
      <c r="A38" s="4879" t="s">
        <v>2334</v>
      </c>
      <c r="B38" s="4880">
        <v>63</v>
      </c>
      <c r="C38" s="4877">
        <f>'C063'!C9</f>
        <v>0</v>
      </c>
      <c r="D38" s="4877">
        <f>'C063'!D9</f>
        <v>0</v>
      </c>
      <c r="E38" s="4877">
        <f>'C063'!E9</f>
        <v>0</v>
      </c>
      <c r="F38" s="4550"/>
      <c r="G38" s="4550"/>
      <c r="H38" s="4550"/>
    </row>
    <row r="39" spans="1:8">
      <c r="A39" s="4879" t="s">
        <v>998</v>
      </c>
      <c r="B39" s="4880">
        <v>66</v>
      </c>
      <c r="C39" s="4877">
        <f>'C066'!C9</f>
        <v>0</v>
      </c>
      <c r="D39" s="4877">
        <f>'C066'!D9</f>
        <v>0</v>
      </c>
      <c r="E39" s="4877">
        <f>'C066'!E9</f>
        <v>0</v>
      </c>
      <c r="F39" s="4550"/>
      <c r="G39" s="4550"/>
      <c r="H39" s="4550"/>
    </row>
    <row r="40" spans="1:8">
      <c r="A40" s="4879" t="s">
        <v>1000</v>
      </c>
      <c r="B40" s="4880">
        <v>68</v>
      </c>
      <c r="C40" s="4877">
        <f>'C068'!C9</f>
        <v>0</v>
      </c>
      <c r="D40" s="4877">
        <f>'C068'!D9</f>
        <v>0</v>
      </c>
      <c r="E40" s="4877">
        <f>'C068'!E9</f>
        <v>0</v>
      </c>
      <c r="F40" s="4550"/>
      <c r="G40" s="4550"/>
      <c r="H40" s="4550"/>
    </row>
    <row r="41" spans="1:8">
      <c r="A41" s="4879" t="s">
        <v>2335</v>
      </c>
      <c r="B41" s="4880">
        <v>78</v>
      </c>
      <c r="C41" s="4877">
        <f>'C078'!C9</f>
        <v>0</v>
      </c>
      <c r="D41" s="4877">
        <f>'C078'!D9</f>
        <v>0</v>
      </c>
      <c r="E41" s="4877">
        <f>'C078'!E9</f>
        <v>0</v>
      </c>
      <c r="F41" s="4550"/>
      <c r="G41" s="4550"/>
      <c r="H41" s="4550"/>
    </row>
    <row r="42" spans="1:8">
      <c r="A42" s="4882"/>
      <c r="B42" s="4883"/>
      <c r="C42" s="4882"/>
      <c r="D42" s="4882"/>
      <c r="E42" s="4882"/>
      <c r="F42" s="4550"/>
      <c r="G42" s="4550"/>
      <c r="H42" s="4550"/>
    </row>
    <row r="43" spans="1:8">
      <c r="A43" s="4884" t="s">
        <v>2336</v>
      </c>
      <c r="B43" s="4885"/>
      <c r="C43" s="4877">
        <f>SUM(C7:C41)</f>
        <v>1893936</v>
      </c>
      <c r="D43" s="4878">
        <f>SUM(D7:D41)</f>
        <v>2449773</v>
      </c>
      <c r="E43" s="4877">
        <f>SUM(E7:E41)</f>
        <v>2396025</v>
      </c>
      <c r="F43" s="4550"/>
      <c r="G43" s="4550"/>
      <c r="H43" s="4550"/>
    </row>
    <row r="44" spans="1:8">
      <c r="A44" s="4879" t="s">
        <v>2337</v>
      </c>
      <c r="B44" s="4880"/>
      <c r="C44" s="4886">
        <f>IF(ISERROR(OPEN!A148),0,OPEN!A148)</f>
        <v>369.5</v>
      </c>
      <c r="D44" s="4886">
        <f>IF(ISERROR(OPEN!A149),0,OPEN!A149)</f>
        <v>334.8</v>
      </c>
      <c r="E44" s="4886">
        <f>OPEN!A150</f>
        <v>340</v>
      </c>
      <c r="F44" s="4550"/>
      <c r="G44" s="4550"/>
      <c r="H44" s="4550"/>
    </row>
    <row r="45" spans="1:8">
      <c r="A45" s="4879" t="s">
        <v>2338</v>
      </c>
      <c r="B45" s="4880"/>
      <c r="C45" s="4877">
        <f>IF(C43=0,0,ROUND(C43/C44,0))</f>
        <v>5126</v>
      </c>
      <c r="D45" s="4878">
        <f>IF(D43=0,0,ROUND(D43/D44,0))</f>
        <v>7317</v>
      </c>
      <c r="E45" s="4877">
        <f>IF(OR(E43=0,E44=0),0,ROUND(E43/E44,0))</f>
        <v>7047</v>
      </c>
      <c r="F45" s="4550"/>
      <c r="G45" s="4550"/>
      <c r="H45" s="4550"/>
    </row>
    <row r="46" spans="1:8">
      <c r="A46" s="4882"/>
      <c r="B46" s="4883"/>
      <c r="C46" s="4882"/>
      <c r="D46" s="4882"/>
      <c r="E46" s="4882"/>
      <c r="F46" s="4550"/>
      <c r="G46" s="4550"/>
      <c r="H46" s="4550"/>
    </row>
    <row r="47" spans="1:8">
      <c r="A47" s="4879" t="s">
        <v>999</v>
      </c>
      <c r="B47" s="4880">
        <v>67</v>
      </c>
      <c r="C47" s="4877">
        <f>'C067'!C9</f>
        <v>0</v>
      </c>
      <c r="D47" s="4877">
        <f>'C067'!D9</f>
        <v>0</v>
      </c>
      <c r="E47" s="4877">
        <f>'C067'!E9</f>
        <v>0</v>
      </c>
      <c r="F47" s="4550"/>
      <c r="G47" s="4550"/>
      <c r="H47" s="4550"/>
    </row>
    <row r="48" spans="1:8">
      <c r="A48" s="4879" t="s">
        <v>1001</v>
      </c>
      <c r="B48" s="4880">
        <v>80</v>
      </c>
      <c r="C48" s="4877">
        <f>'C080'!C9</f>
        <v>0</v>
      </c>
      <c r="D48" s="4877">
        <f>'C080'!D9</f>
        <v>0</v>
      </c>
      <c r="E48" s="4877">
        <f>'C080'!E9</f>
        <v>0</v>
      </c>
      <c r="F48" s="4550"/>
      <c r="G48" s="4550"/>
      <c r="H48" s="4550"/>
    </row>
    <row r="49" spans="1:8">
      <c r="A49" s="4879" t="s">
        <v>2048</v>
      </c>
      <c r="B49" s="4880">
        <v>82</v>
      </c>
      <c r="C49" s="4877">
        <f>'C082'!C9</f>
        <v>0</v>
      </c>
      <c r="D49" s="4877">
        <f>'C082'!D9</f>
        <v>0</v>
      </c>
      <c r="E49" s="4877">
        <f>'C082'!E9</f>
        <v>0</v>
      </c>
      <c r="F49" s="4550"/>
      <c r="G49" s="4550"/>
      <c r="H49" s="4550"/>
    </row>
    <row r="50" spans="1:8">
      <c r="A50" s="4879" t="s">
        <v>2339</v>
      </c>
      <c r="B50" s="4880">
        <v>83</v>
      </c>
      <c r="C50" s="4877">
        <f>'C083'!C9</f>
        <v>0</v>
      </c>
      <c r="D50" s="4877">
        <f>'C083'!D9</f>
        <v>0</v>
      </c>
      <c r="E50" s="4877">
        <f>'C083'!E9</f>
        <v>0</v>
      </c>
      <c r="F50" s="4550"/>
      <c r="G50" s="4550"/>
      <c r="H50" s="4550"/>
    </row>
    <row r="51" spans="1:8">
      <c r="A51" s="4879" t="s">
        <v>2340</v>
      </c>
      <c r="B51" s="4880">
        <v>84</v>
      </c>
      <c r="C51" s="4877">
        <f>'C084'!C9</f>
        <v>121452</v>
      </c>
      <c r="D51" s="4877">
        <f>'C084'!D9</f>
        <v>135197</v>
      </c>
      <c r="E51" s="4877">
        <f>'C084'!E9</f>
        <v>108944</v>
      </c>
      <c r="F51" s="4550"/>
      <c r="G51" s="4550"/>
      <c r="H51" s="4550"/>
    </row>
    <row r="52" spans="1:8">
      <c r="A52" s="4879" t="s">
        <v>2341</v>
      </c>
      <c r="B52" s="4880">
        <v>86</v>
      </c>
      <c r="C52" s="4877">
        <f>'C086'!C9</f>
        <v>0</v>
      </c>
      <c r="D52" s="4877">
        <f>'C086'!D9</f>
        <v>0</v>
      </c>
      <c r="E52" s="4877">
        <f>'C086'!E9</f>
        <v>0</v>
      </c>
      <c r="F52" s="4550"/>
      <c r="G52" s="4550"/>
      <c r="H52" s="4550"/>
    </row>
    <row r="53" spans="1:8">
      <c r="A53" s="4884" t="s">
        <v>2342</v>
      </c>
      <c r="B53" s="4887" t="s">
        <v>1364</v>
      </c>
      <c r="C53" s="4877">
        <f>SUM(C47:C52)</f>
        <v>121452</v>
      </c>
      <c r="D53" s="4878">
        <f>SUM(D47:D52)</f>
        <v>135197</v>
      </c>
      <c r="E53" s="4877">
        <f>SUM(E47:E52)</f>
        <v>108944</v>
      </c>
      <c r="F53" s="4550"/>
      <c r="G53" s="4550"/>
      <c r="H53" s="4550"/>
    </row>
    <row r="54" spans="1:8" ht="6" customHeight="1">
      <c r="A54" s="4550"/>
      <c r="B54" s="4550"/>
      <c r="C54" s="4550"/>
      <c r="D54" s="4550"/>
      <c r="E54" s="4550"/>
      <c r="F54" s="4550"/>
      <c r="G54" s="4550"/>
      <c r="H54" s="4550"/>
    </row>
    <row r="55" spans="1:8">
      <c r="A55" s="4888" t="s">
        <v>2343</v>
      </c>
      <c r="B55" s="4889"/>
      <c r="C55" s="4550"/>
      <c r="D55" s="4550"/>
      <c r="E55" s="4550"/>
      <c r="F55" s="4550"/>
      <c r="G55" s="4550"/>
      <c r="H55" s="4550"/>
    </row>
    <row r="56" spans="1:8" ht="6.75" customHeight="1">
      <c r="A56" s="4888"/>
      <c r="B56" s="4550"/>
      <c r="C56" s="4550"/>
      <c r="D56" s="4550"/>
      <c r="E56" s="4550"/>
      <c r="F56" s="4550"/>
      <c r="G56" s="4550"/>
      <c r="H56" s="4550"/>
    </row>
    <row r="57" spans="1:8">
      <c r="A57" s="4888" t="s">
        <v>2344</v>
      </c>
      <c r="B57" s="4889"/>
      <c r="C57" s="4550"/>
      <c r="D57" s="4550"/>
      <c r="E57" s="4550"/>
      <c r="F57" s="4550"/>
      <c r="G57" s="4550"/>
      <c r="H57" s="4550"/>
    </row>
    <row r="58" spans="1:8">
      <c r="A58" s="4888" t="s">
        <v>2345</v>
      </c>
      <c r="B58" s="4889"/>
      <c r="C58" s="4550"/>
      <c r="D58" s="4550"/>
      <c r="E58" s="4550"/>
      <c r="F58" s="4550"/>
      <c r="G58" s="4550"/>
      <c r="H58" s="4550"/>
    </row>
    <row r="59" spans="1:8" ht="6.75" customHeight="1">
      <c r="A59" s="4888"/>
      <c r="B59" s="4550"/>
      <c r="C59" s="4550"/>
      <c r="D59" s="4550"/>
      <c r="E59" s="4550"/>
      <c r="F59" s="4550"/>
      <c r="G59" s="4550"/>
      <c r="H59" s="4550"/>
    </row>
    <row r="60" spans="1:8">
      <c r="A60" s="4888" t="s">
        <v>2346</v>
      </c>
      <c r="B60" s="4889"/>
      <c r="C60" s="4550"/>
      <c r="D60" s="4550"/>
      <c r="E60" s="4550"/>
      <c r="F60" s="4550"/>
      <c r="G60" s="4550"/>
      <c r="H60" s="4550"/>
    </row>
    <row r="61" spans="1:8">
      <c r="A61" s="4888"/>
      <c r="B61" s="4889"/>
      <c r="C61" s="4550"/>
      <c r="D61" s="4550"/>
      <c r="E61" s="4550"/>
      <c r="F61" s="4550"/>
      <c r="G61" s="4550"/>
      <c r="H61" s="4550"/>
    </row>
  </sheetData>
  <sheetProtection algorithmName="SHA-512" hashValue="bAQo179FipNiR88Jt0zTzPv6gQyUMiWGJMhrFnmgue93HXy5qu4fWYbfANafS/n602OMAPJNZwlmxL8Dy4ClYA==" saltValue="b7aZsVg/x6DKBg/Ma9UZ2g==" spinCount="100000" sheet="1" objects="1" scenarios="1"/>
  <mergeCells count="1">
    <mergeCell ref="A4:E4"/>
  </mergeCells>
  <hyperlinks>
    <hyperlink ref="G1" location="Contents!A1" display="Return to Contents page"/>
  </hyperlinks>
  <printOptions horizontalCentered="1"/>
  <pageMargins left="0.7" right="0.7" top="0.5" bottom="0.5" header="0.3" footer="0.3"/>
  <pageSetup scale="98" orientation="portrait" r:id="rId1"/>
  <headerFooter>
    <oddFooter>&amp;L&amp;D  &amp;T&amp;CCash Balances&amp;RPage &amp;P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theme="6" tint="-0.249977111117893"/>
  </sheetPr>
  <dimension ref="A1:Q354"/>
  <sheetViews>
    <sheetView zoomScaleNormal="100" workbookViewId="0"/>
  </sheetViews>
  <sheetFormatPr defaultRowHeight="12.75"/>
  <cols>
    <col min="1" max="1" width="6.5703125" style="4287" customWidth="1"/>
    <col min="2" max="2" width="10.140625" style="4287" customWidth="1"/>
    <col min="3" max="3" width="5.7109375" style="4287" customWidth="1"/>
    <col min="4" max="4" width="17.7109375" style="4287" customWidth="1"/>
    <col min="5" max="5" width="15.42578125" style="4287" customWidth="1"/>
    <col min="6" max="6" width="11.85546875" style="4287" customWidth="1"/>
    <col min="7" max="7" width="9.5703125" style="4287" customWidth="1"/>
    <col min="8" max="8" width="13" style="4287" customWidth="1"/>
    <col min="9" max="9" width="1.85546875" style="4287" customWidth="1"/>
    <col min="10" max="10" width="13.28515625" style="4287" customWidth="1"/>
    <col min="11" max="11" width="3" style="4287" customWidth="1"/>
    <col min="12" max="12" width="14.85546875" style="4287" customWidth="1"/>
    <col min="13" max="13" width="10.140625" style="4287" customWidth="1"/>
    <col min="14" max="14" width="13.28515625" style="4287" customWidth="1"/>
    <col min="15" max="16384" width="9.140625" style="4287"/>
  </cols>
  <sheetData>
    <row r="1" spans="1:17">
      <c r="A1" s="4538" t="s">
        <v>2153</v>
      </c>
      <c r="B1" s="4538"/>
      <c r="C1" s="4538"/>
      <c r="D1" s="4538"/>
      <c r="E1" s="4538"/>
      <c r="F1" s="4538"/>
      <c r="G1" s="4538"/>
      <c r="H1" s="4539" t="s">
        <v>1019</v>
      </c>
      <c r="I1" s="4540"/>
      <c r="J1" s="4541">
        <f>OPEN!$B$4</f>
        <v>270</v>
      </c>
      <c r="K1" s="4538"/>
      <c r="L1" s="4288" t="s">
        <v>866</v>
      </c>
    </row>
    <row r="2" spans="1:17">
      <c r="A2" s="4538" t="s">
        <v>2154</v>
      </c>
      <c r="B2" s="4538"/>
      <c r="C2" s="4538"/>
      <c r="D2" s="4538"/>
      <c r="E2" s="4538"/>
      <c r="F2" s="4538"/>
      <c r="G2" s="4538"/>
      <c r="H2" s="4538"/>
      <c r="I2" s="4538"/>
      <c r="J2" s="4538"/>
      <c r="K2" s="4538"/>
      <c r="L2" s="4538"/>
    </row>
    <row r="3" spans="1:17">
      <c r="A3" s="4542">
        <f>OPEN!$N$3</f>
        <v>42522</v>
      </c>
      <c r="B3" s="4538"/>
      <c r="C3" s="4538"/>
      <c r="D3" s="4538"/>
      <c r="E3" s="4538"/>
      <c r="F3" s="4538"/>
      <c r="G3" s="4538"/>
      <c r="H3" s="4538"/>
      <c r="I3" s="4538"/>
      <c r="J3" s="4538"/>
      <c r="K3" s="4538"/>
      <c r="L3" s="4538"/>
    </row>
    <row r="4" spans="1:17">
      <c r="A4" s="4538"/>
      <c r="B4" s="4538"/>
      <c r="C4" s="4538"/>
      <c r="D4" s="4538"/>
      <c r="E4" s="4538"/>
      <c r="F4" s="4538"/>
      <c r="G4" s="4538"/>
      <c r="H4" s="4538"/>
      <c r="I4" s="4538"/>
      <c r="J4" s="4538"/>
      <c r="K4" s="4538"/>
      <c r="L4" s="4538"/>
    </row>
    <row r="5" spans="1:17">
      <c r="A5" s="4543" t="s">
        <v>2155</v>
      </c>
      <c r="B5" s="4544"/>
      <c r="C5" s="4544"/>
      <c r="D5" s="4544"/>
      <c r="E5" s="4544"/>
      <c r="F5" s="4544"/>
      <c r="G5" s="4544"/>
      <c r="H5" s="4544"/>
      <c r="I5" s="4544"/>
      <c r="J5" s="4538"/>
      <c r="K5" s="4538"/>
      <c r="L5" s="4538"/>
    </row>
    <row r="6" spans="1:17">
      <c r="A6" s="4543" t="str">
        <f>OPEN!$P$4&amp;"  LOCAL OPTION BUDGET"</f>
        <v>2016-2017  LOCAL OPTION BUDGET</v>
      </c>
      <c r="B6" s="4544"/>
      <c r="C6" s="4544"/>
      <c r="D6" s="4544"/>
      <c r="E6" s="4544"/>
      <c r="F6" s="4544"/>
      <c r="G6" s="4544"/>
      <c r="H6" s="4544"/>
      <c r="I6" s="4544"/>
      <c r="J6" s="4538"/>
      <c r="K6" s="4538"/>
      <c r="L6" s="4538"/>
    </row>
    <row r="7" spans="1:17">
      <c r="N7" s="4290"/>
      <c r="O7" s="4290"/>
      <c r="P7" s="4290"/>
      <c r="Q7" s="4290"/>
    </row>
    <row r="8" spans="1:17">
      <c r="A8" s="4287" t="s">
        <v>2465</v>
      </c>
      <c r="G8" s="4545"/>
      <c r="I8" s="4546" t="s">
        <v>1166</v>
      </c>
      <c r="J8" s="5110">
        <f>M8*100</f>
        <v>30</v>
      </c>
      <c r="K8" s="4287" t="s">
        <v>1124</v>
      </c>
      <c r="M8" s="4287">
        <f>VLOOKUP($J$1,DATA!A3:AS288,44,FALSE)</f>
        <v>0.3</v>
      </c>
      <c r="N8" s="4547"/>
      <c r="O8" s="4290"/>
      <c r="P8" s="4290"/>
      <c r="Q8" s="4290"/>
    </row>
    <row r="9" spans="1:17">
      <c r="N9" s="4290"/>
      <c r="O9" s="4290"/>
      <c r="P9" s="4290"/>
      <c r="Q9" s="4290"/>
    </row>
    <row r="10" spans="1:17" ht="6" customHeight="1">
      <c r="N10" s="4290"/>
      <c r="O10" s="4290"/>
      <c r="P10" s="4290"/>
      <c r="Q10" s="4290"/>
    </row>
    <row r="11" spans="1:17">
      <c r="A11" s="4464" t="s">
        <v>2476</v>
      </c>
      <c r="G11" s="4290"/>
      <c r="H11" s="4290"/>
      <c r="I11" s="4287" t="s">
        <v>1166</v>
      </c>
      <c r="J11" s="4548"/>
      <c r="K11" s="4287" t="s">
        <v>1124</v>
      </c>
      <c r="L11" s="4490"/>
      <c r="N11" s="4547"/>
      <c r="O11" s="4290"/>
      <c r="P11" s="4290"/>
      <c r="Q11" s="4290"/>
    </row>
    <row r="12" spans="1:17">
      <c r="A12" s="4464" t="s">
        <v>2156</v>
      </c>
      <c r="G12" s="4290"/>
      <c r="H12" s="4290"/>
      <c r="J12" s="4549"/>
      <c r="N12" s="4547"/>
      <c r="O12" s="4290"/>
      <c r="P12" s="4290"/>
      <c r="Q12" s="4290"/>
    </row>
    <row r="13" spans="1:17">
      <c r="N13" s="4290"/>
      <c r="O13" s="4290"/>
      <c r="P13" s="4290"/>
      <c r="Q13" s="4290"/>
    </row>
    <row r="14" spans="1:17">
      <c r="A14" s="4287" t="s">
        <v>2477</v>
      </c>
      <c r="H14" s="4550"/>
      <c r="I14" s="4551"/>
      <c r="J14" s="4552"/>
      <c r="L14" s="4490"/>
      <c r="M14" s="4490"/>
      <c r="N14" s="4290"/>
      <c r="O14" s="4290"/>
      <c r="P14" s="4290"/>
      <c r="Q14" s="4290"/>
    </row>
    <row r="15" spans="1:17">
      <c r="E15" s="4464" t="s">
        <v>2157</v>
      </c>
      <c r="G15" s="4287" t="s">
        <v>2158</v>
      </c>
      <c r="H15" s="4553" t="str">
        <f>IF(OPEN!$A$100=0,"",OPEN!$A$100)</f>
        <v/>
      </c>
      <c r="J15" s="4554">
        <f>OPEN!$J$99</f>
        <v>0</v>
      </c>
      <c r="K15" s="4464" t="s">
        <v>1124</v>
      </c>
      <c r="L15" s="4490"/>
      <c r="M15" s="4490"/>
      <c r="N15" s="4469"/>
      <c r="O15" s="4290"/>
      <c r="P15" s="4290"/>
      <c r="Q15" s="4290"/>
    </row>
    <row r="16" spans="1:17">
      <c r="N16" s="4290"/>
      <c r="O16" s="4290"/>
      <c r="P16" s="4290"/>
      <c r="Q16" s="4290"/>
    </row>
    <row r="17" spans="1:17">
      <c r="A17" s="4464" t="s">
        <v>2466</v>
      </c>
      <c r="I17" s="4287" t="s">
        <v>1166</v>
      </c>
      <c r="J17" s="4554">
        <f>IF(MAX(J8,J11,J15)&gt;33,33,MAX(J8, J11,J15))</f>
        <v>30</v>
      </c>
      <c r="K17" s="4287" t="s">
        <v>1124</v>
      </c>
      <c r="N17" s="4555"/>
      <c r="O17" s="4556"/>
      <c r="P17" s="4557"/>
      <c r="Q17" s="4290"/>
    </row>
    <row r="18" spans="1:17">
      <c r="A18" s="4464"/>
      <c r="J18" s="4557"/>
      <c r="N18" s="4558"/>
      <c r="O18" s="4556"/>
      <c r="P18" s="4290"/>
      <c r="Q18" s="4290"/>
    </row>
    <row r="19" spans="1:17">
      <c r="N19" s="4468"/>
    </row>
    <row r="20" spans="1:17">
      <c r="A20" s="4287" t="str">
        <f>"5.  COMPUTED LOB FOR "&amp;OPEN!$P$4</f>
        <v>5.  COMPUTED LOB FOR 2016-2017</v>
      </c>
    </row>
    <row r="21" spans="1:17">
      <c r="A21" s="4464" t="s">
        <v>2159</v>
      </c>
      <c r="E21" s="4484">
        <f>VLOOKUP($J$1,DATA!A3:AS288,45,FALSE)</f>
        <v>3206748</v>
      </c>
      <c r="F21" s="4464" t="s">
        <v>2160</v>
      </c>
      <c r="I21" s="4287" t="s">
        <v>1120</v>
      </c>
      <c r="J21" s="4480">
        <f>ROUND(E21*(J17/100),0)</f>
        <v>962024</v>
      </c>
      <c r="L21" s="4559" t="str">
        <f>IF(J17=33,"&lt;-- computed at 33%, enter lower adopted figure on line 6 if not using 33%"," ")</f>
        <v xml:space="preserve"> </v>
      </c>
      <c r="M21" s="4305"/>
      <c r="N21" s="4468"/>
    </row>
    <row r="23" spans="1:17">
      <c r="A23" s="4464" t="str">
        <f>"6.  ADOPTED LOB FOR "&amp;OPEN!$P$4&amp;" IF LESS THAN Line 5....................................................................................................................."</f>
        <v>6.  ADOPTED LOB FOR 2016-2017 IF LESS THAN Line 5.....................................................................................................................</v>
      </c>
      <c r="I23" s="4287" t="s">
        <v>1120</v>
      </c>
      <c r="J23" s="4560"/>
      <c r="N23" s="4561">
        <f>IF(J23=0,J21,IF(J23&gt;J21,J21,J23))</f>
        <v>962024</v>
      </c>
    </row>
    <row r="24" spans="1:17">
      <c r="J24" s="4468" t="str">
        <f>IF((J23&gt;J21),"ERROR!!!"," ")</f>
        <v xml:space="preserve"> </v>
      </c>
    </row>
    <row r="25" spans="1:17">
      <c r="J25" s="4468" t="str">
        <f>IF((J23&gt;J21),"Adopted LOB&gt;Max"," ")</f>
        <v xml:space="preserve"> </v>
      </c>
    </row>
    <row r="62" spans="1:4">
      <c r="B62" s="4562"/>
    </row>
    <row r="63" spans="1:4">
      <c r="A63" s="5264"/>
      <c r="B63" s="5264"/>
      <c r="C63" s="5264"/>
      <c r="D63" s="4563"/>
    </row>
    <row r="64" spans="1:4">
      <c r="A64" s="4564"/>
      <c r="B64" s="4564"/>
      <c r="C64" s="4564"/>
    </row>
    <row r="65" spans="1:3">
      <c r="A65" s="4564"/>
      <c r="B65" s="4564"/>
      <c r="C65" s="4564"/>
    </row>
    <row r="66" spans="1:3">
      <c r="A66" s="4565"/>
      <c r="C66" s="4566"/>
    </row>
    <row r="67" spans="1:3">
      <c r="A67" s="4565"/>
      <c r="C67" s="4566"/>
    </row>
    <row r="68" spans="1:3">
      <c r="A68" s="4565"/>
      <c r="C68" s="4566"/>
    </row>
    <row r="69" spans="1:3">
      <c r="A69" s="4565"/>
      <c r="C69" s="4566"/>
    </row>
    <row r="70" spans="1:3">
      <c r="A70" s="4565"/>
      <c r="C70" s="4566"/>
    </row>
    <row r="71" spans="1:3">
      <c r="A71" s="4565"/>
      <c r="C71" s="4566"/>
    </row>
    <row r="72" spans="1:3">
      <c r="A72" s="4565"/>
      <c r="C72" s="4566"/>
    </row>
    <row r="73" spans="1:3">
      <c r="A73" s="4565"/>
      <c r="C73" s="4566"/>
    </row>
    <row r="74" spans="1:3">
      <c r="A74" s="4565"/>
      <c r="C74" s="4566"/>
    </row>
    <row r="75" spans="1:3">
      <c r="A75" s="4565"/>
      <c r="C75" s="4566"/>
    </row>
    <row r="76" spans="1:3">
      <c r="A76" s="4567"/>
      <c r="B76" s="4305"/>
      <c r="C76" s="4568"/>
    </row>
    <row r="77" spans="1:3">
      <c r="A77" s="4567"/>
      <c r="B77" s="4305"/>
      <c r="C77" s="4568"/>
    </row>
    <row r="78" spans="1:3">
      <c r="A78" s="4567"/>
      <c r="B78" s="4305"/>
      <c r="C78" s="4568"/>
    </row>
    <row r="79" spans="1:3">
      <c r="A79" s="4565"/>
      <c r="C79" s="4566"/>
    </row>
    <row r="80" spans="1:3">
      <c r="A80" s="4565"/>
      <c r="C80" s="4566"/>
    </row>
    <row r="81" spans="1:3">
      <c r="A81" s="4565"/>
      <c r="C81" s="4566"/>
    </row>
    <row r="82" spans="1:3">
      <c r="A82" s="4565"/>
      <c r="C82" s="4566"/>
    </row>
    <row r="83" spans="1:3">
      <c r="A83" s="4565"/>
      <c r="C83" s="4566"/>
    </row>
    <row r="84" spans="1:3">
      <c r="A84" s="4565"/>
      <c r="C84" s="4566"/>
    </row>
    <row r="85" spans="1:3">
      <c r="A85" s="4565"/>
      <c r="C85" s="4566"/>
    </row>
    <row r="86" spans="1:3">
      <c r="A86" s="4565"/>
      <c r="C86" s="4566"/>
    </row>
    <row r="87" spans="1:3">
      <c r="A87" s="4565"/>
      <c r="B87" s="4464"/>
      <c r="C87" s="4566"/>
    </row>
    <row r="88" spans="1:3">
      <c r="A88" s="4565"/>
      <c r="C88" s="4566"/>
    </row>
    <row r="89" spans="1:3">
      <c r="A89" s="4565"/>
      <c r="C89" s="4566"/>
    </row>
    <row r="90" spans="1:3">
      <c r="A90" s="4565"/>
      <c r="C90" s="4566"/>
    </row>
    <row r="91" spans="1:3">
      <c r="A91" s="4565"/>
      <c r="C91" s="4566"/>
    </row>
    <row r="92" spans="1:3">
      <c r="A92" s="4565"/>
      <c r="C92" s="4566"/>
    </row>
    <row r="93" spans="1:3">
      <c r="A93" s="4565"/>
      <c r="C93" s="4566"/>
    </row>
    <row r="94" spans="1:3">
      <c r="A94" s="4565"/>
      <c r="C94" s="4566"/>
    </row>
    <row r="95" spans="1:3">
      <c r="A95" s="4565"/>
      <c r="C95" s="4566"/>
    </row>
    <row r="96" spans="1:3">
      <c r="A96" s="4565"/>
      <c r="C96" s="4566"/>
    </row>
    <row r="97" spans="1:3">
      <c r="A97" s="4565"/>
      <c r="C97" s="4566"/>
    </row>
    <row r="98" spans="1:3">
      <c r="A98" s="4565"/>
      <c r="C98" s="4566"/>
    </row>
    <row r="99" spans="1:3">
      <c r="A99" s="4565"/>
      <c r="C99" s="4566"/>
    </row>
    <row r="100" spans="1:3">
      <c r="A100" s="4565"/>
      <c r="C100" s="4566"/>
    </row>
    <row r="101" spans="1:3">
      <c r="A101" s="4565"/>
      <c r="C101" s="4566"/>
    </row>
    <row r="102" spans="1:3">
      <c r="A102" s="4565"/>
      <c r="C102" s="4566"/>
    </row>
    <row r="103" spans="1:3">
      <c r="A103" s="4565"/>
      <c r="C103" s="4566"/>
    </row>
    <row r="104" spans="1:3">
      <c r="A104" s="4565"/>
      <c r="C104" s="4566"/>
    </row>
    <row r="105" spans="1:3">
      <c r="A105" s="4565"/>
      <c r="C105" s="4566"/>
    </row>
    <row r="106" spans="1:3">
      <c r="A106" s="4565"/>
      <c r="C106" s="4566"/>
    </row>
    <row r="107" spans="1:3">
      <c r="A107" s="4565"/>
      <c r="C107" s="4566"/>
    </row>
    <row r="108" spans="1:3">
      <c r="A108" s="4565"/>
      <c r="C108" s="4566"/>
    </row>
    <row r="109" spans="1:3">
      <c r="A109" s="4565"/>
      <c r="C109" s="4566"/>
    </row>
    <row r="110" spans="1:3">
      <c r="A110" s="4565"/>
      <c r="C110" s="4566"/>
    </row>
    <row r="111" spans="1:3">
      <c r="A111" s="4565"/>
      <c r="C111" s="4566"/>
    </row>
    <row r="112" spans="1:3">
      <c r="A112" s="4565"/>
      <c r="C112" s="4566"/>
    </row>
    <row r="113" spans="1:3">
      <c r="A113" s="4565"/>
      <c r="C113" s="4566"/>
    </row>
    <row r="114" spans="1:3">
      <c r="A114" s="4565"/>
      <c r="C114" s="4566"/>
    </row>
    <row r="115" spans="1:3">
      <c r="A115" s="4565"/>
      <c r="C115" s="4566"/>
    </row>
    <row r="116" spans="1:3">
      <c r="A116" s="4565"/>
      <c r="C116" s="4566"/>
    </row>
    <row r="117" spans="1:3">
      <c r="A117" s="4565"/>
      <c r="C117" s="4566"/>
    </row>
    <row r="118" spans="1:3">
      <c r="A118" s="4565"/>
      <c r="C118" s="4566"/>
    </row>
    <row r="119" spans="1:3">
      <c r="A119" s="4565"/>
      <c r="C119" s="4566"/>
    </row>
    <row r="120" spans="1:3">
      <c r="A120" s="4565"/>
      <c r="C120" s="4566"/>
    </row>
    <row r="121" spans="1:3">
      <c r="A121" s="4565"/>
      <c r="C121" s="4566"/>
    </row>
    <row r="122" spans="1:3">
      <c r="A122" s="4565"/>
      <c r="C122" s="4566"/>
    </row>
    <row r="123" spans="1:3">
      <c r="A123" s="4565"/>
      <c r="C123" s="4566"/>
    </row>
    <row r="124" spans="1:3">
      <c r="A124" s="4565"/>
      <c r="C124" s="4566"/>
    </row>
    <row r="125" spans="1:3">
      <c r="A125" s="4565"/>
      <c r="C125" s="4566"/>
    </row>
    <row r="126" spans="1:3">
      <c r="A126" s="4565"/>
      <c r="C126" s="4566"/>
    </row>
    <row r="127" spans="1:3">
      <c r="A127" s="4565"/>
      <c r="C127" s="4566"/>
    </row>
    <row r="128" spans="1:3">
      <c r="A128" s="4565"/>
      <c r="C128" s="4566"/>
    </row>
    <row r="129" spans="1:3">
      <c r="A129" s="4565"/>
      <c r="C129" s="4566"/>
    </row>
    <row r="130" spans="1:3">
      <c r="A130" s="4565"/>
      <c r="C130" s="4566"/>
    </row>
    <row r="131" spans="1:3">
      <c r="A131" s="4565"/>
      <c r="C131" s="4566"/>
    </row>
    <row r="132" spans="1:3">
      <c r="A132" s="4565"/>
      <c r="C132" s="4566"/>
    </row>
    <row r="133" spans="1:3">
      <c r="A133" s="4565"/>
      <c r="C133" s="4566"/>
    </row>
    <row r="134" spans="1:3">
      <c r="A134" s="4565"/>
      <c r="C134" s="4566"/>
    </row>
    <row r="135" spans="1:3">
      <c r="A135" s="4565"/>
      <c r="C135" s="4566"/>
    </row>
    <row r="136" spans="1:3">
      <c r="A136" s="4565"/>
      <c r="C136" s="4566"/>
    </row>
    <row r="137" spans="1:3">
      <c r="A137" s="4565"/>
      <c r="C137" s="4566"/>
    </row>
    <row r="138" spans="1:3">
      <c r="A138" s="4565"/>
      <c r="C138" s="4566"/>
    </row>
    <row r="139" spans="1:3">
      <c r="A139" s="4565"/>
      <c r="C139" s="4566"/>
    </row>
    <row r="140" spans="1:3">
      <c r="A140" s="4565"/>
      <c r="C140" s="4566"/>
    </row>
    <row r="141" spans="1:3">
      <c r="A141" s="4565"/>
      <c r="C141" s="4566"/>
    </row>
    <row r="142" spans="1:3">
      <c r="A142" s="4565"/>
      <c r="C142" s="4566"/>
    </row>
    <row r="143" spans="1:3">
      <c r="A143" s="4565"/>
      <c r="C143" s="4566"/>
    </row>
    <row r="144" spans="1:3">
      <c r="A144" s="4565"/>
      <c r="C144" s="4566"/>
    </row>
    <row r="145" spans="1:3">
      <c r="A145" s="4565"/>
      <c r="C145" s="4566"/>
    </row>
    <row r="146" spans="1:3">
      <c r="A146" s="4565"/>
      <c r="C146" s="4566"/>
    </row>
    <row r="147" spans="1:3">
      <c r="A147" s="4565"/>
      <c r="C147" s="4566"/>
    </row>
    <row r="148" spans="1:3">
      <c r="A148" s="4565"/>
      <c r="C148" s="4566"/>
    </row>
    <row r="149" spans="1:3">
      <c r="A149" s="4565"/>
      <c r="C149" s="4566"/>
    </row>
    <row r="150" spans="1:3">
      <c r="A150" s="4565"/>
      <c r="C150" s="4566"/>
    </row>
    <row r="151" spans="1:3">
      <c r="A151" s="4565"/>
      <c r="C151" s="4566"/>
    </row>
    <row r="152" spans="1:3">
      <c r="A152" s="4565"/>
      <c r="C152" s="4566"/>
    </row>
    <row r="153" spans="1:3">
      <c r="A153" s="4565"/>
      <c r="C153" s="4566"/>
    </row>
    <row r="154" spans="1:3">
      <c r="A154" s="4565"/>
      <c r="C154" s="4566"/>
    </row>
    <row r="155" spans="1:3">
      <c r="A155" s="4565"/>
      <c r="C155" s="4566"/>
    </row>
    <row r="156" spans="1:3">
      <c r="A156" s="4565"/>
      <c r="C156" s="4566"/>
    </row>
    <row r="157" spans="1:3">
      <c r="A157" s="4565"/>
      <c r="C157" s="4566"/>
    </row>
    <row r="158" spans="1:3">
      <c r="A158" s="4565"/>
      <c r="C158" s="4566"/>
    </row>
    <row r="159" spans="1:3">
      <c r="A159" s="4565"/>
      <c r="C159" s="4566"/>
    </row>
    <row r="160" spans="1:3">
      <c r="A160" s="4565"/>
      <c r="C160" s="4566"/>
    </row>
    <row r="161" spans="1:3">
      <c r="A161" s="4565"/>
      <c r="C161" s="4566"/>
    </row>
    <row r="162" spans="1:3">
      <c r="A162" s="4565"/>
      <c r="C162" s="4566"/>
    </row>
    <row r="163" spans="1:3">
      <c r="A163" s="4565"/>
      <c r="C163" s="4566"/>
    </row>
    <row r="164" spans="1:3">
      <c r="A164" s="4565"/>
      <c r="C164" s="4566"/>
    </row>
    <row r="165" spans="1:3">
      <c r="A165" s="4565"/>
      <c r="C165" s="4566"/>
    </row>
    <row r="166" spans="1:3">
      <c r="A166" s="4565"/>
      <c r="C166" s="4566"/>
    </row>
    <row r="167" spans="1:3">
      <c r="A167" s="4565"/>
      <c r="C167" s="4566"/>
    </row>
    <row r="168" spans="1:3">
      <c r="A168" s="4565"/>
      <c r="C168" s="4566"/>
    </row>
    <row r="169" spans="1:3">
      <c r="A169" s="4565"/>
      <c r="C169" s="4566"/>
    </row>
    <row r="170" spans="1:3">
      <c r="A170" s="4565"/>
      <c r="C170" s="4566"/>
    </row>
    <row r="171" spans="1:3">
      <c r="A171" s="4565"/>
      <c r="C171" s="4566"/>
    </row>
    <row r="172" spans="1:3">
      <c r="A172" s="4565"/>
      <c r="C172" s="4566"/>
    </row>
    <row r="173" spans="1:3">
      <c r="A173" s="4565"/>
      <c r="C173" s="4566"/>
    </row>
    <row r="174" spans="1:3">
      <c r="A174" s="4565"/>
      <c r="C174" s="4566"/>
    </row>
    <row r="175" spans="1:3">
      <c r="A175" s="4565"/>
      <c r="C175" s="4566"/>
    </row>
    <row r="176" spans="1:3">
      <c r="A176" s="4565"/>
      <c r="C176" s="4566"/>
    </row>
    <row r="177" spans="1:3">
      <c r="A177" s="4565"/>
      <c r="C177" s="4566"/>
    </row>
    <row r="178" spans="1:3">
      <c r="A178" s="4565"/>
      <c r="C178" s="4566"/>
    </row>
    <row r="179" spans="1:3">
      <c r="A179" s="4565"/>
      <c r="C179" s="4566"/>
    </row>
    <row r="180" spans="1:3">
      <c r="A180" s="4565"/>
      <c r="C180" s="4566"/>
    </row>
    <row r="181" spans="1:3">
      <c r="A181" s="4565"/>
      <c r="C181" s="4566"/>
    </row>
    <row r="182" spans="1:3">
      <c r="A182" s="4565"/>
      <c r="C182" s="4566"/>
    </row>
    <row r="183" spans="1:3">
      <c r="A183" s="4565"/>
      <c r="C183" s="4566"/>
    </row>
    <row r="184" spans="1:3">
      <c r="A184" s="4565"/>
      <c r="C184" s="4566"/>
    </row>
    <row r="185" spans="1:3">
      <c r="A185" s="4565"/>
      <c r="C185" s="4566"/>
    </row>
    <row r="186" spans="1:3">
      <c r="A186" s="4565"/>
      <c r="C186" s="4566"/>
    </row>
    <row r="187" spans="1:3">
      <c r="A187" s="4565"/>
      <c r="C187" s="4566"/>
    </row>
    <row r="188" spans="1:3">
      <c r="A188" s="4565"/>
      <c r="C188" s="4566"/>
    </row>
    <row r="189" spans="1:3">
      <c r="A189" s="4565"/>
      <c r="C189" s="4566"/>
    </row>
    <row r="190" spans="1:3">
      <c r="A190" s="4565"/>
      <c r="C190" s="4566"/>
    </row>
    <row r="191" spans="1:3">
      <c r="A191" s="4565"/>
      <c r="C191" s="4566"/>
    </row>
    <row r="192" spans="1:3">
      <c r="A192" s="4565"/>
      <c r="C192" s="4566"/>
    </row>
    <row r="193" spans="1:3">
      <c r="A193" s="4565"/>
      <c r="C193" s="4566"/>
    </row>
    <row r="194" spans="1:3">
      <c r="A194" s="4565"/>
      <c r="C194" s="4566"/>
    </row>
    <row r="195" spans="1:3">
      <c r="A195" s="4565"/>
      <c r="C195" s="4566"/>
    </row>
    <row r="196" spans="1:3">
      <c r="A196" s="4565"/>
      <c r="C196" s="4566"/>
    </row>
    <row r="197" spans="1:3">
      <c r="A197" s="4565"/>
      <c r="C197" s="4566"/>
    </row>
    <row r="198" spans="1:3">
      <c r="A198" s="4565"/>
      <c r="C198" s="4566"/>
    </row>
    <row r="199" spans="1:3">
      <c r="A199" s="4565"/>
      <c r="C199" s="4566"/>
    </row>
    <row r="200" spans="1:3">
      <c r="A200" s="4565"/>
      <c r="C200" s="4566"/>
    </row>
    <row r="201" spans="1:3">
      <c r="A201" s="4565"/>
      <c r="C201" s="4566"/>
    </row>
    <row r="202" spans="1:3">
      <c r="A202" s="4565"/>
      <c r="C202" s="4566"/>
    </row>
    <row r="203" spans="1:3">
      <c r="A203" s="4565"/>
      <c r="C203" s="4566"/>
    </row>
    <row r="204" spans="1:3">
      <c r="A204" s="4565"/>
      <c r="C204" s="4566"/>
    </row>
    <row r="205" spans="1:3">
      <c r="A205" s="4565"/>
      <c r="C205" s="4566"/>
    </row>
    <row r="206" spans="1:3">
      <c r="A206" s="4565"/>
      <c r="C206" s="4566"/>
    </row>
    <row r="207" spans="1:3">
      <c r="A207" s="4565"/>
      <c r="C207" s="4566"/>
    </row>
    <row r="208" spans="1:3">
      <c r="A208" s="4565"/>
      <c r="C208" s="4566"/>
    </row>
    <row r="209" spans="1:3">
      <c r="A209" s="4565"/>
      <c r="C209" s="4566"/>
    </row>
    <row r="210" spans="1:3">
      <c r="A210" s="4565"/>
      <c r="C210" s="4566"/>
    </row>
    <row r="211" spans="1:3">
      <c r="A211" s="4565"/>
      <c r="C211" s="4566"/>
    </row>
    <row r="212" spans="1:3">
      <c r="A212" s="4565"/>
      <c r="C212" s="4566"/>
    </row>
    <row r="213" spans="1:3">
      <c r="A213" s="4565"/>
      <c r="C213" s="4566"/>
    </row>
    <row r="214" spans="1:3">
      <c r="A214" s="4565"/>
      <c r="C214" s="4566"/>
    </row>
    <row r="215" spans="1:3">
      <c r="A215" s="4565"/>
      <c r="C215" s="4566"/>
    </row>
    <row r="216" spans="1:3">
      <c r="A216" s="4565"/>
      <c r="C216" s="4566"/>
    </row>
    <row r="217" spans="1:3">
      <c r="A217" s="4565"/>
      <c r="C217" s="4566"/>
    </row>
    <row r="218" spans="1:3">
      <c r="A218" s="4565"/>
      <c r="C218" s="4566"/>
    </row>
    <row r="219" spans="1:3">
      <c r="A219" s="4565"/>
      <c r="C219" s="4566"/>
    </row>
    <row r="220" spans="1:3">
      <c r="A220" s="4565"/>
      <c r="C220" s="4566"/>
    </row>
    <row r="221" spans="1:3">
      <c r="A221" s="4565"/>
      <c r="C221" s="4566"/>
    </row>
    <row r="222" spans="1:3">
      <c r="A222" s="4565"/>
      <c r="C222" s="4566"/>
    </row>
    <row r="223" spans="1:3">
      <c r="A223" s="4565"/>
      <c r="C223" s="4566"/>
    </row>
    <row r="224" spans="1:3">
      <c r="A224" s="4565"/>
      <c r="C224" s="4566"/>
    </row>
    <row r="225" spans="1:3">
      <c r="A225" s="4565"/>
      <c r="C225" s="4566"/>
    </row>
    <row r="226" spans="1:3">
      <c r="A226" s="4565"/>
      <c r="C226" s="4566"/>
    </row>
    <row r="227" spans="1:3">
      <c r="A227" s="4565"/>
      <c r="C227" s="4566"/>
    </row>
    <row r="228" spans="1:3">
      <c r="A228" s="4565"/>
      <c r="C228" s="4566"/>
    </row>
    <row r="229" spans="1:3">
      <c r="A229" s="4565"/>
      <c r="C229" s="4566"/>
    </row>
    <row r="230" spans="1:3">
      <c r="A230" s="4565"/>
      <c r="C230" s="4566"/>
    </row>
    <row r="231" spans="1:3">
      <c r="A231" s="4565"/>
      <c r="C231" s="4566"/>
    </row>
    <row r="232" spans="1:3">
      <c r="A232" s="4565"/>
      <c r="C232" s="4566"/>
    </row>
    <row r="233" spans="1:3">
      <c r="A233" s="4565"/>
      <c r="C233" s="4566"/>
    </row>
    <row r="234" spans="1:3">
      <c r="A234" s="4565"/>
      <c r="C234" s="4566"/>
    </row>
    <row r="235" spans="1:3">
      <c r="A235" s="4565"/>
      <c r="C235" s="4566"/>
    </row>
    <row r="236" spans="1:3">
      <c r="A236" s="4565"/>
      <c r="C236" s="4566"/>
    </row>
    <row r="237" spans="1:3">
      <c r="A237" s="4565"/>
      <c r="C237" s="4566"/>
    </row>
    <row r="238" spans="1:3">
      <c r="A238" s="4565"/>
      <c r="C238" s="4566"/>
    </row>
    <row r="239" spans="1:3">
      <c r="A239" s="4565"/>
      <c r="C239" s="4566"/>
    </row>
    <row r="240" spans="1:3">
      <c r="A240" s="4565"/>
      <c r="C240" s="4566"/>
    </row>
    <row r="241" spans="1:3">
      <c r="A241" s="4565"/>
      <c r="C241" s="4566"/>
    </row>
    <row r="242" spans="1:3">
      <c r="A242" s="4565"/>
      <c r="C242" s="4566"/>
    </row>
    <row r="243" spans="1:3">
      <c r="A243" s="4565"/>
      <c r="C243" s="4566"/>
    </row>
    <row r="244" spans="1:3">
      <c r="A244" s="4565"/>
      <c r="C244" s="4566"/>
    </row>
    <row r="245" spans="1:3">
      <c r="A245" s="4565"/>
      <c r="C245" s="4566"/>
    </row>
    <row r="246" spans="1:3">
      <c r="A246" s="4565"/>
      <c r="C246" s="4566"/>
    </row>
    <row r="247" spans="1:3">
      <c r="A247" s="4565"/>
      <c r="C247" s="4566"/>
    </row>
    <row r="248" spans="1:3">
      <c r="A248" s="4565"/>
      <c r="C248" s="4566"/>
    </row>
    <row r="249" spans="1:3">
      <c r="A249" s="4565"/>
      <c r="C249" s="4566"/>
    </row>
    <row r="250" spans="1:3">
      <c r="A250" s="4565"/>
      <c r="C250" s="4566"/>
    </row>
    <row r="251" spans="1:3">
      <c r="A251" s="4565"/>
      <c r="C251" s="4566"/>
    </row>
    <row r="252" spans="1:3">
      <c r="A252" s="4565"/>
      <c r="C252" s="4566"/>
    </row>
    <row r="253" spans="1:3">
      <c r="A253" s="4565"/>
      <c r="C253" s="4566"/>
    </row>
    <row r="254" spans="1:3">
      <c r="A254" s="4565"/>
      <c r="C254" s="4566"/>
    </row>
    <row r="255" spans="1:3">
      <c r="A255" s="4565"/>
      <c r="C255" s="4566"/>
    </row>
    <row r="256" spans="1:3">
      <c r="A256" s="4565"/>
      <c r="C256" s="4566"/>
    </row>
    <row r="257" spans="1:3">
      <c r="A257" s="4565"/>
      <c r="C257" s="4566"/>
    </row>
    <row r="258" spans="1:3">
      <c r="A258" s="4565"/>
      <c r="C258" s="4566"/>
    </row>
    <row r="259" spans="1:3">
      <c r="A259" s="4565"/>
      <c r="C259" s="4566"/>
    </row>
    <row r="260" spans="1:3">
      <c r="A260" s="4565"/>
      <c r="C260" s="4566"/>
    </row>
    <row r="261" spans="1:3">
      <c r="A261" s="4565"/>
      <c r="B261" s="4464"/>
      <c r="C261" s="4566"/>
    </row>
    <row r="262" spans="1:3">
      <c r="A262" s="4565"/>
      <c r="C262" s="4566"/>
    </row>
    <row r="263" spans="1:3">
      <c r="A263" s="4565"/>
      <c r="C263" s="4566"/>
    </row>
    <row r="264" spans="1:3">
      <c r="A264" s="4565"/>
      <c r="C264" s="4566"/>
    </row>
    <row r="265" spans="1:3">
      <c r="A265" s="4565"/>
      <c r="C265" s="4566"/>
    </row>
    <row r="266" spans="1:3">
      <c r="A266" s="4565"/>
      <c r="C266" s="4566"/>
    </row>
    <row r="267" spans="1:3">
      <c r="A267" s="4565"/>
      <c r="C267" s="4566"/>
    </row>
    <row r="268" spans="1:3">
      <c r="A268" s="4565"/>
      <c r="C268" s="4566"/>
    </row>
    <row r="269" spans="1:3">
      <c r="A269" s="4565"/>
      <c r="C269" s="4566"/>
    </row>
    <row r="270" spans="1:3">
      <c r="A270" s="4565"/>
      <c r="C270" s="4566"/>
    </row>
    <row r="271" spans="1:3">
      <c r="A271" s="4565"/>
      <c r="C271" s="4566"/>
    </row>
    <row r="272" spans="1:3">
      <c r="A272" s="4565"/>
      <c r="C272" s="4566"/>
    </row>
    <row r="273" spans="1:3">
      <c r="A273" s="4565"/>
      <c r="C273" s="4566"/>
    </row>
    <row r="274" spans="1:3">
      <c r="A274" s="4565"/>
      <c r="C274" s="4566"/>
    </row>
    <row r="275" spans="1:3">
      <c r="A275" s="4565"/>
      <c r="C275" s="4566"/>
    </row>
    <row r="276" spans="1:3">
      <c r="A276" s="4565"/>
      <c r="C276" s="4566"/>
    </row>
    <row r="277" spans="1:3">
      <c r="A277" s="4565"/>
      <c r="C277" s="4566"/>
    </row>
    <row r="278" spans="1:3">
      <c r="A278" s="4565"/>
      <c r="C278" s="4566"/>
    </row>
    <row r="279" spans="1:3">
      <c r="A279" s="4565"/>
      <c r="C279" s="4566"/>
    </row>
    <row r="280" spans="1:3">
      <c r="A280" s="4565"/>
      <c r="C280" s="4566"/>
    </row>
    <row r="281" spans="1:3">
      <c r="A281" s="4565"/>
      <c r="C281" s="4566"/>
    </row>
    <row r="282" spans="1:3">
      <c r="A282" s="4565"/>
      <c r="C282" s="4566"/>
    </row>
    <row r="283" spans="1:3">
      <c r="A283" s="4565"/>
      <c r="C283" s="4566"/>
    </row>
    <row r="284" spans="1:3">
      <c r="A284" s="4565"/>
      <c r="C284" s="4566"/>
    </row>
    <row r="285" spans="1:3">
      <c r="A285" s="4565"/>
      <c r="C285" s="4566"/>
    </row>
    <row r="286" spans="1:3">
      <c r="A286" s="4565"/>
      <c r="C286" s="4566"/>
    </row>
    <row r="287" spans="1:3">
      <c r="A287" s="4565"/>
      <c r="C287" s="4566"/>
    </row>
    <row r="288" spans="1:3">
      <c r="A288" s="4565"/>
      <c r="C288" s="4566"/>
    </row>
    <row r="289" spans="1:3">
      <c r="A289" s="4565"/>
      <c r="C289" s="4566"/>
    </row>
    <row r="290" spans="1:3">
      <c r="A290" s="4565"/>
      <c r="C290" s="4566"/>
    </row>
    <row r="291" spans="1:3">
      <c r="A291" s="4565"/>
      <c r="C291" s="4566"/>
    </row>
    <row r="292" spans="1:3">
      <c r="A292" s="4565"/>
      <c r="C292" s="4566"/>
    </row>
    <row r="293" spans="1:3">
      <c r="A293" s="4565"/>
      <c r="C293" s="4566"/>
    </row>
    <row r="294" spans="1:3">
      <c r="A294" s="4565"/>
      <c r="C294" s="4566"/>
    </row>
    <row r="295" spans="1:3">
      <c r="A295" s="4565"/>
      <c r="C295" s="4566"/>
    </row>
    <row r="296" spans="1:3">
      <c r="A296" s="4565"/>
      <c r="C296" s="4566"/>
    </row>
    <row r="297" spans="1:3">
      <c r="A297" s="4565"/>
      <c r="C297" s="4566"/>
    </row>
    <row r="298" spans="1:3">
      <c r="A298" s="4565"/>
      <c r="C298" s="4566"/>
    </row>
    <row r="299" spans="1:3">
      <c r="A299" s="4565"/>
      <c r="C299" s="4566"/>
    </row>
    <row r="300" spans="1:3">
      <c r="A300" s="4565"/>
      <c r="C300" s="4566"/>
    </row>
    <row r="301" spans="1:3">
      <c r="A301" s="4565"/>
      <c r="C301" s="4566"/>
    </row>
    <row r="302" spans="1:3">
      <c r="A302" s="4565"/>
      <c r="C302" s="4566"/>
    </row>
    <row r="303" spans="1:3">
      <c r="A303" s="4565"/>
      <c r="C303" s="4566"/>
    </row>
    <row r="304" spans="1:3">
      <c r="A304" s="4565"/>
      <c r="C304" s="4566"/>
    </row>
    <row r="305" spans="1:3">
      <c r="A305" s="4565"/>
      <c r="C305" s="4566"/>
    </row>
    <row r="306" spans="1:3">
      <c r="A306" s="4565"/>
      <c r="C306" s="4566"/>
    </row>
    <row r="307" spans="1:3">
      <c r="A307" s="4565"/>
      <c r="C307" s="4566"/>
    </row>
    <row r="308" spans="1:3">
      <c r="A308" s="4565"/>
      <c r="C308" s="4566"/>
    </row>
    <row r="309" spans="1:3">
      <c r="A309" s="4565"/>
      <c r="C309" s="4566"/>
    </row>
    <row r="310" spans="1:3">
      <c r="A310" s="4565"/>
      <c r="C310" s="4566"/>
    </row>
    <row r="311" spans="1:3">
      <c r="A311" s="4565"/>
      <c r="C311" s="4566"/>
    </row>
    <row r="312" spans="1:3">
      <c r="A312" s="4565"/>
      <c r="C312" s="4566"/>
    </row>
    <row r="313" spans="1:3">
      <c r="A313" s="4565"/>
      <c r="C313" s="4566"/>
    </row>
    <row r="314" spans="1:3">
      <c r="A314" s="4565"/>
      <c r="C314" s="4566"/>
    </row>
    <row r="315" spans="1:3">
      <c r="A315" s="4565"/>
      <c r="C315" s="4566"/>
    </row>
    <row r="316" spans="1:3">
      <c r="A316" s="4565"/>
      <c r="B316" s="4464"/>
      <c r="C316" s="4566"/>
    </row>
    <row r="317" spans="1:3">
      <c r="A317" s="4565"/>
      <c r="C317" s="4566"/>
    </row>
    <row r="318" spans="1:3">
      <c r="A318" s="4565"/>
      <c r="C318" s="4566"/>
    </row>
    <row r="319" spans="1:3">
      <c r="A319" s="4565"/>
      <c r="C319" s="4566"/>
    </row>
    <row r="320" spans="1:3">
      <c r="A320" s="4565"/>
      <c r="C320" s="4566"/>
    </row>
    <row r="321" spans="1:3">
      <c r="A321" s="4565"/>
      <c r="C321" s="4566"/>
    </row>
    <row r="322" spans="1:3">
      <c r="A322" s="4565"/>
      <c r="C322" s="4566"/>
    </row>
    <row r="323" spans="1:3">
      <c r="A323" s="4565"/>
      <c r="C323" s="4566"/>
    </row>
    <row r="324" spans="1:3">
      <c r="A324" s="4565"/>
      <c r="C324" s="4566"/>
    </row>
    <row r="325" spans="1:3">
      <c r="A325" s="4565"/>
      <c r="C325" s="4566"/>
    </row>
    <row r="326" spans="1:3">
      <c r="A326" s="4565"/>
      <c r="C326" s="4566"/>
    </row>
    <row r="327" spans="1:3">
      <c r="A327" s="4565"/>
      <c r="C327" s="4566"/>
    </row>
    <row r="328" spans="1:3">
      <c r="A328" s="4565"/>
      <c r="C328" s="4566"/>
    </row>
    <row r="329" spans="1:3">
      <c r="A329" s="4565"/>
      <c r="C329" s="4566"/>
    </row>
    <row r="330" spans="1:3">
      <c r="A330" s="4565"/>
      <c r="C330" s="4566"/>
    </row>
    <row r="331" spans="1:3">
      <c r="A331" s="4565"/>
      <c r="C331" s="4566"/>
    </row>
    <row r="332" spans="1:3">
      <c r="A332" s="4565"/>
      <c r="C332" s="4566"/>
    </row>
    <row r="333" spans="1:3">
      <c r="A333" s="4565"/>
      <c r="C333" s="4566"/>
    </row>
    <row r="334" spans="1:3">
      <c r="A334" s="4565"/>
      <c r="C334" s="4566"/>
    </row>
    <row r="335" spans="1:3">
      <c r="A335" s="4565"/>
      <c r="C335" s="4566"/>
    </row>
    <row r="336" spans="1:3">
      <c r="A336" s="4565"/>
      <c r="C336" s="4566"/>
    </row>
    <row r="337" spans="1:3">
      <c r="A337" s="4565"/>
      <c r="C337" s="4566"/>
    </row>
    <row r="338" spans="1:3">
      <c r="A338" s="4565"/>
      <c r="C338" s="4566"/>
    </row>
    <row r="339" spans="1:3">
      <c r="A339" s="4565"/>
      <c r="C339" s="4566"/>
    </row>
    <row r="340" spans="1:3">
      <c r="A340" s="4565"/>
      <c r="C340" s="4566"/>
    </row>
    <row r="341" spans="1:3">
      <c r="A341" s="4565"/>
      <c r="C341" s="4566"/>
    </row>
    <row r="342" spans="1:3">
      <c r="A342" s="4565"/>
      <c r="C342" s="4566"/>
    </row>
    <row r="343" spans="1:3">
      <c r="A343" s="4565"/>
      <c r="C343" s="4566"/>
    </row>
    <row r="344" spans="1:3">
      <c r="A344" s="4565"/>
      <c r="C344" s="4566"/>
    </row>
    <row r="345" spans="1:3">
      <c r="A345" s="4565"/>
      <c r="C345" s="4566"/>
    </row>
    <row r="346" spans="1:3">
      <c r="A346" s="4565"/>
      <c r="C346" s="4566"/>
    </row>
    <row r="347" spans="1:3">
      <c r="A347" s="4565"/>
      <c r="C347" s="4566"/>
    </row>
    <row r="348" spans="1:3">
      <c r="A348" s="4565"/>
      <c r="C348" s="4566"/>
    </row>
    <row r="349" spans="1:3">
      <c r="A349" s="4565"/>
      <c r="C349" s="4566"/>
    </row>
    <row r="350" spans="1:3">
      <c r="A350" s="4565"/>
      <c r="C350" s="4566"/>
    </row>
    <row r="351" spans="1:3">
      <c r="A351" s="4565"/>
      <c r="C351" s="4566"/>
    </row>
    <row r="352" spans="1:3">
      <c r="A352" s="4565"/>
      <c r="C352" s="4566"/>
    </row>
    <row r="353" spans="1:3">
      <c r="A353" s="4565"/>
      <c r="C353" s="4566"/>
    </row>
    <row r="354" spans="1:3">
      <c r="A354" s="4565"/>
      <c r="C354" s="4566"/>
    </row>
  </sheetData>
  <sheetProtection algorithmName="SHA-512" hashValue="5MO8Z/fVICz2GuyDXuPM/Tp7UTf9cqhRbKAczqVwyJaCGpMxfA9PSXv4RPBUJilcyhxbSbeT1W1/aKImw6Icyg==" saltValue="6K2/ACvC2ZTi0affRD9ebA==" spinCount="100000" sheet="1" objects="1" scenarios="1"/>
  <mergeCells count="1">
    <mergeCell ref="A63:C63"/>
  </mergeCells>
  <dataValidations count="4">
    <dataValidation allowBlank="1" promptTitle="Expected Data Entry" prompt="Enter school year it expires (Ex: 2017-2018 or use 9999-9999 for perpetual).  Leave blank if n/a." sqref="H15"/>
    <dataValidation type="decimal" allowBlank="1" showErrorMessage="1" errorTitle="Invalid data entry" error="Enter a value between 0 and 30.00" sqref="J11:J12">
      <formula1>0</formula1>
      <formula2>30</formula2>
    </dataValidation>
    <dataValidation allowBlank="1" showInputMessage="1" showErrorMessage="1" promptTitle="Expected Data Entry" prompt="Enter school year it expires (Ex: 2017-2018 or use 9999-9999 for perpetual).  Leave blank if n/a." sqref="H14"/>
    <dataValidation type="decimal" allowBlank="1" showInputMessage="1" showErrorMessage="1" errorTitle="Invalid Data Entry" error="Valid values are between 0.00 and 1.00.  Press enter and re-enter a valid value OR press the delete key and then &lt;enter&gt; to leave blank." sqref="J14">
      <formula1>0</formula1>
      <formula2>1</formula2>
    </dataValidation>
  </dataValidations>
  <hyperlinks>
    <hyperlink ref="L1" location="Contents!A1" display="Return to Contents page"/>
  </hyperlinks>
  <pageMargins left="0.75" right="0.25" top="0.5" bottom="0.75" header="0.5" footer="0.5"/>
  <pageSetup scale="87" orientation="portrait" blackAndWhite="1" r:id="rId1"/>
  <headerFooter>
    <oddFooter>&amp;L&amp;D     &amp;T&amp;CForm 155&amp;RPage &amp;P</oddFooter>
  </headerFooter>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5050"/>
  </sheetPr>
  <dimension ref="A1:AV39"/>
  <sheetViews>
    <sheetView topLeftCell="Y1" zoomScaleNormal="100" workbookViewId="0">
      <selection activeCell="AK3" sqref="AK3"/>
    </sheetView>
  </sheetViews>
  <sheetFormatPr defaultRowHeight="12.75"/>
  <cols>
    <col min="1" max="1" width="4.7109375" style="3652" customWidth="1"/>
    <col min="7" max="7" width="5.28515625" customWidth="1"/>
    <col min="8" max="8" width="2.140625" customWidth="1"/>
    <col min="9" max="9" width="9.28515625" style="3653" customWidth="1"/>
    <col min="10" max="10" width="7.28515625" style="3653" customWidth="1"/>
    <col min="11" max="11" width="8.7109375" style="3653" customWidth="1"/>
    <col min="12" max="36" width="7.28515625" style="3653" customWidth="1"/>
    <col min="37" max="37" width="12.7109375" style="3653" customWidth="1"/>
    <col min="38" max="38" width="7.28515625" style="3653" customWidth="1"/>
    <col min="39" max="39" width="8.85546875" style="3653" customWidth="1"/>
    <col min="40" max="40" width="9" style="3653" customWidth="1"/>
    <col min="41" max="48" width="7.28515625" style="3653" customWidth="1"/>
  </cols>
  <sheetData>
    <row r="1" spans="1:48" ht="12.75" customHeight="1">
      <c r="A1" s="5309" t="str">
        <f>"Bdgt" &amp; OPEN!S5 &amp; " Checks for USD# " &amp; OPEN!B4</f>
        <v>Bdgt2017 Checks for USD# 270</v>
      </c>
      <c r="B1" s="5309"/>
      <c r="C1" s="5309"/>
      <c r="D1" s="5309"/>
      <c r="E1" s="5309"/>
      <c r="F1" s="5309"/>
      <c r="G1" s="5309"/>
      <c r="I1" s="3716" t="s">
        <v>1679</v>
      </c>
    </row>
    <row r="2" spans="1:48" ht="12.75" customHeight="1">
      <c r="A2" s="5309"/>
      <c r="B2" s="5309"/>
      <c r="C2" s="5309"/>
      <c r="D2" s="5309"/>
      <c r="E2" s="5309"/>
      <c r="F2" s="5309"/>
      <c r="G2" s="5309"/>
    </row>
    <row r="3" spans="1:48" ht="12.75" customHeight="1">
      <c r="A3" s="5309"/>
      <c r="B3" s="5309"/>
      <c r="C3" s="5309"/>
      <c r="D3" s="5309"/>
      <c r="E3" s="5309"/>
      <c r="F3" s="5309"/>
      <c r="G3" s="5309"/>
      <c r="I3" s="3661" t="s">
        <v>1640</v>
      </c>
      <c r="J3" s="3662" t="s">
        <v>1644</v>
      </c>
      <c r="K3" s="3661" t="s">
        <v>1641</v>
      </c>
      <c r="L3" s="3663" t="s">
        <v>1642</v>
      </c>
      <c r="M3" s="3661" t="s">
        <v>1507</v>
      </c>
      <c r="N3" s="3663" t="s">
        <v>1643</v>
      </c>
      <c r="O3" s="3661" t="s">
        <v>1508</v>
      </c>
      <c r="P3" s="3663" t="s">
        <v>1509</v>
      </c>
      <c r="Q3" s="3661" t="s">
        <v>1510</v>
      </c>
      <c r="R3" s="3663" t="s">
        <v>1645</v>
      </c>
      <c r="S3" s="3661" t="s">
        <v>1511</v>
      </c>
      <c r="T3" s="3663" t="s">
        <v>1646</v>
      </c>
      <c r="U3" s="3661" t="s">
        <v>1647</v>
      </c>
      <c r="V3" s="3663" t="s">
        <v>1648</v>
      </c>
      <c r="W3" s="3661" t="s">
        <v>1512</v>
      </c>
      <c r="X3" s="3663" t="s">
        <v>1513</v>
      </c>
      <c r="Y3" s="3661" t="s">
        <v>1514</v>
      </c>
      <c r="Z3" s="3663" t="s">
        <v>1515</v>
      </c>
      <c r="AA3" s="3661" t="s">
        <v>1649</v>
      </c>
      <c r="AB3" s="3663" t="s">
        <v>1516</v>
      </c>
      <c r="AC3" s="3661" t="s">
        <v>1650</v>
      </c>
      <c r="AD3" s="3663" t="s">
        <v>1651</v>
      </c>
      <c r="AE3" s="3661" t="s">
        <v>1652</v>
      </c>
      <c r="AF3" s="3663" t="s">
        <v>1653</v>
      </c>
      <c r="AG3" s="3661" t="s">
        <v>1654</v>
      </c>
      <c r="AH3" s="3663" t="s">
        <v>1655</v>
      </c>
      <c r="AI3" s="3661" t="s">
        <v>1517</v>
      </c>
      <c r="AJ3" s="3663" t="s">
        <v>1518</v>
      </c>
      <c r="AK3" s="3661" t="s">
        <v>1656</v>
      </c>
      <c r="AL3" s="3663" t="s">
        <v>1657</v>
      </c>
      <c r="AM3" s="3661" t="s">
        <v>1658</v>
      </c>
      <c r="AN3" s="3663" t="s">
        <v>1659</v>
      </c>
      <c r="AO3" s="3661" t="s">
        <v>1660</v>
      </c>
      <c r="AP3" s="3663" t="s">
        <v>1661</v>
      </c>
      <c r="AQ3" s="3661" t="s">
        <v>1662</v>
      </c>
      <c r="AR3" s="3663" t="s">
        <v>1663</v>
      </c>
      <c r="AS3" s="3661" t="s">
        <v>1664</v>
      </c>
      <c r="AT3" s="3663" t="s">
        <v>1665</v>
      </c>
      <c r="AU3" s="3661" t="s">
        <v>1666</v>
      </c>
      <c r="AV3" s="3663" t="s">
        <v>1667</v>
      </c>
    </row>
    <row r="4" spans="1:48">
      <c r="A4" s="3670"/>
      <c r="B4" s="3671"/>
      <c r="C4" s="3671"/>
      <c r="D4" s="3671"/>
      <c r="E4" s="3671"/>
      <c r="F4" s="3672"/>
      <c r="G4" s="3673"/>
      <c r="I4" s="3659"/>
      <c r="J4" s="3657"/>
      <c r="K4" s="3659"/>
      <c r="L4" s="3655"/>
      <c r="M4" s="3659"/>
      <c r="N4" s="3655"/>
      <c r="O4" s="3659"/>
      <c r="P4" s="3655"/>
      <c r="Q4" s="3659"/>
      <c r="R4" s="3655"/>
      <c r="S4" s="3659"/>
      <c r="T4" s="3655"/>
      <c r="U4" s="3659"/>
      <c r="V4" s="3655"/>
      <c r="W4" s="3659"/>
      <c r="X4" s="3655"/>
      <c r="Y4" s="3659"/>
      <c r="Z4" s="3655"/>
      <c r="AA4" s="3659"/>
      <c r="AB4" s="3655"/>
      <c r="AC4" s="3659"/>
      <c r="AD4" s="3655"/>
      <c r="AE4" s="3659"/>
      <c r="AF4" s="3655"/>
      <c r="AG4" s="3659"/>
      <c r="AH4" s="3655"/>
      <c r="AI4" s="3659"/>
      <c r="AJ4" s="3655"/>
      <c r="AK4" s="3659"/>
      <c r="AL4" s="3655"/>
      <c r="AM4" s="3659"/>
      <c r="AN4" s="3655"/>
      <c r="AO4" s="3659"/>
      <c r="AP4" s="3655"/>
      <c r="AQ4" s="3659"/>
      <c r="AR4" s="3655"/>
      <c r="AS4" s="3659"/>
      <c r="AT4" s="3655"/>
      <c r="AU4" s="3659"/>
      <c r="AV4" s="3655"/>
    </row>
    <row r="5" spans="1:48">
      <c r="A5" s="3674"/>
      <c r="B5" s="3675">
        <f>COUNTIF(I5:AV5,"=ERROR")</f>
        <v>0</v>
      </c>
      <c r="C5" s="3676" t="s">
        <v>1669</v>
      </c>
      <c r="D5" s="3677"/>
      <c r="E5" s="3677"/>
      <c r="F5" s="3677"/>
      <c r="G5" s="3678"/>
      <c r="I5" s="3660" t="str">
        <f>IF(SUM(Edits1!B3)&gt;0,"ERROR","OK")</f>
        <v>OK</v>
      </c>
      <c r="J5" s="3658" t="str">
        <f>IF(SUM(Edits1!C3)&gt;0,"ERROR","OK")</f>
        <v>OK</v>
      </c>
      <c r="K5" s="3660" t="str">
        <f>IF(SUM(Edits1!D3)&gt;0,"ERROR","OK")</f>
        <v>OK</v>
      </c>
      <c r="L5" s="3656" t="str">
        <f>IF(SUM(Edits1!E3)&gt;0,"ERROR","OK")</f>
        <v>OK</v>
      </c>
      <c r="M5" s="3660" t="str">
        <f>IF(Edits1!F3&gt;0,"ERROR","OK")</f>
        <v>OK</v>
      </c>
      <c r="N5" s="3656" t="str">
        <f>IF(Edits1!G3&gt;0,"ERROR","OK")</f>
        <v>OK</v>
      </c>
      <c r="O5" s="3660" t="str">
        <f>IF(Edits1!H3&gt;0,"ERROR","OK")</f>
        <v>OK</v>
      </c>
      <c r="P5" s="3656" t="str">
        <f>IF(Edits1!I3&gt;0,"ERROR","OK")</f>
        <v>OK</v>
      </c>
      <c r="Q5" s="3660" t="str">
        <f>IF(Edits1!J3&gt;0,"ERROR","OK")</f>
        <v>OK</v>
      </c>
      <c r="R5" s="3656" t="str">
        <f>IF(Edits1!K3&gt;0,"ERROR","OK")</f>
        <v>OK</v>
      </c>
      <c r="S5" s="3660" t="str">
        <f>IF(Edits1!L3&gt;0,"ERROR","OK")</f>
        <v>OK</v>
      </c>
      <c r="T5" s="3656" t="str">
        <f>IF(Edits1!M3&gt;0,"ERROR","OK")</f>
        <v>OK</v>
      </c>
      <c r="U5" s="3660" t="str">
        <f>IF(Edits1!N3&gt;0,"ERROR","OK")</f>
        <v>OK</v>
      </c>
      <c r="V5" s="3656" t="str">
        <f>IF(Edits1!O3&gt;0,"ERROR","OK")</f>
        <v>OK</v>
      </c>
      <c r="W5" s="3660" t="str">
        <f>IF(Edits1!P3&gt;0,"ERROR","OK")</f>
        <v>OK</v>
      </c>
      <c r="X5" s="3656" t="str">
        <f>IF(Edits1!Q3&gt;0,"ERROR","OK")</f>
        <v>OK</v>
      </c>
      <c r="Y5" s="3660" t="str">
        <f>IF(Edits1!R3&gt;0,"ERROR","OK")</f>
        <v>OK</v>
      </c>
      <c r="Z5" s="3656" t="str">
        <f>IF(Edits1!S3&gt;0,"ERROR","OK")</f>
        <v>OK</v>
      </c>
      <c r="AA5" s="3660" t="str">
        <f>IF(Edits1!T3&gt;0,"ERROR","OK")</f>
        <v>OK</v>
      </c>
      <c r="AB5" s="3656" t="str">
        <f>IF(Edits1!U3&gt;0,"ERROR","OK")</f>
        <v>OK</v>
      </c>
      <c r="AC5" s="3660" t="str">
        <f>IF(Edits1!V3&gt;0,"ERROR","OK")</f>
        <v>OK</v>
      </c>
      <c r="AD5" s="3656" t="str">
        <f>IF(Edits1!W3&gt;0,"ERROR","OK")</f>
        <v>OK</v>
      </c>
      <c r="AE5" s="3660" t="str">
        <f>IF(Edits1!X3&gt;0,"ERROR","OK")</f>
        <v>OK</v>
      </c>
      <c r="AF5" s="3656" t="str">
        <f>IF(Edits1!Y3&gt;0,"ERROR","OK")</f>
        <v>OK</v>
      </c>
      <c r="AG5" s="3660" t="str">
        <f>IF(Edits1!Z3&gt;0,"ERROR","OK")</f>
        <v>OK</v>
      </c>
      <c r="AH5" s="3656" t="str">
        <f>IF(Edits1!AA3&gt;0,"ERROR","OK")</f>
        <v>OK</v>
      </c>
      <c r="AI5" s="3660" t="str">
        <f>IF(Edits1!AB3&gt;0,"ERROR","OK")</f>
        <v>OK</v>
      </c>
      <c r="AJ5" s="3656" t="str">
        <f>IF(Edits1!AC3&gt;0,"ERROR","OK")</f>
        <v>OK</v>
      </c>
      <c r="AK5" s="3660" t="str">
        <f>IF(Edits1!AD3&gt;0,"ERROR","OK")</f>
        <v>OK</v>
      </c>
      <c r="AL5" s="3656" t="str">
        <f>IF(Edits1!AE3,"ERROR","OK")</f>
        <v>OK</v>
      </c>
      <c r="AM5" s="3660" t="str">
        <f>IF(Edits1!AF3&gt;0,"ERROR","OK")</f>
        <v>OK</v>
      </c>
      <c r="AN5" s="3656" t="str">
        <f>IF(Edits1!AG3&gt;0,"ERROR","OK")</f>
        <v>OK</v>
      </c>
      <c r="AO5" s="3660" t="str">
        <f>IF(Edits1!AH3&gt;0,"ERROR","OK")</f>
        <v>OK</v>
      </c>
      <c r="AP5" s="3656" t="str">
        <f>IF(Edits1!AI3&gt;0,"ERROR","OK")</f>
        <v>OK</v>
      </c>
      <c r="AQ5" s="3660" t="str">
        <f>IF(Edits1!AJ3&gt;0,"ERROR","OK")</f>
        <v>OK</v>
      </c>
      <c r="AR5" s="3656" t="str">
        <f>IF(Edits1!AK3&gt;0,"ERROR","OK")</f>
        <v>OK</v>
      </c>
      <c r="AS5" s="3660" t="str">
        <f>IF(Edits1!AL3&gt;0,"ERROR","OK")</f>
        <v>OK</v>
      </c>
      <c r="AT5" s="3656" t="str">
        <f>IF(Edits1!AN3&gt;0,"ERROR","OK")</f>
        <v>OK</v>
      </c>
      <c r="AU5" s="3660" t="str">
        <f>IF(Edits1!AO3&gt;0,"ERROR","OK")</f>
        <v>OK</v>
      </c>
      <c r="AV5" s="3656" t="str">
        <f>IF(Edits1!AP3&gt;0,"ERROR","OK")</f>
        <v>OK</v>
      </c>
    </row>
    <row r="6" spans="1:48">
      <c r="A6" s="3674"/>
      <c r="B6" s="3679"/>
      <c r="C6" s="3677"/>
      <c r="D6" s="3677"/>
      <c r="E6" s="3677"/>
      <c r="F6" s="3677"/>
      <c r="G6" s="3678"/>
      <c r="I6" s="3659"/>
      <c r="J6" s="3658"/>
      <c r="K6" s="3660"/>
      <c r="L6" s="3656"/>
      <c r="M6" s="3660"/>
      <c r="N6" s="3656"/>
      <c r="O6" s="3660"/>
      <c r="P6" s="3656"/>
      <c r="Q6" s="3660"/>
      <c r="R6" s="3656"/>
      <c r="S6" s="3660"/>
      <c r="T6" s="3656"/>
      <c r="U6" s="3660"/>
      <c r="V6" s="3656"/>
      <c r="W6" s="3660"/>
      <c r="X6" s="3656"/>
      <c r="Y6" s="3660"/>
      <c r="Z6" s="3656"/>
      <c r="AA6" s="3660"/>
      <c r="AB6" s="3656"/>
      <c r="AC6" s="3660"/>
      <c r="AD6" s="3656"/>
      <c r="AE6" s="3660"/>
      <c r="AF6" s="3656"/>
      <c r="AG6" s="3660"/>
      <c r="AH6" s="3656"/>
      <c r="AI6" s="3660"/>
      <c r="AJ6" s="3656"/>
      <c r="AK6" s="3660"/>
      <c r="AL6" s="3656"/>
      <c r="AM6" s="3660"/>
      <c r="AN6" s="3656"/>
      <c r="AO6" s="3660"/>
      <c r="AP6" s="3656"/>
      <c r="AQ6" s="3660"/>
      <c r="AR6" s="3656"/>
      <c r="AS6" s="3660"/>
      <c r="AT6" s="3656"/>
      <c r="AU6" s="3660"/>
      <c r="AV6" s="3656"/>
    </row>
    <row r="7" spans="1:48">
      <c r="A7" s="3674"/>
      <c r="B7" s="3675">
        <f>COUNTIF(I7:AV7,"=ERROR")</f>
        <v>0</v>
      </c>
      <c r="C7" s="3676" t="s">
        <v>1670</v>
      </c>
      <c r="D7" s="3677"/>
      <c r="E7" s="3677"/>
      <c r="F7" s="3677"/>
      <c r="G7" s="3678"/>
      <c r="I7" s="3660" t="str">
        <f>IF(SUM(Edits!B3:D3)&gt;0,"ERROR","OK")</f>
        <v>OK</v>
      </c>
      <c r="J7" s="3658" t="str">
        <f>IF(SUM(Edits!E3:G3)&gt;0,"ERROR","OK")</f>
        <v>OK</v>
      </c>
      <c r="K7" s="3660" t="str">
        <f>IF(SUM(Edits!H3:J3)&gt;0,"ERROR","OK")</f>
        <v>OK</v>
      </c>
      <c r="L7" s="3656" t="str">
        <f>IF(SUM(Edits!K3:M3)&gt;0,"ERROR","OK")</f>
        <v>OK</v>
      </c>
      <c r="M7" s="3660" t="str">
        <f>IF(SUM(Edits!N3:P3)&gt;0,"ERROR","OK")</f>
        <v>OK</v>
      </c>
      <c r="N7" s="3656" t="str">
        <f>IF(SUM(Edits!Q3:S3)&gt;0,"ERROR","OK")</f>
        <v>OK</v>
      </c>
      <c r="O7" s="3660" t="str">
        <f>IF(SUM(Edits!T3:V3)&gt;0,"ERROR","OK")</f>
        <v>OK</v>
      </c>
      <c r="P7" s="3656" t="str">
        <f>IF(SUM(Edits!W3:Y3)&gt;0,"ERROR","OK")</f>
        <v>OK</v>
      </c>
      <c r="Q7" s="3660" t="str">
        <f>IF(SUM(Edits!Z3:AB3)&gt;0,"ERROR","OK")</f>
        <v>OK</v>
      </c>
      <c r="R7" s="3656" t="str">
        <f>IF(SUM(Edits!AC3:AE3)&gt;0,"ERROR","OK")</f>
        <v>OK</v>
      </c>
      <c r="S7" s="3660" t="str">
        <f>IF(SUM(Edits!AF3:AH3)&gt;0,"ERROR","OK")</f>
        <v>OK</v>
      </c>
      <c r="T7" s="3656" t="str">
        <f>IF(SUM(Edits!AI3)&gt;0,"ERROR","OK")</f>
        <v>OK</v>
      </c>
      <c r="U7" s="3660" t="str">
        <f>IF(SUM(Edits!AJ3:AL3)&gt;0,"ERROR","OK")</f>
        <v>OK</v>
      </c>
      <c r="V7" s="3656" t="str">
        <f>IF(SUM(Edits!AM3)&gt;0,"ERROR","OK")</f>
        <v>OK</v>
      </c>
      <c r="W7" s="3660" t="str">
        <f>IF(SUM(Edits!AN3)&gt;0,"ERROR","OK")</f>
        <v>OK</v>
      </c>
      <c r="X7" s="3656" t="str">
        <f>IF(SUM(Edits!AO3)&gt;0,"ERROR","OK")</f>
        <v>OK</v>
      </c>
      <c r="Y7" s="3660" t="str">
        <f>IF(SUM(Edits!AP3:AR3)&gt;0,"ERROR","OK")</f>
        <v>OK</v>
      </c>
      <c r="Z7" s="3656" t="str">
        <f>IF(SUM(Edits!AS3:AU3)&gt;0,"ERROR","OK")</f>
        <v>OK</v>
      </c>
      <c r="AA7" s="3660" t="str">
        <f>IF(SUM(Edits!AV3)&gt;0,"ERROR","OK")</f>
        <v>OK</v>
      </c>
      <c r="AB7" s="3656" t="str">
        <f>IF(SUM(Edits!AW3:AY3)&gt;0,"ERROR","OK")</f>
        <v>OK</v>
      </c>
      <c r="AC7" s="3660" t="str">
        <f>IF(SUM(Edits!AZ3:BB3)&gt;0,"ERROR","OK")</f>
        <v>OK</v>
      </c>
      <c r="AD7" s="3656" t="str">
        <f>IF(SUM(Edits!BC3)&gt;0,"ERROR","OK")</f>
        <v>OK</v>
      </c>
      <c r="AE7" s="3660" t="str">
        <f>IF(SUM(Edits!BD3)&gt;0,"ERROR","OK")</f>
        <v>OK</v>
      </c>
      <c r="AF7" s="3656" t="str">
        <f>IF(SUM(Edits!BE3)&gt;0,"ERROR","OK")</f>
        <v>OK</v>
      </c>
      <c r="AG7" s="3660" t="str">
        <f>IF(SUM(Edits!BF3)&gt;0,"ERROR","OK")</f>
        <v>OK</v>
      </c>
      <c r="AH7" s="3656" t="str">
        <f>IF(SUM(Edits!BG3)&gt;0,"ERROR","OK")</f>
        <v>OK</v>
      </c>
      <c r="AI7" s="3660" t="str">
        <f>IF(SUM(Edits!BH3:BI3)&gt;0,"ERROR","OK")</f>
        <v>OK</v>
      </c>
      <c r="AJ7" s="3656" t="str">
        <f>IF(SUM(Edits!BJ3)&gt;0,"ERROR","OK")</f>
        <v>OK</v>
      </c>
      <c r="AK7" s="3660" t="str">
        <f>IF(SUM(Edits!BK3)&gt;0,"ERROR","OK")</f>
        <v>OK</v>
      </c>
      <c r="AL7" s="3656" t="str">
        <f>IF(SUM(Edits!BL3:BN3)&gt;0,"ERROR","OK")</f>
        <v>OK</v>
      </c>
      <c r="AM7" s="3660" t="str">
        <f>IF(SUM(Edits!BO3)&gt;0,"ERROR","OK")</f>
        <v>OK</v>
      </c>
      <c r="AN7" s="3656" t="str">
        <f>IF(SUM(Edits!BP3)&gt;0,"ERROR","OK")</f>
        <v>OK</v>
      </c>
      <c r="AO7" s="3660" t="str">
        <f>IF(SUM(Edits!BQ3)&gt;0,"ERROR","OK")</f>
        <v>OK</v>
      </c>
      <c r="AP7" s="3656" t="str">
        <f>IF(SUM(Edits!BR3)&gt;0,"ERROR","OK")</f>
        <v>OK</v>
      </c>
      <c r="AQ7" s="3660" t="str">
        <f>IF(SUM(Edits!BS3)&gt;0,"ERROR","OK")</f>
        <v>OK</v>
      </c>
      <c r="AR7" s="3656" t="str">
        <f>IF(SUM(Edits!BT3:BV3)&gt;0,"ERROR","OK")</f>
        <v>OK</v>
      </c>
      <c r="AS7" s="3660" t="str">
        <f>IF(SUM(Edits!BW3)&gt;0,"ERROR","OK")</f>
        <v>OK</v>
      </c>
      <c r="AT7" s="3656" t="str">
        <f>IF(SUM(Edits!BY3)&gt;0,"ERROR","OK")</f>
        <v>OK</v>
      </c>
      <c r="AU7" s="3660" t="str">
        <f>IF(SUM(Edits!BZ3)&gt;0,"ERROR","OK")</f>
        <v>OK</v>
      </c>
      <c r="AV7" s="3656" t="str">
        <f>IF(SUM(Edits!CA3)&gt;0,"ERROR","OK")</f>
        <v>OK</v>
      </c>
    </row>
    <row r="8" spans="1:48">
      <c r="A8" s="3674"/>
      <c r="B8" s="3679"/>
      <c r="C8" s="3677"/>
      <c r="D8" s="3677"/>
      <c r="E8" s="3677"/>
      <c r="F8" s="3677"/>
      <c r="G8" s="3678"/>
      <c r="I8" s="3660"/>
      <c r="J8" s="3658"/>
      <c r="K8" s="3660"/>
      <c r="L8" s="3656"/>
      <c r="M8" s="3660"/>
      <c r="N8" s="3656"/>
      <c r="O8" s="3660"/>
      <c r="P8" s="3656"/>
      <c r="Q8" s="3660"/>
      <c r="R8" s="3656"/>
      <c r="S8" s="3660"/>
      <c r="T8" s="3656"/>
      <c r="U8" s="3660"/>
      <c r="V8" s="3656"/>
      <c r="W8" s="3660"/>
      <c r="X8" s="3656"/>
      <c r="Y8" s="3660"/>
      <c r="Z8" s="3656"/>
      <c r="AA8" s="3660"/>
      <c r="AB8" s="3656"/>
      <c r="AC8" s="3660"/>
      <c r="AD8" s="3656"/>
      <c r="AE8" s="3660"/>
      <c r="AF8" s="3656"/>
      <c r="AG8" s="3660"/>
      <c r="AH8" s="3656"/>
      <c r="AI8" s="3660"/>
      <c r="AJ8" s="3656"/>
      <c r="AK8" s="3660"/>
      <c r="AL8" s="3656"/>
      <c r="AM8" s="3660"/>
      <c r="AN8" s="3656"/>
      <c r="AO8" s="3660"/>
      <c r="AP8" s="3656"/>
      <c r="AQ8" s="3660"/>
      <c r="AR8" s="3656"/>
      <c r="AS8" s="3660"/>
      <c r="AT8" s="3656"/>
      <c r="AU8" s="3660"/>
      <c r="AV8" s="3656"/>
    </row>
    <row r="9" spans="1:48">
      <c r="A9" s="3674"/>
      <c r="B9" s="3675">
        <f>COUNTIF(I9:AV9,"=ERROR")</f>
        <v>0</v>
      </c>
      <c r="C9" s="3676" t="s">
        <v>1668</v>
      </c>
      <c r="D9" s="3677"/>
      <c r="E9" s="3677"/>
      <c r="F9" s="3677"/>
      <c r="G9" s="3678"/>
      <c r="I9" s="3660" t="str">
        <f>IF(ISERROR('C06'!E49),"NO DATA",IF('C06'!E49="Check Expend.","ERROR","OK"))</f>
        <v>OK</v>
      </c>
      <c r="J9" s="3658" t="str">
        <f>IF('C07'!E21="ERROR","ERROR","OK")</f>
        <v>OK</v>
      </c>
      <c r="K9" s="3660" t="str">
        <f>IF(ISERROR('C08'!E33),"NO DATA",IF('C08'!E33="Expend. &lt;&gt; LOB","ERROR","OK"))</f>
        <v>OK</v>
      </c>
      <c r="L9" s="3656" t="str">
        <f>IF('C010'!F51&lt;0,"ERROR","OK")</f>
        <v>OK</v>
      </c>
      <c r="M9" s="3660" t="str">
        <f>IF('C011'!E28="ERROR","ERROR","OK")</f>
        <v>OK</v>
      </c>
      <c r="N9" s="3656" t="str">
        <f>IF('C012'!E24="ERROR","ERROR","OK")</f>
        <v>OK</v>
      </c>
      <c r="O9" s="3660" t="str">
        <f>IF('C013'!E28="ERROR","ERROR","OK")</f>
        <v>OK</v>
      </c>
      <c r="P9" s="3656" t="str">
        <f>IF('C014'!E23="ERROR","ERROR","OK")</f>
        <v>OK</v>
      </c>
      <c r="Q9" s="3660" t="str">
        <f>IF('C015'!E24="ERROR","ERROR","OK")</f>
        <v>OK</v>
      </c>
      <c r="R9" s="3656" t="str">
        <f>IF('C016'!F44&lt;0,"ERROR","OK")</f>
        <v>OK</v>
      </c>
      <c r="S9" s="3660" t="str">
        <f>IF('C018'!E24="ERROR","ERROR","OK")</f>
        <v>OK</v>
      </c>
      <c r="T9" s="3656" t="str">
        <f>IF('C019'!E33&lt;0,"ERROR","OK")</f>
        <v>OK</v>
      </c>
      <c r="U9" s="3660" t="str">
        <f>IF('C022'!E23="ERROR","ERROR","OK")</f>
        <v>OK</v>
      </c>
      <c r="V9" s="3656" t="str">
        <f>IF('C024'!E32="ERROR","ERROR","OK")</f>
        <v>OK</v>
      </c>
      <c r="W9" s="3660" t="str">
        <f>IF('C026'!E80="ERROR","ERROR","OK")</f>
        <v>OK</v>
      </c>
      <c r="X9" s="3656" t="str">
        <f>IF('C028'!E25="ERROR","ERROR","OK")</f>
        <v>OK</v>
      </c>
      <c r="Y9" s="3660" t="str">
        <f>IF('C029'!E27="ERROR","ERROR","OK")</f>
        <v>OK</v>
      </c>
      <c r="Z9" s="3656" t="str">
        <f>IF('C030'!E28="ERROR","ERROR","OK")</f>
        <v>OK</v>
      </c>
      <c r="AA9" s="3660" t="str">
        <f>IF('C033'!E31&lt;0,"ERROR","OK")</f>
        <v>OK</v>
      </c>
      <c r="AB9" s="3656" t="str">
        <f>IF('C034'!E35="ERROR","ERROR","OK")</f>
        <v>OK</v>
      </c>
      <c r="AC9" s="3660" t="str">
        <f>IF('C035'!E21="ERROR","ERROR","OK")</f>
        <v>OK</v>
      </c>
      <c r="AD9" s="3656" t="str">
        <f>IF('C042'!F50&lt;0,"ERROR","OK")</f>
        <v>OK</v>
      </c>
      <c r="AE9" s="3660" t="str">
        <f>IF('C044'!F38&lt;0,"ERROR","OK")</f>
        <v>OK</v>
      </c>
      <c r="AF9" s="3656" t="str">
        <f>IF('C045'!E31&lt;0,"ERROR","OK")</f>
        <v>OK</v>
      </c>
      <c r="AG9" s="3660" t="str">
        <f>IF('C047'!D47&lt;0,"ERROR","OK")</f>
        <v>OK</v>
      </c>
      <c r="AH9" s="3656" t="str">
        <f>IF('C051'!E38="Exp. &lt;&gt; Resources","ERROR","OK")</f>
        <v>OK</v>
      </c>
      <c r="AI9" s="3660" t="str">
        <f>IF('C053'!D15&lt;0,"ERROR","OK")</f>
        <v>OK</v>
      </c>
      <c r="AJ9" s="3656" t="str">
        <f>IF('C055'!D42&lt;0,"ERROR","OK")</f>
        <v>OK</v>
      </c>
      <c r="AK9" s="3660" t="str">
        <f>IF(OR('C056'!D19&lt;0, AK10="Missing Expend."),"ERROR","OK")</f>
        <v>OK</v>
      </c>
      <c r="AL9" s="3656" t="str">
        <f>IF('C057'!E18="ERROR","ERROR","OK")</f>
        <v>OK</v>
      </c>
      <c r="AM9" s="3660" t="str">
        <f>IF(ISERROR('C062'!F54),"NO DATA",IF('C062'!F54&lt;0,"ERROR","OK"))</f>
        <v>OK</v>
      </c>
      <c r="AN9" s="3656" t="str">
        <f>IF(ISERROR('C063'!F54),"NO DATA",IF('C063'!F54&lt;0,"ERROR","OK"))</f>
        <v>OK</v>
      </c>
      <c r="AO9" s="3660" t="str">
        <f>IF('C066'!F39&lt;0,"ERROR","OK")</f>
        <v>OK</v>
      </c>
      <c r="AP9" s="3656" t="str">
        <f>IF('C067'!F37&lt;0,"ERROR","OK")</f>
        <v>OK</v>
      </c>
      <c r="AQ9" s="3660" t="str">
        <f>IF('C068'!F40&lt;0,"ERROR","OK")</f>
        <v>OK</v>
      </c>
      <c r="AR9" s="3656" t="str">
        <f>IF('C078'!E23="ERROR","ERROR","OK")</f>
        <v>OK</v>
      </c>
      <c r="AS9" s="3660" t="str">
        <f>IF('C080'!F37&lt;0,"ERROR","OK")</f>
        <v>OK</v>
      </c>
      <c r="AT9" s="3656" t="str">
        <f>IF('C083'!F37&lt;0,"ERROR","OK")</f>
        <v>OK</v>
      </c>
      <c r="AU9" s="3660" t="str">
        <f>IF('C084'!F37&lt;0,"ERROR","OK")</f>
        <v>OK</v>
      </c>
      <c r="AV9" s="3656" t="str">
        <f>IF('C086'!F37&lt;0,"ERROR","OK")</f>
        <v>OK</v>
      </c>
    </row>
    <row r="10" spans="1:48">
      <c r="A10" s="3674"/>
      <c r="B10" s="3677"/>
      <c r="C10" s="3677"/>
      <c r="D10" s="3677"/>
      <c r="E10" s="3677"/>
      <c r="F10" s="3677"/>
      <c r="G10" s="3678"/>
      <c r="I10" s="3666"/>
      <c r="AK10" s="3827" t="str">
        <f>IF(AND('C056'!C18=0,'C056'!D18=0),"Missing Expend.","")</f>
        <v/>
      </c>
    </row>
    <row r="11" spans="1:48">
      <c r="A11" s="3674"/>
      <c r="B11" s="3675" t="str">
        <f>IF(I11="NO","NO","YES")</f>
        <v>NO</v>
      </c>
      <c r="C11" s="3676" t="s">
        <v>1977</v>
      </c>
      <c r="D11" s="3677"/>
      <c r="E11" s="3677"/>
      <c r="F11" s="3677"/>
      <c r="G11" s="3678"/>
      <c r="I11" s="3659" t="s">
        <v>1869</v>
      </c>
    </row>
    <row r="12" spans="1:48">
      <c r="A12" s="3674"/>
      <c r="B12" s="3677"/>
      <c r="C12" s="3677"/>
      <c r="D12" s="3677"/>
      <c r="E12" s="3677"/>
      <c r="F12" s="3677"/>
      <c r="G12" s="3678"/>
    </row>
    <row r="13" spans="1:48">
      <c r="A13" s="3674"/>
      <c r="B13" s="3713" t="str">
        <f>IF(AND(SUM(B5+B7+B9)=0,I9&lt;&gt;"NO DATA",K9&lt;&gt;"NO DATA"),"All funds in balance","")</f>
        <v>All funds in balance</v>
      </c>
      <c r="C13" s="3677"/>
      <c r="D13" s="3677"/>
      <c r="E13" s="3677"/>
      <c r="F13" s="3677"/>
      <c r="G13" s="3678"/>
      <c r="I13" s="3715" t="str">
        <f>IF(OPEN!B4&lt;&gt;0,IF(OR('C06'!C357=0,'C06'!D357=0,'C06'!E357=0),"Expenditures missing for year(s) on C06 - General Fund","Since excess revenue does NOT go to state, make sure all expenditures are listed."),"")</f>
        <v>Since excess revenue does NOT go to state, make sure all expenditures are listed.</v>
      </c>
    </row>
    <row r="14" spans="1:48" s="3711" customFormat="1">
      <c r="A14" s="3674"/>
      <c r="B14" s="3714" t="str">
        <f>IF(AND(SUM(B5+B7+B9)=0,I9&lt;&gt;"NO DATA",K9&lt;&gt;"NO DATA"),"","Correct funds before submitting to KSDE")</f>
        <v/>
      </c>
      <c r="C14" s="3677"/>
      <c r="D14" s="3677"/>
      <c r="E14" s="3677"/>
      <c r="F14" s="3677"/>
      <c r="G14" s="3678"/>
      <c r="I14" s="3715" t="str">
        <f>IF(I9="NO DATA","C06 is not filled out or in balance","")</f>
        <v/>
      </c>
      <c r="J14" s="3712"/>
      <c r="K14" s="3712"/>
      <c r="L14" s="3712"/>
      <c r="M14" s="3712"/>
      <c r="N14" s="3712"/>
      <c r="O14" s="3712"/>
      <c r="P14" s="3712"/>
      <c r="Q14" s="3712"/>
      <c r="R14" s="3712"/>
      <c r="S14" s="3712"/>
      <c r="T14" s="3712"/>
      <c r="U14" s="3712"/>
      <c r="V14" s="3712"/>
      <c r="W14" s="3712"/>
      <c r="X14" s="3712"/>
      <c r="Y14" s="3712"/>
      <c r="Z14" s="3712"/>
      <c r="AA14" s="3712"/>
      <c r="AB14" s="3712"/>
      <c r="AC14" s="3712"/>
      <c r="AD14" s="3712"/>
      <c r="AE14" s="3712"/>
      <c r="AF14" s="3712"/>
      <c r="AG14" s="3712"/>
      <c r="AH14" s="3712"/>
      <c r="AI14" s="3712"/>
      <c r="AJ14" s="3712"/>
      <c r="AK14" s="3712"/>
      <c r="AL14" s="3712"/>
      <c r="AM14" s="3712"/>
      <c r="AN14" s="3712"/>
      <c r="AO14" s="3712"/>
      <c r="AP14" s="3712"/>
      <c r="AQ14" s="3712"/>
      <c r="AR14" s="3712"/>
      <c r="AS14" s="3712"/>
      <c r="AT14" s="3712"/>
      <c r="AU14" s="3712"/>
      <c r="AV14" s="3712"/>
    </row>
    <row r="15" spans="1:48">
      <c r="A15" s="3674"/>
      <c r="B15" s="3677"/>
      <c r="C15" s="3677"/>
      <c r="D15" s="3677"/>
      <c r="E15" s="3677"/>
      <c r="F15" s="3677"/>
      <c r="G15" s="3678"/>
      <c r="I15" s="3715" t="str">
        <f>IF(K9="NO DATA","C08 is not filled out or in balance","")</f>
        <v/>
      </c>
    </row>
    <row r="16" spans="1:48">
      <c r="A16" s="3674"/>
      <c r="B16" s="3676" t="s">
        <v>1672</v>
      </c>
      <c r="C16" s="3677"/>
      <c r="D16" s="3677"/>
      <c r="E16" s="3677"/>
      <c r="F16" s="3677"/>
      <c r="G16" s="3678"/>
    </row>
    <row r="17" spans="1:48">
      <c r="A17" s="3674"/>
      <c r="B17" s="3676" t="s">
        <v>1677</v>
      </c>
      <c r="C17" s="3677"/>
      <c r="D17" s="3677"/>
      <c r="E17" s="3677"/>
      <c r="F17" s="3677"/>
      <c r="G17" s="3678"/>
    </row>
    <row r="18" spans="1:48">
      <c r="A18" s="3674"/>
      <c r="B18" s="3677" t="s">
        <v>1678</v>
      </c>
      <c r="C18" s="3677"/>
      <c r="D18" s="3677"/>
      <c r="E18" s="3677"/>
      <c r="F18" s="3677"/>
      <c r="G18" s="3678"/>
    </row>
    <row r="19" spans="1:48" s="3711" customFormat="1">
      <c r="A19" s="3674"/>
      <c r="B19" s="3677"/>
      <c r="C19" s="3677"/>
      <c r="D19" s="3677"/>
      <c r="E19" s="3677"/>
      <c r="F19" s="3677"/>
      <c r="G19" s="3678"/>
      <c r="I19" s="3712"/>
      <c r="J19" s="3712"/>
      <c r="K19" s="3712"/>
      <c r="L19" s="3712"/>
      <c r="M19" s="3712"/>
      <c r="N19" s="3712"/>
      <c r="O19" s="3712"/>
      <c r="P19" s="3712"/>
      <c r="Q19" s="3712"/>
      <c r="R19" s="3712"/>
      <c r="S19" s="3712"/>
      <c r="T19" s="3712"/>
      <c r="U19" s="3712"/>
      <c r="V19" s="3712"/>
      <c r="W19" s="3712"/>
      <c r="X19" s="3712"/>
      <c r="Y19" s="3712"/>
      <c r="Z19" s="3712"/>
      <c r="AA19" s="3712"/>
      <c r="AB19" s="3712"/>
      <c r="AC19" s="3712"/>
      <c r="AD19" s="3712"/>
      <c r="AE19" s="3712"/>
      <c r="AF19" s="3712"/>
      <c r="AG19" s="3712"/>
      <c r="AH19" s="3712"/>
      <c r="AI19" s="3712"/>
      <c r="AJ19" s="3712"/>
      <c r="AK19" s="3712"/>
      <c r="AL19" s="3712"/>
      <c r="AM19" s="3712"/>
      <c r="AN19" s="3712"/>
      <c r="AO19" s="3712"/>
      <c r="AP19" s="3712"/>
      <c r="AQ19" s="3712"/>
      <c r="AR19" s="3712"/>
      <c r="AS19" s="3712"/>
      <c r="AT19" s="3712"/>
      <c r="AU19" s="3712"/>
      <c r="AV19" s="3712"/>
    </row>
    <row r="20" spans="1:48">
      <c r="A20" s="3674"/>
      <c r="B20" s="3676" t="s">
        <v>1671</v>
      </c>
      <c r="C20" s="3677"/>
      <c r="D20" s="3677"/>
      <c r="E20" s="3677"/>
      <c r="F20" s="3677"/>
      <c r="G20" s="3678"/>
    </row>
    <row r="21" spans="1:48">
      <c r="A21" s="3680"/>
      <c r="B21" s="3681"/>
      <c r="C21" s="3681"/>
      <c r="D21" s="3681"/>
      <c r="E21" s="3681"/>
      <c r="F21" s="3681"/>
      <c r="G21" s="3682"/>
    </row>
    <row r="22" spans="1:48">
      <c r="A22" s="3667" t="s">
        <v>1673</v>
      </c>
      <c r="B22" s="3668"/>
      <c r="C22" s="3668"/>
      <c r="D22" s="3668"/>
      <c r="E22" s="3668"/>
      <c r="F22" s="3668"/>
      <c r="G22" s="3669"/>
    </row>
    <row r="23" spans="1:48">
      <c r="A23" s="5310"/>
      <c r="B23" s="5311"/>
      <c r="C23" s="5311"/>
      <c r="D23" s="5311"/>
      <c r="E23" s="5311"/>
      <c r="F23" s="5311"/>
      <c r="G23" s="5312"/>
    </row>
    <row r="24" spans="1:48">
      <c r="A24" s="5313"/>
      <c r="B24" s="5311"/>
      <c r="C24" s="5311"/>
      <c r="D24" s="5311"/>
      <c r="E24" s="5311"/>
      <c r="F24" s="5311"/>
      <c r="G24" s="5312"/>
    </row>
    <row r="25" spans="1:48">
      <c r="A25" s="5313"/>
      <c r="B25" s="5311"/>
      <c r="C25" s="5311"/>
      <c r="D25" s="5311"/>
      <c r="E25" s="5311"/>
      <c r="F25" s="5311"/>
      <c r="G25" s="5312"/>
    </row>
    <row r="26" spans="1:48">
      <c r="A26" s="5313"/>
      <c r="B26" s="5311"/>
      <c r="C26" s="5311"/>
      <c r="D26" s="5311"/>
      <c r="E26" s="5311"/>
      <c r="F26" s="5311"/>
      <c r="G26" s="5312"/>
    </row>
    <row r="27" spans="1:48">
      <c r="A27" s="5313"/>
      <c r="B27" s="5311"/>
      <c r="C27" s="5311"/>
      <c r="D27" s="5311"/>
      <c r="E27" s="5311"/>
      <c r="F27" s="5311"/>
      <c r="G27" s="5312"/>
    </row>
    <row r="28" spans="1:48">
      <c r="A28" s="5313"/>
      <c r="B28" s="5311"/>
      <c r="C28" s="5311"/>
      <c r="D28" s="5311"/>
      <c r="E28" s="5311"/>
      <c r="F28" s="5311"/>
      <c r="G28" s="5312"/>
    </row>
    <row r="29" spans="1:48">
      <c r="A29" s="5313"/>
      <c r="B29" s="5311"/>
      <c r="C29" s="5311"/>
      <c r="D29" s="5311"/>
      <c r="E29" s="5311"/>
      <c r="F29" s="5311"/>
      <c r="G29" s="5312"/>
    </row>
    <row r="30" spans="1:48">
      <c r="A30" s="5314"/>
      <c r="B30" s="5315"/>
      <c r="C30" s="5315"/>
      <c r="D30" s="5315"/>
      <c r="E30" s="5315"/>
      <c r="F30" s="5315"/>
      <c r="G30" s="5316"/>
    </row>
    <row r="32" spans="1:48">
      <c r="A32" s="3710"/>
    </row>
    <row r="37" spans="1:2">
      <c r="B37" s="3645"/>
    </row>
    <row r="39" spans="1:2">
      <c r="A39" s="3645"/>
    </row>
  </sheetData>
  <sheetProtection algorithmName="SHA-512" hashValue="CNyee7CbfGz9HU3u/eeb1NVSzzHQR8vWhzx4DIiND2mkPHZ3dAJqhkGf7HjITdaAmj2NvpDVrgXjPqB19S3EDw==" saltValue="Ignctf0AhQaL1VZOOtoPcw==" spinCount="100000" sheet="1" objects="1" scenarios="1"/>
  <mergeCells count="2">
    <mergeCell ref="A1:G3"/>
    <mergeCell ref="A23:G30"/>
  </mergeCells>
  <hyperlinks>
    <hyperlink ref="I3" location="'C06'!A1" display="C06"/>
    <hyperlink ref="J3" location="'C07'!A1" display="C07"/>
    <hyperlink ref="K3" location="'C08'!A1" display="C08"/>
    <hyperlink ref="L3" location="'C010'!A1" display="C010"/>
    <hyperlink ref="M3" location="'C011'!A1" display="C011"/>
    <hyperlink ref="N3" location="'C012'!A1" display="C012"/>
    <hyperlink ref="O3" location="'C013'!A1" display="C013"/>
    <hyperlink ref="P3" location="'C014'!A1" display="C014"/>
    <hyperlink ref="Q3" location="'C015'!A1" display="C015"/>
    <hyperlink ref="R3" location="'C016'!A1" display="C016"/>
    <hyperlink ref="S3" location="'C018'!A1" display="C018"/>
    <hyperlink ref="T3" location="'C019'!A1" display="C019"/>
    <hyperlink ref="U3" location="'C022'!A1" display="C022"/>
    <hyperlink ref="V3" location="'C024'!A1" display="C024"/>
    <hyperlink ref="W3" location="'C026'!A1" display="C026"/>
    <hyperlink ref="X3" location="'C028'!A1" display="C028"/>
    <hyperlink ref="Y3" location="'C029'!A1" display="C029"/>
    <hyperlink ref="Z3" location="'C030'!A1" display="C030"/>
    <hyperlink ref="AA3" location="'C033'!A1" display="C033"/>
    <hyperlink ref="AB3" location="'C034'!A1" display="C034"/>
    <hyperlink ref="AC3" location="'C035'!A1" display="C035"/>
    <hyperlink ref="AD3" location="'C042'!A1" display="C042"/>
    <hyperlink ref="AE3" location="'C044'!A1" display="C044"/>
    <hyperlink ref="AF3" location="'C045'!A1" display="C045"/>
    <hyperlink ref="AG3" location="'C047'!A1" display="C047"/>
    <hyperlink ref="AH3" location="'C051'!A1" display="C051"/>
    <hyperlink ref="AI3" location="'C053'!A1" display="C053"/>
    <hyperlink ref="AJ3" location="'C055'!A1" display="C055"/>
    <hyperlink ref="AK3" location="'C056'!A1" display="C056"/>
    <hyperlink ref="AL3" location="'C057'!A1" display="C057"/>
    <hyperlink ref="AM3" location="'C062'!A1" display="C062"/>
    <hyperlink ref="AN3" location="'C063'!A1" display="C063"/>
    <hyperlink ref="AO3" location="'C066'!A1" display="C066"/>
    <hyperlink ref="AP3" location="'C067'!A1" display="C067"/>
    <hyperlink ref="AQ3" location="'C068'!A1" display="C068"/>
    <hyperlink ref="AR3" location="'C078'!A1" display="C078"/>
    <hyperlink ref="AS3" location="'C080'!A1" display="C080"/>
    <hyperlink ref="AT3" location="'C083'!A1" display="C083"/>
    <hyperlink ref="AU3" location="'C084'!A1" display="C084"/>
    <hyperlink ref="AV3" location="'C086'!A1" display="C086"/>
    <hyperlink ref="I1" location="Contents!F1" display="Return to Contents Page"/>
  </hyperlinks>
  <pageMargins left="0.45" right="0.45" top="0.75" bottom="0.75" header="0.3" footer="0.3"/>
  <pageSetup scale="72" pageOrder="overThenDown" orientation="portrait" r:id="rId1"/>
  <headerFooter>
    <oddHeader>&amp;CIntentionally left blank</oddHeader>
  </headerFooter>
  <colBreaks count="1" manualBreakCount="1">
    <brk id="24" max="1048575" man="1"/>
  </colBreaks>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1:BE290"/>
  <sheetViews>
    <sheetView zoomScaleNormal="100" workbookViewId="0">
      <pane xSplit="2" ySplit="2" topLeftCell="K21" activePane="bottomRight" state="frozen"/>
      <selection pane="topRight" activeCell="C1" sqref="C1"/>
      <selection pane="bottomLeft" activeCell="A3" sqref="A3"/>
      <selection pane="bottomRight" activeCell="K55" sqref="K55"/>
    </sheetView>
  </sheetViews>
  <sheetFormatPr defaultRowHeight="12.75"/>
  <cols>
    <col min="1" max="1" width="9.140625" style="3600"/>
    <col min="2" max="2" width="24.85546875" style="3600" bestFit="1" customWidth="1"/>
    <col min="3" max="3" width="13.5703125" style="3600" customWidth="1"/>
    <col min="4" max="7" width="14.7109375" style="3600" customWidth="1"/>
    <col min="8" max="8" width="21" style="3600" bestFit="1" customWidth="1"/>
    <col min="9" max="9" width="19.140625" style="3600" bestFit="1" customWidth="1"/>
    <col min="10" max="10" width="9.5703125" style="3600" bestFit="1" customWidth="1"/>
    <col min="11" max="11" width="15.42578125" style="3600" bestFit="1" customWidth="1"/>
    <col min="12" max="15" width="15.42578125" style="3600" customWidth="1"/>
    <col min="16" max="17" width="11.7109375" style="3600" bestFit="1" customWidth="1"/>
    <col min="18" max="19" width="14.140625" style="3600" bestFit="1" customWidth="1"/>
    <col min="20" max="21" width="14.140625" style="3600" customWidth="1"/>
    <col min="22" max="22" width="14.85546875" style="3600" bestFit="1" customWidth="1"/>
    <col min="23" max="23" width="15.7109375" style="3600" customWidth="1"/>
    <col min="24" max="24" width="12.85546875" style="3600" bestFit="1" customWidth="1"/>
    <col min="25" max="25" width="12.42578125" style="3600" bestFit="1" customWidth="1"/>
    <col min="26" max="26" width="15.28515625" style="3600" customWidth="1"/>
    <col min="27" max="27" width="15.140625" style="3600" customWidth="1"/>
    <col min="28" max="28" width="13.140625" style="3600" customWidth="1"/>
    <col min="29" max="29" width="11.140625" style="3600" bestFit="1" customWidth="1"/>
    <col min="30" max="31" width="11" style="3600" customWidth="1"/>
    <col min="32" max="32" width="11.42578125" style="3600" customWidth="1"/>
    <col min="33" max="33" width="13.5703125" style="3600" customWidth="1"/>
    <col min="34" max="34" width="9.140625" style="3600"/>
    <col min="35" max="35" width="15.85546875" style="3600" customWidth="1"/>
    <col min="36" max="36" width="10.42578125" style="3600" customWidth="1"/>
    <col min="37" max="37" width="9.140625" style="3600"/>
    <col min="38" max="38" width="11.7109375" style="3600" customWidth="1"/>
    <col min="39" max="39" width="15" style="3600" customWidth="1"/>
    <col min="40" max="40" width="13.28515625" style="3600" customWidth="1"/>
    <col min="41" max="41" width="12.7109375" style="3600" customWidth="1"/>
    <col min="42" max="42" width="14.42578125" style="3600" customWidth="1"/>
    <col min="43" max="43" width="16.7109375" style="3600" customWidth="1"/>
    <col min="44" max="44" width="12.7109375" style="3600" customWidth="1"/>
    <col min="45" max="45" width="12.42578125" style="3600" customWidth="1"/>
    <col min="46" max="46" width="15.7109375" style="3600" customWidth="1"/>
    <col min="47" max="47" width="10.28515625" style="3600" customWidth="1"/>
    <col min="48" max="48" width="12.5703125" style="3600" customWidth="1"/>
    <col min="49" max="50" width="9.140625" style="3600"/>
    <col min="51" max="51" width="11.28515625" style="3600" customWidth="1"/>
    <col min="52" max="52" width="11" style="3600" customWidth="1"/>
    <col min="53" max="53" width="11.140625" style="3600" customWidth="1"/>
    <col min="54" max="56" width="9.140625" style="3600"/>
    <col min="57" max="57" width="15.42578125" style="3600" customWidth="1"/>
    <col min="58" max="16384" width="9.140625" style="3600"/>
  </cols>
  <sheetData>
    <row r="1" spans="1:57">
      <c r="A1" s="5206" t="s">
        <v>1521</v>
      </c>
      <c r="B1" s="3811" t="s">
        <v>1689</v>
      </c>
      <c r="C1" s="3811" t="s">
        <v>2542</v>
      </c>
      <c r="D1" s="3811" t="s">
        <v>1522</v>
      </c>
      <c r="E1" s="3811" t="s">
        <v>1523</v>
      </c>
      <c r="F1" s="3811" t="s">
        <v>1524</v>
      </c>
      <c r="G1" s="3811" t="s">
        <v>1525</v>
      </c>
      <c r="H1" s="3811" t="s">
        <v>1526</v>
      </c>
      <c r="I1" s="3811" t="s">
        <v>2543</v>
      </c>
      <c r="J1" s="3811" t="s">
        <v>2616</v>
      </c>
      <c r="K1" s="3811" t="s">
        <v>2617</v>
      </c>
      <c r="L1" s="3811" t="s">
        <v>1923</v>
      </c>
      <c r="M1" s="3811" t="s">
        <v>1948</v>
      </c>
      <c r="N1" s="3811" t="s">
        <v>2618</v>
      </c>
      <c r="O1" s="3811" t="s">
        <v>2619</v>
      </c>
      <c r="P1" s="3811" t="s">
        <v>2547</v>
      </c>
      <c r="Q1" s="3811" t="s">
        <v>2548</v>
      </c>
      <c r="R1" s="5114" t="s">
        <v>1942</v>
      </c>
      <c r="S1" s="3811" t="s">
        <v>1943</v>
      </c>
      <c r="T1" s="5114" t="s">
        <v>1806</v>
      </c>
      <c r="U1" s="4200" t="s">
        <v>1807</v>
      </c>
      <c r="V1" s="5207" t="s">
        <v>2620</v>
      </c>
      <c r="W1" s="5207" t="s">
        <v>2621</v>
      </c>
      <c r="X1" s="4201" t="s">
        <v>2622</v>
      </c>
      <c r="Y1" s="4202" t="s">
        <v>2623</v>
      </c>
      <c r="Z1" s="3566" t="s">
        <v>1945</v>
      </c>
      <c r="AA1" s="4279" t="s">
        <v>1972</v>
      </c>
      <c r="AB1" s="5208" t="s">
        <v>2624</v>
      </c>
      <c r="AC1" s="3811" t="s">
        <v>1690</v>
      </c>
      <c r="AD1" s="3811" t="s">
        <v>1691</v>
      </c>
      <c r="AE1" s="3811" t="s">
        <v>1692</v>
      </c>
      <c r="AF1" s="3811" t="s">
        <v>1946</v>
      </c>
      <c r="AG1" s="3811" t="s">
        <v>1947</v>
      </c>
      <c r="AH1" s="4203" t="s">
        <v>2625</v>
      </c>
      <c r="AI1" s="4203" t="s">
        <v>2626</v>
      </c>
      <c r="AJ1" s="4203" t="s">
        <v>1949</v>
      </c>
      <c r="AK1" s="3566" t="s">
        <v>1950</v>
      </c>
      <c r="AL1" s="3566" t="s">
        <v>2627</v>
      </c>
      <c r="AM1" s="3811" t="s">
        <v>1944</v>
      </c>
      <c r="AN1" s="3566" t="s">
        <v>1952</v>
      </c>
      <c r="AO1" s="3566"/>
      <c r="AP1" s="3566"/>
      <c r="AQ1" s="4203" t="s">
        <v>2628</v>
      </c>
      <c r="AR1" s="3566" t="s">
        <v>1922</v>
      </c>
      <c r="AS1" s="3566" t="s">
        <v>1951</v>
      </c>
      <c r="AT1" s="3566" t="s">
        <v>2629</v>
      </c>
      <c r="AU1" s="3566" t="s">
        <v>2630</v>
      </c>
      <c r="AV1" s="3811" t="s">
        <v>2631</v>
      </c>
      <c r="AW1" s="3811" t="s">
        <v>2546</v>
      </c>
      <c r="AX1" s="5207" t="s">
        <v>1978</v>
      </c>
      <c r="AY1" s="5207" t="s">
        <v>2545</v>
      </c>
      <c r="AZ1" s="5207" t="s">
        <v>2544</v>
      </c>
      <c r="BA1" s="5207" t="s">
        <v>2549</v>
      </c>
      <c r="BB1" s="5207" t="s">
        <v>2632</v>
      </c>
      <c r="BC1" s="5207" t="s">
        <v>2633</v>
      </c>
      <c r="BD1" s="5207" t="s">
        <v>2634</v>
      </c>
      <c r="BE1" s="5209" t="s">
        <v>2642</v>
      </c>
    </row>
    <row r="2" spans="1:57" ht="13.5" thickBot="1">
      <c r="A2" s="5210" t="s">
        <v>1019</v>
      </c>
      <c r="B2" s="3812" t="s">
        <v>1527</v>
      </c>
      <c r="C2" s="3812" t="s">
        <v>1528</v>
      </c>
      <c r="D2" s="3812" t="s">
        <v>2550</v>
      </c>
      <c r="E2" s="3812" t="s">
        <v>1924</v>
      </c>
      <c r="F2" s="3812" t="s">
        <v>2551</v>
      </c>
      <c r="G2" s="3812" t="s">
        <v>2552</v>
      </c>
      <c r="H2" s="3812" t="s">
        <v>1925</v>
      </c>
      <c r="I2" s="3812" t="s">
        <v>2553</v>
      </c>
      <c r="J2" s="3812" t="s">
        <v>1529</v>
      </c>
      <c r="K2" s="3812" t="s">
        <v>2554</v>
      </c>
      <c r="L2" s="4280">
        <v>41172</v>
      </c>
      <c r="M2" s="4280">
        <v>41537</v>
      </c>
      <c r="N2" s="4280">
        <v>41902</v>
      </c>
      <c r="O2" s="4280">
        <v>42267</v>
      </c>
      <c r="P2" s="3812" t="s">
        <v>1926</v>
      </c>
      <c r="Q2" s="3812" t="s">
        <v>2555</v>
      </c>
      <c r="R2" s="4205" t="s">
        <v>1927</v>
      </c>
      <c r="S2" s="3812" t="s">
        <v>2556</v>
      </c>
      <c r="T2" s="4205" t="s">
        <v>1928</v>
      </c>
      <c r="U2" s="4204" t="s">
        <v>2557</v>
      </c>
      <c r="V2" s="5211" t="s">
        <v>2562</v>
      </c>
      <c r="W2" s="5211" t="s">
        <v>2635</v>
      </c>
      <c r="X2" s="4206" t="s">
        <v>2558</v>
      </c>
      <c r="Y2" s="4207" t="s">
        <v>2559</v>
      </c>
      <c r="Z2" s="4209" t="s">
        <v>1531</v>
      </c>
      <c r="AA2" s="4281" t="s">
        <v>1532</v>
      </c>
      <c r="AB2" s="5212" t="s">
        <v>2636</v>
      </c>
      <c r="AC2" s="3812" t="s">
        <v>1954</v>
      </c>
      <c r="AD2" s="3812" t="s">
        <v>2562</v>
      </c>
      <c r="AE2" s="3812" t="s">
        <v>1693</v>
      </c>
      <c r="AF2" s="3812" t="s">
        <v>1955</v>
      </c>
      <c r="AG2" s="3812" t="s">
        <v>2560</v>
      </c>
      <c r="AH2" s="4208" t="s">
        <v>1957</v>
      </c>
      <c r="AI2" s="4208" t="s">
        <v>1958</v>
      </c>
      <c r="AJ2" s="4208" t="s">
        <v>1959</v>
      </c>
      <c r="AK2" s="4209" t="s">
        <v>1960</v>
      </c>
      <c r="AL2" s="4209" t="s">
        <v>1961</v>
      </c>
      <c r="AM2" s="3812" t="s">
        <v>1953</v>
      </c>
      <c r="AN2" s="4209" t="s">
        <v>1963</v>
      </c>
      <c r="AO2" s="4209" t="s">
        <v>1964</v>
      </c>
      <c r="AP2" s="4209" t="s">
        <v>1964</v>
      </c>
      <c r="AQ2" s="4208" t="s">
        <v>1956</v>
      </c>
      <c r="AR2" s="4209" t="s">
        <v>2561</v>
      </c>
      <c r="AS2" s="4209" t="s">
        <v>1962</v>
      </c>
      <c r="AT2" s="4209" t="s">
        <v>1973</v>
      </c>
      <c r="AU2" s="4209" t="s">
        <v>1974</v>
      </c>
      <c r="AV2" s="3812" t="s">
        <v>1956</v>
      </c>
      <c r="AW2" s="3812" t="s">
        <v>2637</v>
      </c>
      <c r="AX2" s="5211" t="s">
        <v>2562</v>
      </c>
      <c r="AY2" s="5211" t="s">
        <v>2563</v>
      </c>
      <c r="AZ2" s="5211" t="s">
        <v>2562</v>
      </c>
      <c r="BA2" s="5211" t="s">
        <v>2564</v>
      </c>
      <c r="BB2" s="5211" t="s">
        <v>2565</v>
      </c>
      <c r="BC2" s="5211" t="s">
        <v>2562</v>
      </c>
      <c r="BD2" s="5211" t="s">
        <v>2638</v>
      </c>
      <c r="BE2" s="5213" t="s">
        <v>2643</v>
      </c>
    </row>
    <row r="3" spans="1:57">
      <c r="A3" s="3810">
        <v>101</v>
      </c>
      <c r="B3" s="4210" t="s">
        <v>403</v>
      </c>
      <c r="C3" s="4211" t="s">
        <v>167</v>
      </c>
      <c r="D3" s="4212">
        <v>35816823</v>
      </c>
      <c r="E3" s="4213">
        <v>32320455</v>
      </c>
      <c r="F3" s="4224">
        <v>34635897</v>
      </c>
      <c r="G3" s="4224">
        <v>31140333</v>
      </c>
      <c r="H3" s="4214">
        <v>522.5</v>
      </c>
      <c r="I3" s="4215">
        <v>503</v>
      </c>
      <c r="J3" s="4216">
        <v>325</v>
      </c>
      <c r="K3" s="4217">
        <v>5270825</v>
      </c>
      <c r="L3" s="4225">
        <v>526.6</v>
      </c>
      <c r="M3" s="4225">
        <v>515</v>
      </c>
      <c r="N3" s="4225">
        <v>535.5</v>
      </c>
      <c r="O3" s="4225">
        <v>513.5</v>
      </c>
      <c r="P3" s="4218">
        <v>661874</v>
      </c>
      <c r="Q3" s="4218">
        <v>631920</v>
      </c>
      <c r="R3" s="4220">
        <v>637074</v>
      </c>
      <c r="S3" s="4220"/>
      <c r="T3" s="4219">
        <v>3068</v>
      </c>
      <c r="U3" s="5214">
        <v>5240</v>
      </c>
      <c r="V3" s="4222"/>
      <c r="W3" s="4224">
        <v>0</v>
      </c>
      <c r="X3" s="4217">
        <v>271</v>
      </c>
      <c r="Y3" s="4223">
        <v>74</v>
      </c>
      <c r="Z3" s="5215">
        <v>0.31</v>
      </c>
      <c r="AA3" s="5215">
        <v>0.09</v>
      </c>
      <c r="AB3" s="5205">
        <v>0.43719999999999998</v>
      </c>
      <c r="AC3" s="4224">
        <v>294620</v>
      </c>
      <c r="AD3" s="4224"/>
      <c r="AE3" s="4224">
        <v>328099</v>
      </c>
      <c r="AF3" s="4225">
        <v>520</v>
      </c>
      <c r="AG3" s="4225">
        <v>509</v>
      </c>
      <c r="AH3" s="4225">
        <v>7.4</v>
      </c>
      <c r="AI3" s="4225">
        <v>0</v>
      </c>
      <c r="AJ3" s="4225">
        <v>0</v>
      </c>
      <c r="AK3" s="4225">
        <v>0</v>
      </c>
      <c r="AL3" s="4225">
        <v>0</v>
      </c>
      <c r="AM3" s="4221">
        <v>0</v>
      </c>
      <c r="AN3" s="4226">
        <v>0</v>
      </c>
      <c r="AO3" s="4224"/>
      <c r="AP3" s="4224"/>
      <c r="AQ3" s="4224">
        <v>3769177</v>
      </c>
      <c r="AR3" s="4221">
        <v>0.3</v>
      </c>
      <c r="AS3" s="4217">
        <v>5131367</v>
      </c>
      <c r="AT3" s="5216">
        <v>0</v>
      </c>
      <c r="AU3" s="5216">
        <v>0</v>
      </c>
      <c r="AV3" s="4220">
        <v>3769177</v>
      </c>
      <c r="AW3" s="5243">
        <v>0</v>
      </c>
      <c r="AX3" s="4224"/>
      <c r="AY3" s="5217">
        <v>637074</v>
      </c>
      <c r="AZ3" s="4224"/>
      <c r="BA3" s="4224">
        <v>252169</v>
      </c>
      <c r="BB3" s="4224">
        <v>0</v>
      </c>
      <c r="BC3" s="5218"/>
      <c r="BD3" s="4217">
        <v>0</v>
      </c>
      <c r="BE3" s="4224">
        <v>3741570</v>
      </c>
    </row>
    <row r="4" spans="1:57">
      <c r="A4" s="3810">
        <v>102</v>
      </c>
      <c r="B4" s="4210" t="s">
        <v>404</v>
      </c>
      <c r="C4" s="4211" t="s">
        <v>168</v>
      </c>
      <c r="D4" s="4212">
        <v>44868032</v>
      </c>
      <c r="E4" s="4213">
        <v>42130048</v>
      </c>
      <c r="F4" s="4224">
        <v>47791208</v>
      </c>
      <c r="G4" s="4224">
        <v>45036116</v>
      </c>
      <c r="H4" s="4214">
        <v>626.70000000000005</v>
      </c>
      <c r="I4" s="4215">
        <v>619</v>
      </c>
      <c r="J4" s="4216">
        <v>538</v>
      </c>
      <c r="K4" s="4217">
        <v>5714536</v>
      </c>
      <c r="L4" s="4225">
        <v>655.7</v>
      </c>
      <c r="M4" s="4225">
        <v>653</v>
      </c>
      <c r="N4" s="4225">
        <v>642.79999999999995</v>
      </c>
      <c r="O4" s="4225">
        <v>625</v>
      </c>
      <c r="P4" s="4218">
        <v>464597</v>
      </c>
      <c r="Q4" s="4218">
        <v>463142</v>
      </c>
      <c r="R4" s="4220">
        <v>607345</v>
      </c>
      <c r="S4" s="4220"/>
      <c r="T4" s="4219">
        <v>0</v>
      </c>
      <c r="U4" s="5214">
        <v>0</v>
      </c>
      <c r="V4" s="4222"/>
      <c r="W4" s="4224">
        <v>0</v>
      </c>
      <c r="X4" s="4217">
        <v>234</v>
      </c>
      <c r="Y4" s="4223">
        <v>74</v>
      </c>
      <c r="Z4" s="5215">
        <v>0.23</v>
      </c>
      <c r="AA4" s="5215">
        <v>0.01</v>
      </c>
      <c r="AB4" s="5205">
        <v>0.37180000000000002</v>
      </c>
      <c r="AC4" s="4224">
        <v>406779</v>
      </c>
      <c r="AD4" s="4224"/>
      <c r="AE4" s="4224">
        <v>441283</v>
      </c>
      <c r="AF4" s="4225">
        <v>643.4</v>
      </c>
      <c r="AG4" s="4225">
        <v>633.4</v>
      </c>
      <c r="AH4" s="4225">
        <v>9</v>
      </c>
      <c r="AI4" s="4225">
        <v>0</v>
      </c>
      <c r="AJ4" s="4225">
        <v>0</v>
      </c>
      <c r="AK4" s="4225">
        <v>0</v>
      </c>
      <c r="AL4" s="4225">
        <v>34.9</v>
      </c>
      <c r="AM4" s="4221">
        <v>0</v>
      </c>
      <c r="AN4" s="4226">
        <v>0</v>
      </c>
      <c r="AO4" s="4224"/>
      <c r="AP4" s="4224"/>
      <c r="AQ4" s="4224">
        <v>4356561</v>
      </c>
      <c r="AR4" s="4221">
        <v>0.25600000000000001</v>
      </c>
      <c r="AS4" s="4217">
        <v>5571673</v>
      </c>
      <c r="AT4" s="5216">
        <v>0</v>
      </c>
      <c r="AU4" s="5216">
        <v>0</v>
      </c>
      <c r="AV4" s="4220">
        <v>4356561</v>
      </c>
      <c r="AW4" s="5243">
        <v>28522</v>
      </c>
      <c r="AX4" s="4224"/>
      <c r="AY4" s="5217">
        <v>607345</v>
      </c>
      <c r="AZ4" s="4224"/>
      <c r="BA4" s="4224">
        <v>335027</v>
      </c>
      <c r="BB4" s="4224">
        <v>24833</v>
      </c>
      <c r="BC4" s="5218"/>
      <c r="BD4" s="4217">
        <v>0</v>
      </c>
      <c r="BE4" s="4224">
        <v>4284167</v>
      </c>
    </row>
    <row r="5" spans="1:57">
      <c r="A5" s="3810">
        <v>103</v>
      </c>
      <c r="B5" s="4210" t="s">
        <v>405</v>
      </c>
      <c r="C5" s="4211" t="s">
        <v>169</v>
      </c>
      <c r="D5" s="4212">
        <v>44254222</v>
      </c>
      <c r="E5" s="4213">
        <v>43025491</v>
      </c>
      <c r="F5" s="4224">
        <v>27534502</v>
      </c>
      <c r="G5" s="4224">
        <v>26291297</v>
      </c>
      <c r="H5" s="4214">
        <v>137</v>
      </c>
      <c r="I5" s="4215">
        <v>133.5</v>
      </c>
      <c r="J5" s="4216">
        <v>688</v>
      </c>
      <c r="K5" s="4217">
        <v>1459696</v>
      </c>
      <c r="L5" s="4225">
        <v>121.5</v>
      </c>
      <c r="M5" s="4225">
        <v>127</v>
      </c>
      <c r="N5" s="4225">
        <v>137</v>
      </c>
      <c r="O5" s="4225">
        <v>133.5</v>
      </c>
      <c r="P5" s="4218">
        <v>113150</v>
      </c>
      <c r="Q5" s="4218">
        <v>125987</v>
      </c>
      <c r="R5" s="4220">
        <v>0</v>
      </c>
      <c r="S5" s="4220"/>
      <c r="T5" s="4219">
        <v>0</v>
      </c>
      <c r="U5" s="5214">
        <v>0</v>
      </c>
      <c r="V5" s="4222"/>
      <c r="W5" s="4224">
        <v>0</v>
      </c>
      <c r="X5" s="4217">
        <v>61</v>
      </c>
      <c r="Y5" s="4223">
        <v>15</v>
      </c>
      <c r="Z5" s="5215">
        <v>0</v>
      </c>
      <c r="AA5" s="5215">
        <v>0</v>
      </c>
      <c r="AB5" s="5205">
        <v>0</v>
      </c>
      <c r="AC5" s="4224">
        <v>106469</v>
      </c>
      <c r="AD5" s="4224"/>
      <c r="AE5" s="4224">
        <v>104513</v>
      </c>
      <c r="AF5" s="4225">
        <v>121.5</v>
      </c>
      <c r="AG5" s="4225">
        <v>127</v>
      </c>
      <c r="AH5" s="4225">
        <v>0</v>
      </c>
      <c r="AI5" s="4225">
        <v>0</v>
      </c>
      <c r="AJ5" s="4225">
        <v>0</v>
      </c>
      <c r="AK5" s="4225">
        <v>0</v>
      </c>
      <c r="AL5" s="4225">
        <v>0</v>
      </c>
      <c r="AM5" s="4221">
        <v>0</v>
      </c>
      <c r="AN5" s="4226">
        <v>0</v>
      </c>
      <c r="AO5" s="4224"/>
      <c r="AP5" s="4224"/>
      <c r="AQ5" s="4224">
        <v>1235349</v>
      </c>
      <c r="AR5" s="4221">
        <v>0.3</v>
      </c>
      <c r="AS5" s="4217">
        <v>1733468</v>
      </c>
      <c r="AT5" s="5216">
        <v>0</v>
      </c>
      <c r="AU5" s="5216">
        <v>0</v>
      </c>
      <c r="AV5" s="4220">
        <v>1235349</v>
      </c>
      <c r="AW5" s="5243">
        <v>0</v>
      </c>
      <c r="AX5" s="4224"/>
      <c r="AY5" s="5217">
        <v>0</v>
      </c>
      <c r="AZ5" s="4224"/>
      <c r="BA5" s="4224">
        <v>80184</v>
      </c>
      <c r="BB5" s="4224">
        <v>0</v>
      </c>
      <c r="BC5" s="5218"/>
      <c r="BD5" s="4217">
        <v>159679</v>
      </c>
      <c r="BE5" s="4224">
        <v>1230408</v>
      </c>
    </row>
    <row r="6" spans="1:57">
      <c r="A6" s="3810">
        <v>105</v>
      </c>
      <c r="B6" s="4210" t="s">
        <v>406</v>
      </c>
      <c r="C6" s="4211" t="s">
        <v>170</v>
      </c>
      <c r="D6" s="4212">
        <v>29348862</v>
      </c>
      <c r="E6" s="4213">
        <v>26990658</v>
      </c>
      <c r="F6" s="4224">
        <v>34613686</v>
      </c>
      <c r="G6" s="4224">
        <v>32189464</v>
      </c>
      <c r="H6" s="4214">
        <v>323.5</v>
      </c>
      <c r="I6" s="4215">
        <v>333.4</v>
      </c>
      <c r="J6" s="4216">
        <v>740.1</v>
      </c>
      <c r="K6" s="4217">
        <v>3002898</v>
      </c>
      <c r="L6" s="4225">
        <v>304.5</v>
      </c>
      <c r="M6" s="4225">
        <v>310.5</v>
      </c>
      <c r="N6" s="4225">
        <v>323.5</v>
      </c>
      <c r="O6" s="4225">
        <v>333.4</v>
      </c>
      <c r="P6" s="4218">
        <v>294757</v>
      </c>
      <c r="Q6" s="4218">
        <v>296419</v>
      </c>
      <c r="R6" s="4220">
        <v>235295</v>
      </c>
      <c r="S6" s="4220"/>
      <c r="T6" s="4219">
        <v>0</v>
      </c>
      <c r="U6" s="5214">
        <v>0</v>
      </c>
      <c r="V6" s="4222"/>
      <c r="W6" s="4224">
        <v>0</v>
      </c>
      <c r="X6" s="4217">
        <v>130</v>
      </c>
      <c r="Y6" s="4223">
        <v>50</v>
      </c>
      <c r="Z6" s="5215">
        <v>0</v>
      </c>
      <c r="AA6" s="5215">
        <v>0</v>
      </c>
      <c r="AB6" s="5205">
        <v>0.1832</v>
      </c>
      <c r="AC6" s="4224">
        <v>238605</v>
      </c>
      <c r="AD6" s="4224"/>
      <c r="AE6" s="4224">
        <v>252133</v>
      </c>
      <c r="AF6" s="4225">
        <v>304.5</v>
      </c>
      <c r="AG6" s="4225">
        <v>310.5</v>
      </c>
      <c r="AH6" s="4225">
        <v>0</v>
      </c>
      <c r="AI6" s="4225">
        <v>0</v>
      </c>
      <c r="AJ6" s="4225">
        <v>0</v>
      </c>
      <c r="AK6" s="4225">
        <v>0</v>
      </c>
      <c r="AL6" s="4225">
        <v>0</v>
      </c>
      <c r="AM6" s="4221">
        <v>0</v>
      </c>
      <c r="AN6" s="4226">
        <v>0</v>
      </c>
      <c r="AO6" s="4224"/>
      <c r="AP6" s="4224"/>
      <c r="AQ6" s="4224">
        <v>2233071</v>
      </c>
      <c r="AR6" s="4221">
        <v>0.3</v>
      </c>
      <c r="AS6" s="4217">
        <v>3077442</v>
      </c>
      <c r="AT6" s="5216">
        <v>0</v>
      </c>
      <c r="AU6" s="5216">
        <v>0</v>
      </c>
      <c r="AV6" s="4220">
        <v>2233071</v>
      </c>
      <c r="AW6" s="5243">
        <v>15318</v>
      </c>
      <c r="AX6" s="4224"/>
      <c r="AY6" s="5217">
        <v>235295</v>
      </c>
      <c r="AZ6" s="4224"/>
      <c r="BA6" s="4224">
        <v>193020</v>
      </c>
      <c r="BB6" s="4224">
        <v>0</v>
      </c>
      <c r="BC6" s="5218"/>
      <c r="BD6" s="4217">
        <v>0</v>
      </c>
      <c r="BE6" s="4224">
        <v>2259170</v>
      </c>
    </row>
    <row r="7" spans="1:57">
      <c r="A7" s="3810">
        <v>106</v>
      </c>
      <c r="B7" s="4210" t="s">
        <v>407</v>
      </c>
      <c r="C7" s="4211" t="s">
        <v>171</v>
      </c>
      <c r="D7" s="4212">
        <v>50518948</v>
      </c>
      <c r="E7" s="4213">
        <v>49042599</v>
      </c>
      <c r="F7" s="4224">
        <v>33956281</v>
      </c>
      <c r="G7" s="4224">
        <v>32416364</v>
      </c>
      <c r="H7" s="4214">
        <v>118</v>
      </c>
      <c r="I7" s="4215">
        <v>104</v>
      </c>
      <c r="J7" s="4216">
        <v>601.20000000000005</v>
      </c>
      <c r="K7" s="4217">
        <v>1408293</v>
      </c>
      <c r="L7" s="4225">
        <v>148</v>
      </c>
      <c r="M7" s="4225">
        <v>129</v>
      </c>
      <c r="N7" s="4225">
        <v>118</v>
      </c>
      <c r="O7" s="4225">
        <v>104</v>
      </c>
      <c r="P7" s="4218">
        <v>93028</v>
      </c>
      <c r="Q7" s="4218">
        <v>84804</v>
      </c>
      <c r="R7" s="4220">
        <v>0</v>
      </c>
      <c r="S7" s="4220"/>
      <c r="T7" s="4219">
        <v>0</v>
      </c>
      <c r="U7" s="5214">
        <v>0</v>
      </c>
      <c r="V7" s="4222"/>
      <c r="W7" s="4224">
        <v>0</v>
      </c>
      <c r="X7" s="4217">
        <v>62</v>
      </c>
      <c r="Y7" s="4223">
        <v>12</v>
      </c>
      <c r="Z7" s="5215">
        <v>0</v>
      </c>
      <c r="AA7" s="5215">
        <v>0</v>
      </c>
      <c r="AB7" s="5205">
        <v>0</v>
      </c>
      <c r="AC7" s="4224">
        <v>102872</v>
      </c>
      <c r="AD7" s="4224"/>
      <c r="AE7" s="4224">
        <v>111185</v>
      </c>
      <c r="AF7" s="4225">
        <v>148</v>
      </c>
      <c r="AG7" s="4225">
        <v>129</v>
      </c>
      <c r="AH7" s="4225">
        <v>0</v>
      </c>
      <c r="AI7" s="4225">
        <v>0</v>
      </c>
      <c r="AJ7" s="4225">
        <v>0</v>
      </c>
      <c r="AK7" s="4225">
        <v>0</v>
      </c>
      <c r="AL7" s="4225">
        <v>0</v>
      </c>
      <c r="AM7" s="4221">
        <v>0</v>
      </c>
      <c r="AN7" s="4226">
        <v>0</v>
      </c>
      <c r="AO7" s="4224"/>
      <c r="AP7" s="4224"/>
      <c r="AQ7" s="4224">
        <v>1181255</v>
      </c>
      <c r="AR7" s="4221">
        <v>0.3</v>
      </c>
      <c r="AS7" s="4217">
        <v>1613735</v>
      </c>
      <c r="AT7" s="5216">
        <v>0</v>
      </c>
      <c r="AU7" s="5216">
        <v>0</v>
      </c>
      <c r="AV7" s="4220">
        <v>1181255</v>
      </c>
      <c r="AW7" s="5243">
        <v>0</v>
      </c>
      <c r="AX7" s="4224"/>
      <c r="AY7" s="5217">
        <v>0</v>
      </c>
      <c r="AZ7" s="4224"/>
      <c r="BA7" s="4224">
        <v>83902</v>
      </c>
      <c r="BB7" s="4224">
        <v>0</v>
      </c>
      <c r="BC7" s="5218"/>
      <c r="BD7" s="4217">
        <v>118890</v>
      </c>
      <c r="BE7" s="4224">
        <v>1168321</v>
      </c>
    </row>
    <row r="8" spans="1:57">
      <c r="A8" s="3810">
        <v>107</v>
      </c>
      <c r="B8" s="4210" t="s">
        <v>408</v>
      </c>
      <c r="C8" s="4211" t="s">
        <v>172</v>
      </c>
      <c r="D8" s="4212">
        <v>34509513</v>
      </c>
      <c r="E8" s="4213">
        <v>31610255</v>
      </c>
      <c r="F8" s="4224">
        <v>39838632</v>
      </c>
      <c r="G8" s="4224">
        <v>36627092</v>
      </c>
      <c r="H8" s="4214">
        <v>274.5</v>
      </c>
      <c r="I8" s="4215">
        <v>269.5</v>
      </c>
      <c r="J8" s="4216">
        <v>762</v>
      </c>
      <c r="K8" s="4217">
        <v>2736757</v>
      </c>
      <c r="L8" s="4225">
        <v>302</v>
      </c>
      <c r="M8" s="4225">
        <v>279</v>
      </c>
      <c r="N8" s="4225">
        <v>279.5</v>
      </c>
      <c r="O8" s="4225">
        <v>274</v>
      </c>
      <c r="P8" s="4218">
        <v>391830</v>
      </c>
      <c r="Q8" s="4218">
        <v>354343</v>
      </c>
      <c r="R8" s="4220">
        <v>23632</v>
      </c>
      <c r="S8" s="4220"/>
      <c r="T8" s="4219">
        <v>0</v>
      </c>
      <c r="U8" s="5214">
        <v>0</v>
      </c>
      <c r="V8" s="4222"/>
      <c r="W8" s="4224">
        <v>0</v>
      </c>
      <c r="X8" s="4217">
        <v>114</v>
      </c>
      <c r="Y8" s="4223">
        <v>42</v>
      </c>
      <c r="Z8" s="5215">
        <v>0</v>
      </c>
      <c r="AA8" s="5215">
        <v>0</v>
      </c>
      <c r="AB8" s="5205">
        <v>0</v>
      </c>
      <c r="AC8" s="4224">
        <v>209293</v>
      </c>
      <c r="AD8" s="4224"/>
      <c r="AE8" s="4224">
        <v>238280</v>
      </c>
      <c r="AF8" s="4225">
        <v>295.5</v>
      </c>
      <c r="AG8" s="4225">
        <v>277</v>
      </c>
      <c r="AH8" s="4225">
        <v>0</v>
      </c>
      <c r="AI8" s="4225">
        <v>0</v>
      </c>
      <c r="AJ8" s="4225">
        <v>0</v>
      </c>
      <c r="AK8" s="4225">
        <v>0</v>
      </c>
      <c r="AL8" s="4225">
        <v>0</v>
      </c>
      <c r="AM8" s="4221">
        <v>0</v>
      </c>
      <c r="AN8" s="4226">
        <v>13256</v>
      </c>
      <c r="AO8" s="4224"/>
      <c r="AP8" s="4224"/>
      <c r="AQ8" s="4224">
        <v>2174213</v>
      </c>
      <c r="AR8" s="4221">
        <v>0.23799999999999999</v>
      </c>
      <c r="AS8" s="4217">
        <v>2941701</v>
      </c>
      <c r="AT8" s="5216">
        <v>0</v>
      </c>
      <c r="AU8" s="5216">
        <v>0</v>
      </c>
      <c r="AV8" s="4220">
        <v>2174213</v>
      </c>
      <c r="AW8" s="5243">
        <v>0</v>
      </c>
      <c r="AX8" s="4224"/>
      <c r="AY8" s="5217">
        <v>21269</v>
      </c>
      <c r="AZ8" s="4224"/>
      <c r="BA8" s="4224">
        <v>182372</v>
      </c>
      <c r="BB8" s="4224">
        <v>0</v>
      </c>
      <c r="BC8" s="5218"/>
      <c r="BD8" s="4217">
        <v>0</v>
      </c>
      <c r="BE8" s="4224">
        <v>2178773</v>
      </c>
    </row>
    <row r="9" spans="1:57">
      <c r="A9" s="3810">
        <v>108</v>
      </c>
      <c r="B9" s="4210" t="s">
        <v>409</v>
      </c>
      <c r="C9" s="4211" t="s">
        <v>173</v>
      </c>
      <c r="D9" s="4212">
        <v>30265869</v>
      </c>
      <c r="E9" s="4213">
        <v>27623592</v>
      </c>
      <c r="F9" s="4224">
        <v>32559264</v>
      </c>
      <c r="G9" s="4224">
        <v>29931743</v>
      </c>
      <c r="H9" s="4214">
        <v>343</v>
      </c>
      <c r="I9" s="4215">
        <v>337</v>
      </c>
      <c r="J9" s="4216">
        <v>389</v>
      </c>
      <c r="K9" s="4217">
        <v>3069705</v>
      </c>
      <c r="L9" s="4225">
        <v>359.5</v>
      </c>
      <c r="M9" s="4225">
        <v>346</v>
      </c>
      <c r="N9" s="4225">
        <v>344</v>
      </c>
      <c r="O9" s="4225">
        <v>337</v>
      </c>
      <c r="P9" s="4218">
        <v>322502</v>
      </c>
      <c r="Q9" s="4218">
        <v>322183</v>
      </c>
      <c r="R9" s="4220">
        <v>205154</v>
      </c>
      <c r="S9" s="4220"/>
      <c r="T9" s="4219">
        <v>4894</v>
      </c>
      <c r="U9" s="5214">
        <v>0</v>
      </c>
      <c r="V9" s="4222"/>
      <c r="W9" s="4224">
        <v>0</v>
      </c>
      <c r="X9" s="4217">
        <v>124</v>
      </c>
      <c r="Y9" s="4223">
        <v>60</v>
      </c>
      <c r="Z9" s="5215">
        <v>0.02</v>
      </c>
      <c r="AA9" s="5215">
        <v>0</v>
      </c>
      <c r="AB9" s="5205">
        <v>0.1938</v>
      </c>
      <c r="AC9" s="4224">
        <v>199101</v>
      </c>
      <c r="AD9" s="4224"/>
      <c r="AE9" s="4224">
        <v>209196</v>
      </c>
      <c r="AF9" s="4225">
        <v>359.5</v>
      </c>
      <c r="AG9" s="4225">
        <v>346</v>
      </c>
      <c r="AH9" s="4225">
        <v>1.1000000000000001</v>
      </c>
      <c r="AI9" s="4225">
        <v>0</v>
      </c>
      <c r="AJ9" s="4225">
        <v>0</v>
      </c>
      <c r="AK9" s="4225">
        <v>0</v>
      </c>
      <c r="AL9" s="4225">
        <v>0</v>
      </c>
      <c r="AM9" s="4221">
        <v>0</v>
      </c>
      <c r="AN9" s="4226">
        <v>0</v>
      </c>
      <c r="AO9" s="4224"/>
      <c r="AP9" s="4224"/>
      <c r="AQ9" s="4224">
        <v>2413188</v>
      </c>
      <c r="AR9" s="4221">
        <v>0.3</v>
      </c>
      <c r="AS9" s="4217">
        <v>3356377</v>
      </c>
      <c r="AT9" s="5216">
        <v>0</v>
      </c>
      <c r="AU9" s="5216">
        <v>0</v>
      </c>
      <c r="AV9" s="4220">
        <v>2413188</v>
      </c>
      <c r="AW9" s="5243">
        <v>3357</v>
      </c>
      <c r="AX9" s="4224"/>
      <c r="AY9" s="5217">
        <v>184639</v>
      </c>
      <c r="AZ9" s="4224"/>
      <c r="BA9" s="4224">
        <v>160355</v>
      </c>
      <c r="BB9" s="4224">
        <v>0</v>
      </c>
      <c r="BC9" s="5218"/>
      <c r="BD9" s="4217">
        <v>0</v>
      </c>
      <c r="BE9" s="4224">
        <v>2399315</v>
      </c>
    </row>
    <row r="10" spans="1:57">
      <c r="A10" s="3810">
        <v>109</v>
      </c>
      <c r="B10" s="4210" t="s">
        <v>410</v>
      </c>
      <c r="C10" s="4211" t="s">
        <v>174</v>
      </c>
      <c r="D10" s="4212">
        <v>41807065</v>
      </c>
      <c r="E10" s="4213">
        <v>37982050</v>
      </c>
      <c r="F10" s="4224">
        <v>46105265</v>
      </c>
      <c r="G10" s="4224">
        <v>42281543</v>
      </c>
      <c r="H10" s="4214">
        <v>466.5</v>
      </c>
      <c r="I10" s="4215">
        <v>466</v>
      </c>
      <c r="J10" s="4216">
        <v>560</v>
      </c>
      <c r="K10" s="4217">
        <v>4073432</v>
      </c>
      <c r="L10" s="4225">
        <v>463.5</v>
      </c>
      <c r="M10" s="4225">
        <v>460</v>
      </c>
      <c r="N10" s="4225">
        <v>470.3</v>
      </c>
      <c r="O10" s="4225">
        <v>466</v>
      </c>
      <c r="P10" s="4218">
        <v>411021</v>
      </c>
      <c r="Q10" s="4218">
        <v>414501</v>
      </c>
      <c r="R10" s="4220">
        <v>266334</v>
      </c>
      <c r="S10" s="4220"/>
      <c r="T10" s="4219">
        <v>0</v>
      </c>
      <c r="U10" s="5214">
        <v>0</v>
      </c>
      <c r="V10" s="4222"/>
      <c r="W10" s="4224">
        <v>0</v>
      </c>
      <c r="X10" s="4217">
        <v>174</v>
      </c>
      <c r="Y10" s="4223">
        <v>84</v>
      </c>
      <c r="Z10" s="5215">
        <v>0</v>
      </c>
      <c r="AA10" s="5215">
        <v>0</v>
      </c>
      <c r="AB10" s="5205">
        <v>0.17879999999999999</v>
      </c>
      <c r="AC10" s="4224">
        <v>265378</v>
      </c>
      <c r="AD10" s="4224"/>
      <c r="AE10" s="4224">
        <v>299146</v>
      </c>
      <c r="AF10" s="4225">
        <v>463.5</v>
      </c>
      <c r="AG10" s="4225">
        <v>460</v>
      </c>
      <c r="AH10" s="4225">
        <v>4</v>
      </c>
      <c r="AI10" s="4225">
        <v>0</v>
      </c>
      <c r="AJ10" s="4225">
        <v>0</v>
      </c>
      <c r="AK10" s="4225">
        <v>0</v>
      </c>
      <c r="AL10" s="4225">
        <v>0</v>
      </c>
      <c r="AM10" s="4221">
        <v>0</v>
      </c>
      <c r="AN10" s="4226">
        <v>0</v>
      </c>
      <c r="AO10" s="4224"/>
      <c r="AP10" s="4224"/>
      <c r="AQ10" s="4224">
        <v>3216407</v>
      </c>
      <c r="AR10" s="4221">
        <v>0.3</v>
      </c>
      <c r="AS10" s="4217">
        <v>4341960</v>
      </c>
      <c r="AT10" s="5216">
        <v>0</v>
      </c>
      <c r="AU10" s="5216">
        <v>0</v>
      </c>
      <c r="AV10" s="4220">
        <v>3216407</v>
      </c>
      <c r="AW10" s="5243">
        <v>9212</v>
      </c>
      <c r="AX10" s="4224"/>
      <c r="AY10" s="5217">
        <v>239701</v>
      </c>
      <c r="AZ10" s="4224"/>
      <c r="BA10" s="4224">
        <v>227641</v>
      </c>
      <c r="BB10" s="4224">
        <v>0</v>
      </c>
      <c r="BC10" s="5218"/>
      <c r="BD10" s="4217">
        <v>0</v>
      </c>
      <c r="BE10" s="4224">
        <v>3188195</v>
      </c>
    </row>
    <row r="11" spans="1:57">
      <c r="A11" s="3810">
        <v>110</v>
      </c>
      <c r="B11" s="4210" t="s">
        <v>1464</v>
      </c>
      <c r="C11" s="4211" t="s">
        <v>215</v>
      </c>
      <c r="D11" s="4212">
        <v>17281144</v>
      </c>
      <c r="E11" s="4213">
        <v>15678821</v>
      </c>
      <c r="F11" s="4224">
        <v>19624117</v>
      </c>
      <c r="G11" s="4224">
        <v>18002038</v>
      </c>
      <c r="H11" s="4214">
        <v>217</v>
      </c>
      <c r="I11" s="4215">
        <v>214</v>
      </c>
      <c r="J11" s="4216">
        <v>491</v>
      </c>
      <c r="K11" s="4217">
        <v>2570419</v>
      </c>
      <c r="L11" s="4225">
        <v>237</v>
      </c>
      <c r="M11" s="4225">
        <v>227.5</v>
      </c>
      <c r="N11" s="4225">
        <v>218</v>
      </c>
      <c r="O11" s="4225">
        <v>215.5</v>
      </c>
      <c r="P11" s="4218">
        <v>276192</v>
      </c>
      <c r="Q11" s="4218">
        <v>273140</v>
      </c>
      <c r="R11" s="4220">
        <v>256507</v>
      </c>
      <c r="S11" s="4220"/>
      <c r="T11" s="4219">
        <v>0</v>
      </c>
      <c r="U11" s="5214">
        <v>0</v>
      </c>
      <c r="V11" s="4222"/>
      <c r="W11" s="4224">
        <v>0</v>
      </c>
      <c r="X11" s="4217">
        <v>101</v>
      </c>
      <c r="Y11" s="4223">
        <v>43</v>
      </c>
      <c r="Z11" s="5215">
        <v>7.0000000000000007E-2</v>
      </c>
      <c r="AA11" s="5215">
        <v>0</v>
      </c>
      <c r="AB11" s="5205">
        <v>0.24010000000000001</v>
      </c>
      <c r="AC11" s="4224">
        <v>134687</v>
      </c>
      <c r="AD11" s="4224"/>
      <c r="AE11" s="4224">
        <v>153983</v>
      </c>
      <c r="AF11" s="4225">
        <v>235</v>
      </c>
      <c r="AG11" s="4225">
        <v>226</v>
      </c>
      <c r="AH11" s="4225">
        <v>0</v>
      </c>
      <c r="AI11" s="4225">
        <v>0</v>
      </c>
      <c r="AJ11" s="4225">
        <v>0</v>
      </c>
      <c r="AK11" s="4225">
        <v>0</v>
      </c>
      <c r="AL11" s="4225">
        <v>0</v>
      </c>
      <c r="AM11" s="4221">
        <v>0</v>
      </c>
      <c r="AN11" s="4226">
        <v>223469</v>
      </c>
      <c r="AO11" s="4224"/>
      <c r="AP11" s="4224"/>
      <c r="AQ11" s="4224">
        <v>1685964</v>
      </c>
      <c r="AR11" s="4221">
        <v>0.3</v>
      </c>
      <c r="AS11" s="4217">
        <v>2559624</v>
      </c>
      <c r="AT11" s="5216">
        <v>0</v>
      </c>
      <c r="AU11" s="5216">
        <v>0</v>
      </c>
      <c r="AV11" s="4220">
        <v>1685964</v>
      </c>
      <c r="AW11" s="5243">
        <v>16864</v>
      </c>
      <c r="AX11" s="4224"/>
      <c r="AY11" s="5217">
        <v>256507</v>
      </c>
      <c r="AZ11" s="4224"/>
      <c r="BA11" s="4224">
        <v>116222</v>
      </c>
      <c r="BB11" s="4224">
        <v>9677</v>
      </c>
      <c r="BC11" s="5218"/>
      <c r="BD11" s="4217">
        <v>0</v>
      </c>
      <c r="BE11" s="4224">
        <v>1865449</v>
      </c>
    </row>
    <row r="12" spans="1:57">
      <c r="A12" s="3810">
        <v>111</v>
      </c>
      <c r="B12" s="4210" t="s">
        <v>1465</v>
      </c>
      <c r="C12" s="4211" t="s">
        <v>254</v>
      </c>
      <c r="D12" s="4212">
        <v>53438342</v>
      </c>
      <c r="E12" s="4213">
        <v>51141339</v>
      </c>
      <c r="F12" s="4224">
        <v>59220473</v>
      </c>
      <c r="G12" s="4224">
        <v>56932079</v>
      </c>
      <c r="H12" s="4214">
        <v>313</v>
      </c>
      <c r="I12" s="4215">
        <v>309</v>
      </c>
      <c r="J12" s="4216">
        <v>229</v>
      </c>
      <c r="K12" s="4217">
        <v>2890728</v>
      </c>
      <c r="L12" s="4225">
        <v>313.5</v>
      </c>
      <c r="M12" s="4225">
        <v>322.5</v>
      </c>
      <c r="N12" s="4225">
        <v>319</v>
      </c>
      <c r="O12" s="4225">
        <v>315</v>
      </c>
      <c r="P12" s="4218">
        <v>307979</v>
      </c>
      <c r="Q12" s="4218">
        <v>293114</v>
      </c>
      <c r="R12" s="4220">
        <v>0</v>
      </c>
      <c r="S12" s="4220"/>
      <c r="T12" s="4219">
        <v>6906</v>
      </c>
      <c r="U12" s="5214">
        <v>6467</v>
      </c>
      <c r="V12" s="4222"/>
      <c r="W12" s="4224">
        <v>0</v>
      </c>
      <c r="X12" s="4217">
        <v>131</v>
      </c>
      <c r="Y12" s="4223">
        <v>33</v>
      </c>
      <c r="Z12" s="5215">
        <v>0</v>
      </c>
      <c r="AA12" s="5215">
        <v>0</v>
      </c>
      <c r="AB12" s="5205">
        <v>0</v>
      </c>
      <c r="AC12" s="4224">
        <v>250913</v>
      </c>
      <c r="AD12" s="4224"/>
      <c r="AE12" s="4224">
        <v>269158</v>
      </c>
      <c r="AF12" s="4225">
        <v>307.5</v>
      </c>
      <c r="AG12" s="4225">
        <v>318</v>
      </c>
      <c r="AH12" s="4225">
        <v>0</v>
      </c>
      <c r="AI12" s="4225">
        <v>0</v>
      </c>
      <c r="AJ12" s="4225">
        <v>0</v>
      </c>
      <c r="AK12" s="4225">
        <v>0</v>
      </c>
      <c r="AL12" s="4225">
        <v>0</v>
      </c>
      <c r="AM12" s="4221">
        <v>0</v>
      </c>
      <c r="AN12" s="4226">
        <v>0</v>
      </c>
      <c r="AO12" s="4224"/>
      <c r="AP12" s="4224"/>
      <c r="AQ12" s="4224">
        <v>2399977</v>
      </c>
      <c r="AR12" s="4221">
        <v>0.29830000000000001</v>
      </c>
      <c r="AS12" s="4217">
        <v>3352491</v>
      </c>
      <c r="AT12" s="5216">
        <v>0</v>
      </c>
      <c r="AU12" s="5216">
        <v>0</v>
      </c>
      <c r="AV12" s="4220">
        <v>2399977</v>
      </c>
      <c r="AW12" s="5243">
        <v>0</v>
      </c>
      <c r="AX12" s="4224"/>
      <c r="AY12" s="5217">
        <v>0</v>
      </c>
      <c r="AZ12" s="4224"/>
      <c r="BA12" s="4224">
        <v>207237</v>
      </c>
      <c r="BB12" s="4224">
        <v>0</v>
      </c>
      <c r="BC12" s="5218"/>
      <c r="BD12" s="4217">
        <v>0</v>
      </c>
      <c r="BE12" s="4224">
        <v>2390377</v>
      </c>
    </row>
    <row r="13" spans="1:57">
      <c r="A13" s="3810">
        <v>112</v>
      </c>
      <c r="B13" s="4210" t="s">
        <v>1466</v>
      </c>
      <c r="C13" s="4211" t="s">
        <v>216</v>
      </c>
      <c r="D13" s="4212">
        <v>104717928</v>
      </c>
      <c r="E13" s="4213">
        <v>100751852</v>
      </c>
      <c r="F13" s="4224">
        <v>89632886</v>
      </c>
      <c r="G13" s="4224">
        <v>85652665</v>
      </c>
      <c r="H13" s="4214">
        <v>430</v>
      </c>
      <c r="I13" s="4215">
        <v>443.5</v>
      </c>
      <c r="J13" s="4216">
        <v>582.79999999999995</v>
      </c>
      <c r="K13" s="4217">
        <v>4084204</v>
      </c>
      <c r="L13" s="4225">
        <v>506.7</v>
      </c>
      <c r="M13" s="4225">
        <v>516.20000000000005</v>
      </c>
      <c r="N13" s="4225">
        <v>494.2</v>
      </c>
      <c r="O13" s="4225">
        <v>501</v>
      </c>
      <c r="P13" s="4218">
        <v>414298</v>
      </c>
      <c r="Q13" s="4218">
        <v>440677</v>
      </c>
      <c r="R13" s="4220">
        <v>0</v>
      </c>
      <c r="S13" s="4220"/>
      <c r="T13" s="4219">
        <v>0</v>
      </c>
      <c r="U13" s="5214">
        <v>0</v>
      </c>
      <c r="V13" s="4222"/>
      <c r="W13" s="4224">
        <v>0</v>
      </c>
      <c r="X13" s="4217">
        <v>160</v>
      </c>
      <c r="Y13" s="4223">
        <v>58</v>
      </c>
      <c r="Z13" s="5215">
        <v>0</v>
      </c>
      <c r="AA13" s="5215">
        <v>0</v>
      </c>
      <c r="AB13" s="5205">
        <v>0</v>
      </c>
      <c r="AC13" s="4224">
        <v>358945</v>
      </c>
      <c r="AD13" s="4224"/>
      <c r="AE13" s="4224">
        <v>407736</v>
      </c>
      <c r="AF13" s="4225">
        <v>454.5</v>
      </c>
      <c r="AG13" s="4225">
        <v>450.9</v>
      </c>
      <c r="AH13" s="4225">
        <v>59.5</v>
      </c>
      <c r="AI13" s="4225">
        <v>0</v>
      </c>
      <c r="AJ13" s="4225">
        <v>0</v>
      </c>
      <c r="AK13" s="4225">
        <v>0</v>
      </c>
      <c r="AL13" s="4225">
        <v>0</v>
      </c>
      <c r="AM13" s="4221">
        <v>0</v>
      </c>
      <c r="AN13" s="4226">
        <v>0</v>
      </c>
      <c r="AO13" s="4224"/>
      <c r="AP13" s="4224"/>
      <c r="AQ13" s="5219">
        <v>3341308</v>
      </c>
      <c r="AR13" s="4221">
        <v>0.3</v>
      </c>
      <c r="AS13" s="4217">
        <v>4349367</v>
      </c>
      <c r="AT13" s="5216">
        <v>0</v>
      </c>
      <c r="AU13" s="5216">
        <v>0</v>
      </c>
      <c r="AV13" s="4220">
        <v>4967304</v>
      </c>
      <c r="AW13" s="5243">
        <v>0</v>
      </c>
      <c r="AX13" s="4224"/>
      <c r="AY13" s="5217">
        <v>0</v>
      </c>
      <c r="AZ13" s="4224"/>
      <c r="BA13" s="4224">
        <v>312981</v>
      </c>
      <c r="BB13" s="4224">
        <v>0</v>
      </c>
      <c r="BC13" s="5218"/>
      <c r="BD13" s="4217">
        <v>0</v>
      </c>
      <c r="BE13" s="4224">
        <v>3299613</v>
      </c>
    </row>
    <row r="14" spans="1:57">
      <c r="A14" s="3810">
        <v>113</v>
      </c>
      <c r="B14" s="4210" t="s">
        <v>1485</v>
      </c>
      <c r="C14" s="4211" t="s">
        <v>261</v>
      </c>
      <c r="D14" s="4212">
        <v>86678217</v>
      </c>
      <c r="E14" s="4213">
        <v>80969136</v>
      </c>
      <c r="F14" s="4224">
        <v>94434161</v>
      </c>
      <c r="G14" s="4224">
        <v>88668109</v>
      </c>
      <c r="H14" s="4214">
        <v>1078.9000000000001</v>
      </c>
      <c r="I14" s="4215">
        <v>1099.2</v>
      </c>
      <c r="J14" s="4216">
        <v>543</v>
      </c>
      <c r="K14" s="4217">
        <v>8299954</v>
      </c>
      <c r="L14" s="4225">
        <v>1113.3</v>
      </c>
      <c r="M14" s="4225">
        <v>1078.2</v>
      </c>
      <c r="N14" s="4225">
        <v>1085.9000000000001</v>
      </c>
      <c r="O14" s="4225">
        <v>1104.7</v>
      </c>
      <c r="P14" s="4218">
        <v>813076</v>
      </c>
      <c r="Q14" s="4218">
        <v>870709</v>
      </c>
      <c r="R14" s="4220">
        <v>700410</v>
      </c>
      <c r="S14" s="4220"/>
      <c r="T14" s="4219">
        <v>6541</v>
      </c>
      <c r="U14" s="5214">
        <v>13424</v>
      </c>
      <c r="V14" s="4222"/>
      <c r="W14" s="4224">
        <v>0</v>
      </c>
      <c r="X14" s="4217">
        <v>311</v>
      </c>
      <c r="Y14" s="4223">
        <v>119</v>
      </c>
      <c r="Z14" s="5220">
        <v>0.33</v>
      </c>
      <c r="AA14" s="5215">
        <v>0</v>
      </c>
      <c r="AB14" s="5205">
        <v>0.28899999999999998</v>
      </c>
      <c r="AC14" s="4224">
        <v>693812</v>
      </c>
      <c r="AD14" s="4224"/>
      <c r="AE14" s="4224">
        <v>737187</v>
      </c>
      <c r="AF14" s="4225">
        <v>1105.8</v>
      </c>
      <c r="AG14" s="4225">
        <v>1071.7</v>
      </c>
      <c r="AH14" s="4225">
        <v>0</v>
      </c>
      <c r="AI14" s="4225">
        <v>0</v>
      </c>
      <c r="AJ14" s="4225">
        <v>0</v>
      </c>
      <c r="AK14" s="4225">
        <v>0</v>
      </c>
      <c r="AL14" s="4225">
        <v>0</v>
      </c>
      <c r="AM14" s="4221">
        <v>0</v>
      </c>
      <c r="AN14" s="4226">
        <v>0</v>
      </c>
      <c r="AO14" s="4224"/>
      <c r="AP14" s="4224"/>
      <c r="AQ14" s="5219">
        <v>6171065</v>
      </c>
      <c r="AR14" s="4221">
        <v>0.3</v>
      </c>
      <c r="AS14" s="4217">
        <v>8296018</v>
      </c>
      <c r="AT14" s="5216">
        <v>0</v>
      </c>
      <c r="AU14" s="5216">
        <v>0</v>
      </c>
      <c r="AV14" s="4220">
        <v>7636746</v>
      </c>
      <c r="AW14" s="5243">
        <v>43007</v>
      </c>
      <c r="AX14" s="4224"/>
      <c r="AY14" s="5217">
        <v>700410</v>
      </c>
      <c r="AZ14" s="4224"/>
      <c r="BA14" s="4224">
        <v>561085</v>
      </c>
      <c r="BB14" s="4224">
        <v>0</v>
      </c>
      <c r="BC14" s="5218"/>
      <c r="BD14" s="4217">
        <v>0</v>
      </c>
      <c r="BE14" s="4224">
        <v>6146381</v>
      </c>
    </row>
    <row r="15" spans="1:57">
      <c r="A15" s="3810">
        <v>114</v>
      </c>
      <c r="B15" s="4210" t="s">
        <v>1482</v>
      </c>
      <c r="C15" s="4211" t="s">
        <v>254</v>
      </c>
      <c r="D15" s="4212">
        <v>35645875</v>
      </c>
      <c r="E15" s="4213">
        <v>32617030</v>
      </c>
      <c r="F15" s="4224">
        <v>37090691</v>
      </c>
      <c r="G15" s="4224">
        <v>34081192</v>
      </c>
      <c r="H15" s="4214">
        <v>635.6</v>
      </c>
      <c r="I15" s="4215">
        <v>594.79999999999995</v>
      </c>
      <c r="J15" s="4216">
        <v>88</v>
      </c>
      <c r="K15" s="4217">
        <v>6228685</v>
      </c>
      <c r="L15" s="4225">
        <v>652.4</v>
      </c>
      <c r="M15" s="4225">
        <v>647.5</v>
      </c>
      <c r="N15" s="4225">
        <v>644.6</v>
      </c>
      <c r="O15" s="4225">
        <v>643.1</v>
      </c>
      <c r="P15" s="4218">
        <v>646802</v>
      </c>
      <c r="Q15" s="4218">
        <v>587704</v>
      </c>
      <c r="R15" s="4220">
        <v>784251</v>
      </c>
      <c r="S15" s="4220"/>
      <c r="T15" s="4219">
        <v>12906</v>
      </c>
      <c r="U15" s="5214">
        <v>17673</v>
      </c>
      <c r="V15" s="4222"/>
      <c r="W15" s="4224">
        <v>0</v>
      </c>
      <c r="X15" s="4217">
        <v>328</v>
      </c>
      <c r="Y15" s="4223">
        <v>59</v>
      </c>
      <c r="Z15" s="5215">
        <v>0.46</v>
      </c>
      <c r="AA15" s="5215">
        <v>0.24</v>
      </c>
      <c r="AB15" s="5205">
        <v>0.56499999999999995</v>
      </c>
      <c r="AC15" s="4224">
        <v>395864</v>
      </c>
      <c r="AD15" s="4224"/>
      <c r="AE15" s="4224">
        <v>433902</v>
      </c>
      <c r="AF15" s="4225">
        <v>646.9</v>
      </c>
      <c r="AG15" s="4225">
        <v>640.5</v>
      </c>
      <c r="AH15" s="4225">
        <v>0</v>
      </c>
      <c r="AI15" s="4225">
        <v>0</v>
      </c>
      <c r="AJ15" s="4225">
        <v>0</v>
      </c>
      <c r="AK15" s="4225">
        <v>0</v>
      </c>
      <c r="AL15" s="4225">
        <v>0</v>
      </c>
      <c r="AM15" s="4221">
        <v>0</v>
      </c>
      <c r="AN15" s="4226">
        <v>0</v>
      </c>
      <c r="AO15" s="4224"/>
      <c r="AP15" s="4224"/>
      <c r="AQ15" s="5219">
        <v>4441275</v>
      </c>
      <c r="AR15" s="4221">
        <v>0.25159999999999999</v>
      </c>
      <c r="AS15" s="4217">
        <v>5823772</v>
      </c>
      <c r="AT15" s="5216">
        <v>0</v>
      </c>
      <c r="AU15" s="5216">
        <v>0</v>
      </c>
      <c r="AV15" s="4220">
        <v>4955773</v>
      </c>
      <c r="AW15" s="5243">
        <v>0</v>
      </c>
      <c r="AX15" s="4224"/>
      <c r="AY15" s="5217">
        <v>784251</v>
      </c>
      <c r="AZ15" s="4224"/>
      <c r="BA15" s="4224">
        <v>329095</v>
      </c>
      <c r="BB15" s="4224">
        <v>0</v>
      </c>
      <c r="BC15" s="5218"/>
      <c r="BD15" s="4217">
        <v>0</v>
      </c>
      <c r="BE15" s="4224">
        <v>4527555</v>
      </c>
    </row>
    <row r="16" spans="1:57">
      <c r="A16" s="3810">
        <v>115</v>
      </c>
      <c r="B16" s="4210" t="s">
        <v>1530</v>
      </c>
      <c r="C16" s="4211" t="s">
        <v>261</v>
      </c>
      <c r="D16" s="4212">
        <v>65029016</v>
      </c>
      <c r="E16" s="4213">
        <v>61388549</v>
      </c>
      <c r="F16" s="4224">
        <v>71040135</v>
      </c>
      <c r="G16" s="4224">
        <v>67361612</v>
      </c>
      <c r="H16" s="4214">
        <v>537.9</v>
      </c>
      <c r="I16" s="4215">
        <v>565.29999999999995</v>
      </c>
      <c r="J16" s="4216">
        <v>222</v>
      </c>
      <c r="K16" s="4217">
        <v>4398914</v>
      </c>
      <c r="L16" s="4225">
        <v>586.79999999999995</v>
      </c>
      <c r="M16" s="4225">
        <v>557</v>
      </c>
      <c r="N16" s="4225">
        <v>545.9</v>
      </c>
      <c r="O16" s="4225">
        <v>574.29999999999995</v>
      </c>
      <c r="P16" s="4218">
        <v>421295</v>
      </c>
      <c r="Q16" s="4218">
        <v>420346</v>
      </c>
      <c r="R16" s="4220">
        <v>17200</v>
      </c>
      <c r="S16" s="4220"/>
      <c r="T16" s="4219">
        <v>0</v>
      </c>
      <c r="U16" s="5214">
        <v>0</v>
      </c>
      <c r="V16" s="4222"/>
      <c r="W16" s="4224">
        <v>0</v>
      </c>
      <c r="X16" s="4217">
        <v>104</v>
      </c>
      <c r="Y16" s="4223">
        <v>57</v>
      </c>
      <c r="Z16" s="5215">
        <v>0</v>
      </c>
      <c r="AA16" s="5215">
        <v>0</v>
      </c>
      <c r="AB16" s="5205">
        <v>0</v>
      </c>
      <c r="AC16" s="4224">
        <v>448977</v>
      </c>
      <c r="AD16" s="4224"/>
      <c r="AE16" s="4224">
        <v>497193</v>
      </c>
      <c r="AF16" s="4225">
        <v>578.29999999999995</v>
      </c>
      <c r="AG16" s="4225">
        <v>548</v>
      </c>
      <c r="AH16" s="4225">
        <v>0</v>
      </c>
      <c r="AI16" s="4225">
        <v>0</v>
      </c>
      <c r="AJ16" s="4225">
        <v>0</v>
      </c>
      <c r="AK16" s="4225">
        <v>0</v>
      </c>
      <c r="AL16" s="4225">
        <v>0</v>
      </c>
      <c r="AM16" s="4221">
        <v>0</v>
      </c>
      <c r="AN16" s="4226">
        <v>0</v>
      </c>
      <c r="AO16" s="4224"/>
      <c r="AP16" s="4224"/>
      <c r="AQ16" s="5219">
        <v>3535350</v>
      </c>
      <c r="AR16" s="4221">
        <v>0.2152</v>
      </c>
      <c r="AS16" s="4217">
        <v>4693665</v>
      </c>
      <c r="AT16" s="5216">
        <v>0</v>
      </c>
      <c r="AU16" s="5216">
        <v>0</v>
      </c>
      <c r="AV16" s="4220">
        <v>4507348</v>
      </c>
      <c r="AW16" s="5243">
        <v>0</v>
      </c>
      <c r="AX16" s="4224"/>
      <c r="AY16" s="5217">
        <v>15480</v>
      </c>
      <c r="AZ16" s="4224"/>
      <c r="BA16" s="4224">
        <v>376911</v>
      </c>
      <c r="BB16" s="4224">
        <v>0</v>
      </c>
      <c r="BC16" s="5218"/>
      <c r="BD16" s="4217">
        <v>0</v>
      </c>
      <c r="BE16" s="4224">
        <v>3521209</v>
      </c>
    </row>
    <row r="17" spans="1:57">
      <c r="A17" s="3810">
        <v>200</v>
      </c>
      <c r="B17" s="4210" t="s">
        <v>411</v>
      </c>
      <c r="C17" s="4211" t="s">
        <v>175</v>
      </c>
      <c r="D17" s="4212">
        <v>31866769</v>
      </c>
      <c r="E17" s="4213">
        <v>30513563</v>
      </c>
      <c r="F17" s="4224">
        <v>30368003</v>
      </c>
      <c r="G17" s="4224">
        <v>29004573</v>
      </c>
      <c r="H17" s="4214">
        <v>241.4</v>
      </c>
      <c r="I17" s="4215">
        <v>241.5</v>
      </c>
      <c r="J17" s="4216">
        <v>780</v>
      </c>
      <c r="K17" s="4217">
        <v>2243267</v>
      </c>
      <c r="L17" s="4225">
        <v>197</v>
      </c>
      <c r="M17" s="4225">
        <v>210.6</v>
      </c>
      <c r="N17" s="4225">
        <v>244.4</v>
      </c>
      <c r="O17" s="4225">
        <v>245</v>
      </c>
      <c r="P17" s="4218">
        <v>124634</v>
      </c>
      <c r="Q17" s="4218">
        <v>140142</v>
      </c>
      <c r="R17" s="4220">
        <v>0</v>
      </c>
      <c r="S17" s="4220"/>
      <c r="T17" s="4219">
        <v>0</v>
      </c>
      <c r="U17" s="5214">
        <v>0</v>
      </c>
      <c r="V17" s="4222"/>
      <c r="W17" s="4224">
        <v>0</v>
      </c>
      <c r="X17" s="4217">
        <v>110</v>
      </c>
      <c r="Y17" s="4223">
        <v>53</v>
      </c>
      <c r="Z17" s="5215">
        <v>0</v>
      </c>
      <c r="AA17" s="5215">
        <v>0</v>
      </c>
      <c r="AB17" s="5205">
        <v>0</v>
      </c>
      <c r="AC17" s="4224">
        <v>149757</v>
      </c>
      <c r="AD17" s="4224"/>
      <c r="AE17" s="4224">
        <v>194322</v>
      </c>
      <c r="AF17" s="4225">
        <v>193.5</v>
      </c>
      <c r="AG17" s="4225">
        <v>205.3</v>
      </c>
      <c r="AH17" s="4225">
        <v>0</v>
      </c>
      <c r="AI17" s="4225">
        <v>0</v>
      </c>
      <c r="AJ17" s="4225">
        <v>0</v>
      </c>
      <c r="AK17" s="4225">
        <v>0</v>
      </c>
      <c r="AL17" s="4225">
        <v>0</v>
      </c>
      <c r="AM17" s="4221">
        <v>0</v>
      </c>
      <c r="AN17" s="4226">
        <v>0</v>
      </c>
      <c r="AO17" s="4224"/>
      <c r="AP17" s="4224"/>
      <c r="AQ17" s="4224">
        <v>1949901</v>
      </c>
      <c r="AR17" s="4221">
        <v>0.3</v>
      </c>
      <c r="AS17" s="4217">
        <v>2457547</v>
      </c>
      <c r="AT17" s="5216">
        <v>0</v>
      </c>
      <c r="AU17" s="5216">
        <v>0</v>
      </c>
      <c r="AV17" s="4220">
        <v>1949901</v>
      </c>
      <c r="AW17" s="5243">
        <v>0</v>
      </c>
      <c r="AX17" s="4224"/>
      <c r="AY17" s="5217">
        <v>0</v>
      </c>
      <c r="AZ17" s="4224"/>
      <c r="BA17" s="4224">
        <v>150492</v>
      </c>
      <c r="BB17" s="4224">
        <v>0</v>
      </c>
      <c r="BC17" s="5218"/>
      <c r="BD17" s="4217">
        <v>0</v>
      </c>
      <c r="BE17" s="4224">
        <v>1942092</v>
      </c>
    </row>
    <row r="18" spans="1:57">
      <c r="A18" s="3810">
        <v>202</v>
      </c>
      <c r="B18" s="4210" t="s">
        <v>412</v>
      </c>
      <c r="C18" s="4211" t="s">
        <v>176</v>
      </c>
      <c r="D18" s="4212">
        <v>118924008</v>
      </c>
      <c r="E18" s="4213">
        <v>104532849</v>
      </c>
      <c r="F18" s="4224">
        <v>123259177</v>
      </c>
      <c r="G18" s="4224">
        <v>108825000</v>
      </c>
      <c r="H18" s="4214">
        <v>3888.6</v>
      </c>
      <c r="I18" s="4215">
        <v>3871.2</v>
      </c>
      <c r="J18" s="4216">
        <v>17</v>
      </c>
      <c r="K18" s="4217">
        <v>35653478</v>
      </c>
      <c r="L18" s="4225">
        <v>3882.5</v>
      </c>
      <c r="M18" s="4225">
        <v>3930.5</v>
      </c>
      <c r="N18" s="4225">
        <v>3969.6</v>
      </c>
      <c r="O18" s="4225">
        <v>3952.7</v>
      </c>
      <c r="P18" s="4218">
        <v>2934652</v>
      </c>
      <c r="Q18" s="4218">
        <v>2921099</v>
      </c>
      <c r="R18" s="4220">
        <v>6492393</v>
      </c>
      <c r="S18" s="4220"/>
      <c r="T18" s="4219">
        <v>2516</v>
      </c>
      <c r="U18" s="5214">
        <v>2939</v>
      </c>
      <c r="V18" s="4222"/>
      <c r="W18" s="4224">
        <v>0</v>
      </c>
      <c r="X18" s="4217">
        <v>2762</v>
      </c>
      <c r="Y18" s="4223">
        <v>438</v>
      </c>
      <c r="Z18" s="5215">
        <v>0.67</v>
      </c>
      <c r="AA18" s="5215">
        <v>0.46</v>
      </c>
      <c r="AB18" s="5205">
        <v>0.74239999999999995</v>
      </c>
      <c r="AC18" s="4224">
        <v>2529067</v>
      </c>
      <c r="AD18" s="4224"/>
      <c r="AE18" s="4224">
        <v>2744630</v>
      </c>
      <c r="AF18" s="4225">
        <v>3801</v>
      </c>
      <c r="AG18" s="4225">
        <v>3854</v>
      </c>
      <c r="AH18" s="4225">
        <v>0</v>
      </c>
      <c r="AI18" s="4225">
        <v>0</v>
      </c>
      <c r="AJ18" s="4225">
        <v>0</v>
      </c>
      <c r="AK18" s="4225">
        <v>0</v>
      </c>
      <c r="AL18" s="4225">
        <v>0</v>
      </c>
      <c r="AM18" s="4221">
        <v>0</v>
      </c>
      <c r="AN18" s="4226">
        <v>0</v>
      </c>
      <c r="AO18" s="4224"/>
      <c r="AP18" s="4224"/>
      <c r="AQ18" s="4224">
        <v>23058810</v>
      </c>
      <c r="AR18" s="4221">
        <v>0.3</v>
      </c>
      <c r="AS18" s="4217">
        <v>30178043</v>
      </c>
      <c r="AT18" s="5216">
        <v>0</v>
      </c>
      <c r="AU18" s="5216">
        <v>0</v>
      </c>
      <c r="AV18" s="4220">
        <v>23058810</v>
      </c>
      <c r="AW18" s="5243">
        <v>431917</v>
      </c>
      <c r="AX18" s="4224"/>
      <c r="AY18" s="5217">
        <v>6492393</v>
      </c>
      <c r="AZ18" s="4224"/>
      <c r="BA18" s="4224">
        <v>2110624</v>
      </c>
      <c r="BB18" s="4224">
        <v>431917</v>
      </c>
      <c r="BC18" s="5218"/>
      <c r="BD18" s="4217">
        <v>0</v>
      </c>
      <c r="BE18" s="4224">
        <v>23606830</v>
      </c>
    </row>
    <row r="19" spans="1:57">
      <c r="A19" s="3810">
        <v>203</v>
      </c>
      <c r="B19" s="4210" t="s">
        <v>413</v>
      </c>
      <c r="C19" s="4211" t="s">
        <v>176</v>
      </c>
      <c r="D19" s="4212">
        <v>171074669</v>
      </c>
      <c r="E19" s="4213">
        <v>162250176</v>
      </c>
      <c r="F19" s="4224">
        <v>180699742</v>
      </c>
      <c r="G19" s="4224">
        <v>171658297</v>
      </c>
      <c r="H19" s="4214">
        <v>1889.5</v>
      </c>
      <c r="I19" s="4215">
        <v>1955</v>
      </c>
      <c r="J19" s="4216">
        <v>31.4</v>
      </c>
      <c r="K19" s="4217">
        <v>12355715</v>
      </c>
      <c r="L19" s="4225">
        <v>1774.7</v>
      </c>
      <c r="M19" s="4225">
        <v>1803.6</v>
      </c>
      <c r="N19" s="4225">
        <v>1897</v>
      </c>
      <c r="O19" s="4225">
        <v>1961</v>
      </c>
      <c r="P19" s="4218">
        <v>1738771</v>
      </c>
      <c r="Q19" s="4218">
        <v>2026925</v>
      </c>
      <c r="R19" s="4220">
        <v>788798</v>
      </c>
      <c r="S19" s="4220"/>
      <c r="T19" s="4219">
        <v>0</v>
      </c>
      <c r="U19" s="5214">
        <v>0</v>
      </c>
      <c r="V19" s="4222"/>
      <c r="W19" s="4224">
        <v>120167</v>
      </c>
      <c r="X19" s="4217">
        <v>287</v>
      </c>
      <c r="Y19" s="4223">
        <v>136</v>
      </c>
      <c r="Z19" s="5215">
        <v>0.12</v>
      </c>
      <c r="AA19" s="5215">
        <v>0</v>
      </c>
      <c r="AB19" s="5205">
        <v>0.28129999999999999</v>
      </c>
      <c r="AC19" s="4224">
        <v>846774</v>
      </c>
      <c r="AD19" s="4224"/>
      <c r="AE19" s="4224">
        <v>994080</v>
      </c>
      <c r="AF19" s="4225">
        <v>1770.7</v>
      </c>
      <c r="AG19" s="4225">
        <v>1799.6</v>
      </c>
      <c r="AH19" s="4225">
        <v>4.2</v>
      </c>
      <c r="AI19" s="4225">
        <v>0</v>
      </c>
      <c r="AJ19" s="4225">
        <v>0</v>
      </c>
      <c r="AK19" s="4225">
        <v>0</v>
      </c>
      <c r="AL19" s="4225">
        <v>0</v>
      </c>
      <c r="AM19" s="4227">
        <v>3.0700000000000002E-2</v>
      </c>
      <c r="AN19" s="4226">
        <v>0</v>
      </c>
      <c r="AO19" s="4224"/>
      <c r="AP19" s="4224"/>
      <c r="AQ19" s="4224">
        <v>8787033</v>
      </c>
      <c r="AR19" s="4221">
        <v>0.31</v>
      </c>
      <c r="AS19" s="4217">
        <v>12019524</v>
      </c>
      <c r="AT19" s="5216">
        <v>0</v>
      </c>
      <c r="AU19" s="5216">
        <v>0</v>
      </c>
      <c r="AV19" s="4220">
        <v>8787033</v>
      </c>
      <c r="AW19" s="5243">
        <v>35307</v>
      </c>
      <c r="AX19" s="4224"/>
      <c r="AY19" s="5217">
        <v>709919</v>
      </c>
      <c r="AZ19" s="4224"/>
      <c r="BA19" s="4224">
        <v>758267</v>
      </c>
      <c r="BB19" s="4224">
        <v>0</v>
      </c>
      <c r="BC19" s="5218"/>
      <c r="BD19" s="4217">
        <v>0</v>
      </c>
      <c r="BE19" s="4224">
        <v>8740437</v>
      </c>
    </row>
    <row r="20" spans="1:57">
      <c r="A20" s="3810">
        <v>204</v>
      </c>
      <c r="B20" s="4210" t="s">
        <v>414</v>
      </c>
      <c r="C20" s="4211" t="s">
        <v>176</v>
      </c>
      <c r="D20" s="4212">
        <v>161943668</v>
      </c>
      <c r="E20" s="4213">
        <v>150980988</v>
      </c>
      <c r="F20" s="4224">
        <v>174066079</v>
      </c>
      <c r="G20" s="4224">
        <v>163034241</v>
      </c>
      <c r="H20" s="4214">
        <v>2507.1</v>
      </c>
      <c r="I20" s="4215">
        <v>2570.5</v>
      </c>
      <c r="J20" s="4216">
        <v>38</v>
      </c>
      <c r="K20" s="4217">
        <v>20342242</v>
      </c>
      <c r="L20" s="4225">
        <v>2408.6999999999998</v>
      </c>
      <c r="M20" s="4225">
        <v>2440.8000000000002</v>
      </c>
      <c r="N20" s="4225">
        <v>2526.1</v>
      </c>
      <c r="O20" s="4225">
        <v>2629.6</v>
      </c>
      <c r="P20" s="4218">
        <v>2696306</v>
      </c>
      <c r="Q20" s="4218">
        <v>3079088</v>
      </c>
      <c r="R20" s="4220">
        <v>2252695</v>
      </c>
      <c r="S20" s="4220"/>
      <c r="T20" s="4219">
        <v>6587</v>
      </c>
      <c r="U20" s="5214">
        <v>7869</v>
      </c>
      <c r="V20" s="4222"/>
      <c r="W20" s="4224">
        <v>164495</v>
      </c>
      <c r="X20" s="4217">
        <v>1191</v>
      </c>
      <c r="Y20" s="4223">
        <v>355</v>
      </c>
      <c r="Z20" s="5215">
        <v>0.34</v>
      </c>
      <c r="AA20" s="5215">
        <v>0.12</v>
      </c>
      <c r="AB20" s="5205">
        <v>0.46260000000000001</v>
      </c>
      <c r="AC20" s="4224">
        <v>1458066</v>
      </c>
      <c r="AD20" s="4224"/>
      <c r="AE20" s="4224">
        <v>1830368</v>
      </c>
      <c r="AF20" s="4225">
        <v>2388.1999999999998</v>
      </c>
      <c r="AG20" s="4225">
        <v>2421.8000000000002</v>
      </c>
      <c r="AH20" s="4225">
        <v>0</v>
      </c>
      <c r="AI20" s="4225">
        <v>0</v>
      </c>
      <c r="AJ20" s="4225">
        <v>0</v>
      </c>
      <c r="AK20" s="4225">
        <v>0</v>
      </c>
      <c r="AL20" s="4225">
        <v>0</v>
      </c>
      <c r="AM20" s="4221">
        <v>0</v>
      </c>
      <c r="AN20" s="4226">
        <v>0</v>
      </c>
      <c r="AO20" s="4224"/>
      <c r="AP20" s="4224"/>
      <c r="AQ20" s="4224">
        <v>13203980</v>
      </c>
      <c r="AR20" s="4221">
        <v>0.3</v>
      </c>
      <c r="AS20" s="4217">
        <v>18087128</v>
      </c>
      <c r="AT20" s="5216">
        <v>0</v>
      </c>
      <c r="AU20" s="5216">
        <v>0</v>
      </c>
      <c r="AV20" s="4220">
        <v>13203980</v>
      </c>
      <c r="AW20" s="5243">
        <v>201799</v>
      </c>
      <c r="AX20" s="4224"/>
      <c r="AY20" s="5221">
        <v>2252681</v>
      </c>
      <c r="AZ20" s="4224"/>
      <c r="BA20" s="4224">
        <v>1414362</v>
      </c>
      <c r="BB20" s="4224">
        <v>175701</v>
      </c>
      <c r="BC20" s="5218"/>
      <c r="BD20" s="4217">
        <v>0</v>
      </c>
      <c r="BE20" s="4224">
        <v>13255915</v>
      </c>
    </row>
    <row r="21" spans="1:57">
      <c r="A21" s="3810">
        <v>205</v>
      </c>
      <c r="B21" s="4210" t="s">
        <v>415</v>
      </c>
      <c r="C21" s="4211" t="s">
        <v>177</v>
      </c>
      <c r="D21" s="4212">
        <v>34531256</v>
      </c>
      <c r="E21" s="4213">
        <v>30892920</v>
      </c>
      <c r="F21" s="4224">
        <v>33315838</v>
      </c>
      <c r="G21" s="4224">
        <v>29680805</v>
      </c>
      <c r="H21" s="4214">
        <v>507.8</v>
      </c>
      <c r="I21" s="4215">
        <v>486.3</v>
      </c>
      <c r="J21" s="4216">
        <v>348.6</v>
      </c>
      <c r="K21" s="4217">
        <v>4895464</v>
      </c>
      <c r="L21" s="4225">
        <v>501.6</v>
      </c>
      <c r="M21" s="4225">
        <v>502.2</v>
      </c>
      <c r="N21" s="4225">
        <v>507.8</v>
      </c>
      <c r="O21" s="4225">
        <v>486.3</v>
      </c>
      <c r="P21" s="4218">
        <v>549546</v>
      </c>
      <c r="Q21" s="4218">
        <v>525258</v>
      </c>
      <c r="R21" s="4220">
        <v>485918</v>
      </c>
      <c r="S21" s="4220"/>
      <c r="T21" s="4219">
        <v>4925</v>
      </c>
      <c r="U21" s="5214">
        <v>6218</v>
      </c>
      <c r="V21" s="4222"/>
      <c r="W21" s="4224">
        <v>0</v>
      </c>
      <c r="X21" s="4217">
        <v>240</v>
      </c>
      <c r="Y21" s="4223">
        <v>33</v>
      </c>
      <c r="Z21" s="5215">
        <v>0.3</v>
      </c>
      <c r="AA21" s="5215">
        <v>0.08</v>
      </c>
      <c r="AB21" s="5205">
        <v>0.42830000000000001</v>
      </c>
      <c r="AC21" s="4224">
        <v>385179</v>
      </c>
      <c r="AD21" s="4224"/>
      <c r="AE21" s="4224">
        <v>354772</v>
      </c>
      <c r="AF21" s="4225">
        <v>501.6</v>
      </c>
      <c r="AG21" s="4225">
        <v>502.2</v>
      </c>
      <c r="AH21" s="4225">
        <v>0</v>
      </c>
      <c r="AI21" s="4225">
        <v>0</v>
      </c>
      <c r="AJ21" s="4225">
        <v>0</v>
      </c>
      <c r="AK21" s="4225">
        <v>0</v>
      </c>
      <c r="AL21" s="4225">
        <v>0</v>
      </c>
      <c r="AM21" s="4221">
        <v>0</v>
      </c>
      <c r="AN21" s="4226">
        <v>0</v>
      </c>
      <c r="AO21" s="4224"/>
      <c r="AP21" s="4224"/>
      <c r="AQ21" s="4224">
        <v>3605465</v>
      </c>
      <c r="AR21" s="4221">
        <v>0.3</v>
      </c>
      <c r="AS21" s="4217">
        <v>4815400</v>
      </c>
      <c r="AT21" s="5216">
        <v>0</v>
      </c>
      <c r="AU21" s="5216">
        <v>0</v>
      </c>
      <c r="AV21" s="4220">
        <v>3605465</v>
      </c>
      <c r="AW21" s="5243">
        <v>35212</v>
      </c>
      <c r="AX21" s="4224"/>
      <c r="AY21" s="5217">
        <v>485918</v>
      </c>
      <c r="AZ21" s="4224"/>
      <c r="BA21" s="4224">
        <v>268614</v>
      </c>
      <c r="BB21" s="4224">
        <v>22089</v>
      </c>
      <c r="BC21" s="5218"/>
      <c r="BD21" s="4217">
        <v>0</v>
      </c>
      <c r="BE21" s="4224">
        <v>3592439</v>
      </c>
    </row>
    <row r="22" spans="1:57">
      <c r="A22" s="3810">
        <v>206</v>
      </c>
      <c r="B22" s="4210" t="s">
        <v>416</v>
      </c>
      <c r="C22" s="4211" t="s">
        <v>177</v>
      </c>
      <c r="D22" s="4212">
        <v>43703559</v>
      </c>
      <c r="E22" s="4213">
        <v>40609831</v>
      </c>
      <c r="F22" s="4224">
        <v>46086238</v>
      </c>
      <c r="G22" s="4224">
        <v>42970627</v>
      </c>
      <c r="H22" s="4214">
        <v>473.4</v>
      </c>
      <c r="I22" s="4215">
        <v>491.7</v>
      </c>
      <c r="J22" s="4216">
        <v>253</v>
      </c>
      <c r="K22" s="4217">
        <v>4782106</v>
      </c>
      <c r="L22" s="4225">
        <v>537.79999999999995</v>
      </c>
      <c r="M22" s="4225">
        <v>513.70000000000005</v>
      </c>
      <c r="N22" s="4225">
        <v>490.9</v>
      </c>
      <c r="O22" s="4225">
        <v>514.20000000000005</v>
      </c>
      <c r="P22" s="4218">
        <v>573157</v>
      </c>
      <c r="Q22" s="4218">
        <v>545634</v>
      </c>
      <c r="R22" s="4220">
        <v>319535</v>
      </c>
      <c r="S22" s="4220"/>
      <c r="T22" s="4219">
        <v>0</v>
      </c>
      <c r="U22" s="5214">
        <v>0</v>
      </c>
      <c r="V22" s="4222"/>
      <c r="W22" s="4224">
        <v>7076</v>
      </c>
      <c r="X22" s="4217">
        <v>152</v>
      </c>
      <c r="Y22" s="4223">
        <v>48</v>
      </c>
      <c r="Z22" s="5215">
        <v>0.09</v>
      </c>
      <c r="AA22" s="5215">
        <v>0</v>
      </c>
      <c r="AB22" s="5205">
        <v>0.25209999999999999</v>
      </c>
      <c r="AC22" s="4224">
        <v>308312</v>
      </c>
      <c r="AD22" s="4224"/>
      <c r="AE22" s="4224">
        <v>358887</v>
      </c>
      <c r="AF22" s="4225">
        <v>491.1</v>
      </c>
      <c r="AG22" s="4225">
        <v>490.1</v>
      </c>
      <c r="AH22" s="4225">
        <v>15.8</v>
      </c>
      <c r="AI22" s="4225">
        <v>0</v>
      </c>
      <c r="AJ22" s="4225">
        <v>0</v>
      </c>
      <c r="AK22" s="4225">
        <v>0</v>
      </c>
      <c r="AL22" s="4225">
        <v>0</v>
      </c>
      <c r="AM22" s="4221">
        <v>0</v>
      </c>
      <c r="AN22" s="4226">
        <v>0</v>
      </c>
      <c r="AO22" s="4224"/>
      <c r="AP22" s="4224"/>
      <c r="AQ22" s="4224">
        <v>3389220</v>
      </c>
      <c r="AR22" s="4221">
        <v>0.3</v>
      </c>
      <c r="AS22" s="4217">
        <v>4463293</v>
      </c>
      <c r="AT22" s="5216">
        <v>0</v>
      </c>
      <c r="AU22" s="5216">
        <v>0</v>
      </c>
      <c r="AV22" s="4220">
        <v>3389220</v>
      </c>
      <c r="AW22" s="5243">
        <v>12006</v>
      </c>
      <c r="AX22" s="4224"/>
      <c r="AY22" s="5217">
        <v>319509</v>
      </c>
      <c r="AZ22" s="4224"/>
      <c r="BA22" s="4224">
        <v>271628</v>
      </c>
      <c r="BB22" s="4224">
        <v>0</v>
      </c>
      <c r="BC22" s="5218"/>
      <c r="BD22" s="4217">
        <v>0</v>
      </c>
      <c r="BE22" s="4224">
        <v>3336839</v>
      </c>
    </row>
    <row r="23" spans="1:57">
      <c r="A23" s="3810">
        <v>207</v>
      </c>
      <c r="B23" s="4210" t="s">
        <v>417</v>
      </c>
      <c r="C23" s="4211" t="s">
        <v>178</v>
      </c>
      <c r="D23" s="4212">
        <v>2178352</v>
      </c>
      <c r="E23" s="4213">
        <v>2178352</v>
      </c>
      <c r="F23" s="4224">
        <v>2479839</v>
      </c>
      <c r="G23" s="4224">
        <v>2479839</v>
      </c>
      <c r="H23" s="5198">
        <v>1738.9</v>
      </c>
      <c r="I23" s="4215">
        <v>1597.1</v>
      </c>
      <c r="J23" s="4216">
        <v>8.5</v>
      </c>
      <c r="K23" s="4217">
        <v>13765102</v>
      </c>
      <c r="L23" s="4225">
        <v>1983.5</v>
      </c>
      <c r="M23" s="4225">
        <v>1887.6</v>
      </c>
      <c r="N23" s="4225">
        <v>1738.9</v>
      </c>
      <c r="O23" s="4225">
        <v>1597.1</v>
      </c>
      <c r="P23" s="4218">
        <v>1281237</v>
      </c>
      <c r="Q23" s="4218">
        <v>1407932</v>
      </c>
      <c r="R23" s="4220">
        <v>3393751</v>
      </c>
      <c r="S23" s="4220"/>
      <c r="T23" s="4219">
        <v>0</v>
      </c>
      <c r="U23" s="5214">
        <v>0</v>
      </c>
      <c r="V23" s="4222"/>
      <c r="W23" s="4224">
        <v>0</v>
      </c>
      <c r="X23" s="4217">
        <v>69</v>
      </c>
      <c r="Y23" s="4223">
        <v>116</v>
      </c>
      <c r="Z23" s="5215">
        <v>0.97</v>
      </c>
      <c r="AA23" s="5215">
        <v>0.75</v>
      </c>
      <c r="AB23" s="5205">
        <v>0.98699999999999999</v>
      </c>
      <c r="AC23" s="4224">
        <v>1104880</v>
      </c>
      <c r="AD23" s="4224"/>
      <c r="AE23" s="4224">
        <v>1303433</v>
      </c>
      <c r="AF23" s="4225">
        <v>1983.5</v>
      </c>
      <c r="AG23" s="4225">
        <v>1887.6</v>
      </c>
      <c r="AH23" s="4225">
        <v>0</v>
      </c>
      <c r="AI23" s="4225">
        <v>0</v>
      </c>
      <c r="AJ23" s="4225">
        <v>0</v>
      </c>
      <c r="AK23" s="4225">
        <v>0</v>
      </c>
      <c r="AL23" s="4225">
        <v>0</v>
      </c>
      <c r="AM23" s="4221">
        <v>0</v>
      </c>
      <c r="AN23" s="4226">
        <v>5376954</v>
      </c>
      <c r="AO23" s="4224"/>
      <c r="AP23" s="4224"/>
      <c r="AQ23" s="5219">
        <v>2725281</v>
      </c>
      <c r="AR23" s="4221">
        <v>0.31</v>
      </c>
      <c r="AS23" s="4217">
        <v>10725503</v>
      </c>
      <c r="AT23" s="5216">
        <v>0</v>
      </c>
      <c r="AU23" s="5216">
        <v>0</v>
      </c>
      <c r="AV23" s="4220">
        <v>2725281</v>
      </c>
      <c r="AW23" s="5243">
        <v>6504</v>
      </c>
      <c r="AX23" s="4224"/>
      <c r="AY23" s="5217">
        <v>3393751</v>
      </c>
      <c r="AZ23" s="4224"/>
      <c r="BA23" s="4224">
        <v>996210</v>
      </c>
      <c r="BB23" s="4224">
        <v>6504</v>
      </c>
      <c r="BC23" s="5218"/>
      <c r="BD23" s="4217">
        <v>0</v>
      </c>
      <c r="BE23" s="4224">
        <v>3191015</v>
      </c>
    </row>
    <row r="24" spans="1:57">
      <c r="A24" s="3810">
        <v>208</v>
      </c>
      <c r="B24" s="4210" t="s">
        <v>418</v>
      </c>
      <c r="C24" s="4211" t="s">
        <v>179</v>
      </c>
      <c r="D24" s="4212">
        <v>61715863</v>
      </c>
      <c r="E24" s="4213">
        <v>58571342</v>
      </c>
      <c r="F24" s="4224">
        <v>44117863</v>
      </c>
      <c r="G24" s="4224">
        <v>40951547</v>
      </c>
      <c r="H24" s="4214">
        <v>370.3</v>
      </c>
      <c r="I24" s="4215">
        <v>367</v>
      </c>
      <c r="J24" s="4216">
        <v>706.7</v>
      </c>
      <c r="K24" s="4217">
        <v>3049003</v>
      </c>
      <c r="L24" s="4225">
        <v>359.3</v>
      </c>
      <c r="M24" s="4225">
        <v>375</v>
      </c>
      <c r="N24" s="4225">
        <v>370.3</v>
      </c>
      <c r="O24" s="4225">
        <v>367</v>
      </c>
      <c r="P24" s="4218">
        <v>336134</v>
      </c>
      <c r="Q24" s="4218">
        <v>457673</v>
      </c>
      <c r="R24" s="4220">
        <v>0</v>
      </c>
      <c r="S24" s="4220"/>
      <c r="T24" s="4219">
        <v>0</v>
      </c>
      <c r="U24" s="5214">
        <v>0</v>
      </c>
      <c r="V24" s="4222"/>
      <c r="W24" s="4224">
        <v>0</v>
      </c>
      <c r="X24" s="4217">
        <v>102</v>
      </c>
      <c r="Y24" s="4223">
        <v>22</v>
      </c>
      <c r="Z24" s="5215">
        <v>0</v>
      </c>
      <c r="AA24" s="5215">
        <v>0</v>
      </c>
      <c r="AB24" s="5205">
        <v>2.5999999999999999E-3</v>
      </c>
      <c r="AC24" s="4224">
        <v>240465</v>
      </c>
      <c r="AD24" s="4224"/>
      <c r="AE24" s="4224">
        <v>282291</v>
      </c>
      <c r="AF24" s="4225">
        <v>359.3</v>
      </c>
      <c r="AG24" s="4225">
        <v>375</v>
      </c>
      <c r="AH24" s="4225">
        <v>0</v>
      </c>
      <c r="AI24" s="4225">
        <v>0</v>
      </c>
      <c r="AJ24" s="4225">
        <v>0</v>
      </c>
      <c r="AK24" s="4225">
        <v>0</v>
      </c>
      <c r="AL24" s="4225">
        <v>0</v>
      </c>
      <c r="AM24" s="4221">
        <v>0</v>
      </c>
      <c r="AN24" s="4226">
        <v>0</v>
      </c>
      <c r="AO24" s="4224"/>
      <c r="AP24" s="4224"/>
      <c r="AQ24" s="4224">
        <v>2370685</v>
      </c>
      <c r="AR24" s="4221">
        <v>0.3</v>
      </c>
      <c r="AS24" s="4217">
        <v>3340494</v>
      </c>
      <c r="AT24" s="5216">
        <v>0</v>
      </c>
      <c r="AU24" s="5216">
        <v>0</v>
      </c>
      <c r="AV24" s="4220">
        <v>2370685</v>
      </c>
      <c r="AW24" s="5243">
        <v>0</v>
      </c>
      <c r="AX24" s="4224"/>
      <c r="AY24" s="5217">
        <v>0</v>
      </c>
      <c r="AZ24" s="4224"/>
      <c r="BA24" s="4224">
        <v>212213</v>
      </c>
      <c r="BB24" s="4224">
        <v>0</v>
      </c>
      <c r="BC24" s="5218"/>
      <c r="BD24" s="4217">
        <v>217291</v>
      </c>
      <c r="BE24" s="4224">
        <v>2361202</v>
      </c>
    </row>
    <row r="25" spans="1:57">
      <c r="A25" s="3810">
        <v>209</v>
      </c>
      <c r="B25" s="4210" t="s">
        <v>419</v>
      </c>
      <c r="C25" s="4211" t="s">
        <v>180</v>
      </c>
      <c r="D25" s="4212">
        <v>58399289</v>
      </c>
      <c r="E25" s="4213">
        <v>57824068</v>
      </c>
      <c r="F25" s="4224">
        <v>39810399</v>
      </c>
      <c r="G25" s="4224">
        <v>39229353</v>
      </c>
      <c r="H25" s="4214">
        <v>185.7</v>
      </c>
      <c r="I25" s="4215">
        <v>163.19999999999999</v>
      </c>
      <c r="J25" s="4216">
        <v>223</v>
      </c>
      <c r="K25" s="4217">
        <v>1830068</v>
      </c>
      <c r="L25" s="4225">
        <v>163.80000000000001</v>
      </c>
      <c r="M25" s="4225">
        <v>189.4</v>
      </c>
      <c r="N25" s="4225">
        <v>190.7</v>
      </c>
      <c r="O25" s="4225">
        <v>167.2</v>
      </c>
      <c r="P25" s="4218">
        <v>114088</v>
      </c>
      <c r="Q25" s="4218">
        <v>114047</v>
      </c>
      <c r="R25" s="4220">
        <v>0</v>
      </c>
      <c r="S25" s="4220"/>
      <c r="T25" s="4219">
        <v>0</v>
      </c>
      <c r="U25" s="5214">
        <v>0</v>
      </c>
      <c r="V25" s="4222"/>
      <c r="W25" s="4224">
        <v>0</v>
      </c>
      <c r="X25" s="4217">
        <v>83</v>
      </c>
      <c r="Y25" s="4223">
        <v>29</v>
      </c>
      <c r="Z25" s="5215">
        <v>0</v>
      </c>
      <c r="AA25" s="5215">
        <v>0</v>
      </c>
      <c r="AB25" s="5205">
        <v>0</v>
      </c>
      <c r="AC25" s="4224">
        <v>155139</v>
      </c>
      <c r="AD25" s="4224"/>
      <c r="AE25" s="4224">
        <v>180594</v>
      </c>
      <c r="AF25" s="4225">
        <v>159.30000000000001</v>
      </c>
      <c r="AG25" s="4225">
        <v>184.9</v>
      </c>
      <c r="AH25" s="4225">
        <v>0</v>
      </c>
      <c r="AI25" s="4225">
        <v>0</v>
      </c>
      <c r="AJ25" s="4225">
        <v>0</v>
      </c>
      <c r="AK25" s="4225">
        <v>0</v>
      </c>
      <c r="AL25" s="4225">
        <v>0</v>
      </c>
      <c r="AM25" s="4221">
        <v>0</v>
      </c>
      <c r="AN25" s="4226">
        <v>0</v>
      </c>
      <c r="AO25" s="4224"/>
      <c r="AP25" s="4224"/>
      <c r="AQ25" s="4224">
        <v>1558726</v>
      </c>
      <c r="AR25" s="4221">
        <v>0.31</v>
      </c>
      <c r="AS25" s="4217">
        <v>2042819</v>
      </c>
      <c r="AT25" s="5216">
        <v>0</v>
      </c>
      <c r="AU25" s="5216">
        <v>0</v>
      </c>
      <c r="AV25" s="4220">
        <v>1558726</v>
      </c>
      <c r="AW25" s="5243">
        <v>0</v>
      </c>
      <c r="AX25" s="4224"/>
      <c r="AY25" s="5217">
        <v>0</v>
      </c>
      <c r="AZ25" s="4224"/>
      <c r="BA25" s="4224">
        <v>141908</v>
      </c>
      <c r="BB25" s="4224">
        <v>0</v>
      </c>
      <c r="BC25" s="5218"/>
      <c r="BD25" s="4217">
        <v>316252</v>
      </c>
      <c r="BE25" s="4224">
        <v>1552491</v>
      </c>
    </row>
    <row r="26" spans="1:57">
      <c r="A26" s="3810">
        <v>210</v>
      </c>
      <c r="B26" s="4210" t="s">
        <v>420</v>
      </c>
      <c r="C26" s="4211" t="s">
        <v>180</v>
      </c>
      <c r="D26" s="4212">
        <v>158720346</v>
      </c>
      <c r="E26" s="4213">
        <v>154693156</v>
      </c>
      <c r="F26" s="4224">
        <v>124287920</v>
      </c>
      <c r="G26" s="4224">
        <v>120224265</v>
      </c>
      <c r="H26" s="4214">
        <v>1036.8</v>
      </c>
      <c r="I26" s="4215">
        <v>1010.4</v>
      </c>
      <c r="J26" s="4216">
        <v>575</v>
      </c>
      <c r="K26" s="4217">
        <v>7739307</v>
      </c>
      <c r="L26" s="4225">
        <v>1031.7</v>
      </c>
      <c r="M26" s="4225">
        <v>1050.0999999999999</v>
      </c>
      <c r="N26" s="4225">
        <v>1058.3</v>
      </c>
      <c r="O26" s="4225">
        <v>1042.4000000000001</v>
      </c>
      <c r="P26" s="4218">
        <v>556145</v>
      </c>
      <c r="Q26" s="4218">
        <v>567982</v>
      </c>
      <c r="R26" s="4220">
        <v>0</v>
      </c>
      <c r="S26" s="4220"/>
      <c r="T26" s="4219">
        <v>6466</v>
      </c>
      <c r="U26" s="5214">
        <v>7445</v>
      </c>
      <c r="V26" s="4222"/>
      <c r="W26" s="4224">
        <v>0</v>
      </c>
      <c r="X26" s="4217">
        <v>538</v>
      </c>
      <c r="Y26" s="4223">
        <v>145</v>
      </c>
      <c r="Z26" s="5215">
        <v>0</v>
      </c>
      <c r="AA26" s="5215">
        <v>0</v>
      </c>
      <c r="AB26" s="5205">
        <v>5.1000000000000004E-3</v>
      </c>
      <c r="AC26" s="4224">
        <v>680865</v>
      </c>
      <c r="AD26" s="4224"/>
      <c r="AE26" s="4224">
        <v>739998</v>
      </c>
      <c r="AF26" s="4225">
        <v>1007.5</v>
      </c>
      <c r="AG26" s="4225">
        <v>1020.8</v>
      </c>
      <c r="AH26" s="4225">
        <v>5.8</v>
      </c>
      <c r="AI26" s="4225">
        <v>0</v>
      </c>
      <c r="AJ26" s="4225">
        <v>0</v>
      </c>
      <c r="AK26" s="4225">
        <v>0</v>
      </c>
      <c r="AL26" s="4225">
        <v>0</v>
      </c>
      <c r="AM26" s="4221">
        <v>0</v>
      </c>
      <c r="AN26" s="4226">
        <v>0</v>
      </c>
      <c r="AO26" s="4224"/>
      <c r="AP26" s="4224"/>
      <c r="AQ26" s="4224">
        <v>6593792</v>
      </c>
      <c r="AR26" s="4221">
        <v>0.3</v>
      </c>
      <c r="AS26" s="4217">
        <v>8515750</v>
      </c>
      <c r="AT26" s="5216">
        <v>0</v>
      </c>
      <c r="AU26" s="5216">
        <v>0</v>
      </c>
      <c r="AV26" s="4220">
        <v>6593792</v>
      </c>
      <c r="AW26" s="5243">
        <v>0</v>
      </c>
      <c r="AX26" s="4224"/>
      <c r="AY26" s="5217">
        <v>0</v>
      </c>
      <c r="AZ26" s="4224"/>
      <c r="BA26" s="4224">
        <v>567591</v>
      </c>
      <c r="BB26" s="4224">
        <v>0</v>
      </c>
      <c r="BC26" s="5218"/>
      <c r="BD26" s="4217">
        <v>433320</v>
      </c>
      <c r="BE26" s="4224">
        <v>6555164</v>
      </c>
    </row>
    <row r="27" spans="1:57">
      <c r="A27" s="3810">
        <v>211</v>
      </c>
      <c r="B27" s="4210" t="s">
        <v>421</v>
      </c>
      <c r="C27" s="4211" t="s">
        <v>181</v>
      </c>
      <c r="D27" s="4212">
        <v>44751638</v>
      </c>
      <c r="E27" s="4213">
        <v>40567356</v>
      </c>
      <c r="F27" s="4224">
        <v>46245116</v>
      </c>
      <c r="G27" s="4224">
        <v>42018114</v>
      </c>
      <c r="H27" s="4214">
        <v>689.1</v>
      </c>
      <c r="I27" s="4215">
        <v>677.7</v>
      </c>
      <c r="J27" s="4216">
        <v>678</v>
      </c>
      <c r="K27" s="4217">
        <v>6394145</v>
      </c>
      <c r="L27" s="4225">
        <v>704.9</v>
      </c>
      <c r="M27" s="4225">
        <v>695</v>
      </c>
      <c r="N27" s="4225">
        <v>689.1</v>
      </c>
      <c r="O27" s="4225">
        <v>677.7</v>
      </c>
      <c r="P27" s="4218">
        <v>807088</v>
      </c>
      <c r="Q27" s="4218">
        <v>821694</v>
      </c>
      <c r="R27" s="4220">
        <v>792076</v>
      </c>
      <c r="S27" s="4220"/>
      <c r="T27" s="4219">
        <v>0</v>
      </c>
      <c r="U27" s="5214">
        <v>0</v>
      </c>
      <c r="V27" s="4222"/>
      <c r="W27" s="4224">
        <v>0</v>
      </c>
      <c r="X27" s="4217">
        <v>199</v>
      </c>
      <c r="Y27" s="4223">
        <v>119</v>
      </c>
      <c r="Z27" s="5215">
        <v>0.31</v>
      </c>
      <c r="AA27" s="5215">
        <v>0.09</v>
      </c>
      <c r="AB27" s="5205">
        <v>0.43690000000000001</v>
      </c>
      <c r="AC27" s="4224">
        <v>413130</v>
      </c>
      <c r="AD27" s="4224"/>
      <c r="AE27" s="4224">
        <v>454133</v>
      </c>
      <c r="AF27" s="4225">
        <v>704.9</v>
      </c>
      <c r="AG27" s="4225">
        <v>695</v>
      </c>
      <c r="AH27" s="4225">
        <v>0</v>
      </c>
      <c r="AI27" s="4225">
        <v>0</v>
      </c>
      <c r="AJ27" s="4225">
        <v>0</v>
      </c>
      <c r="AK27" s="4225">
        <v>0</v>
      </c>
      <c r="AL27" s="4225">
        <v>0</v>
      </c>
      <c r="AM27" s="4221">
        <v>0</v>
      </c>
      <c r="AN27" s="4226">
        <v>8072</v>
      </c>
      <c r="AO27" s="4224"/>
      <c r="AP27" s="4224"/>
      <c r="AQ27" s="4224">
        <v>4255315</v>
      </c>
      <c r="AR27" s="4221">
        <v>0.29680000000000001</v>
      </c>
      <c r="AS27" s="4217">
        <v>5863455</v>
      </c>
      <c r="AT27" s="5216">
        <v>0</v>
      </c>
      <c r="AU27" s="5216">
        <v>0</v>
      </c>
      <c r="AV27" s="4220">
        <v>4255315</v>
      </c>
      <c r="AW27" s="5243">
        <v>42996</v>
      </c>
      <c r="AX27" s="4224"/>
      <c r="AY27" s="5217">
        <v>792076</v>
      </c>
      <c r="AZ27" s="4224"/>
      <c r="BA27" s="4224">
        <v>344895</v>
      </c>
      <c r="BB27" s="4224">
        <v>41196</v>
      </c>
      <c r="BC27" s="5218"/>
      <c r="BD27" s="4217">
        <v>0</v>
      </c>
      <c r="BE27" s="4224">
        <v>4246366</v>
      </c>
    </row>
    <row r="28" spans="1:57">
      <c r="A28" s="3810">
        <v>212</v>
      </c>
      <c r="B28" s="4210" t="s">
        <v>422</v>
      </c>
      <c r="C28" s="4211" t="s">
        <v>181</v>
      </c>
      <c r="D28" s="4212">
        <v>14912499</v>
      </c>
      <c r="E28" s="4213">
        <v>14045316</v>
      </c>
      <c r="F28" s="4224">
        <v>14059464</v>
      </c>
      <c r="G28" s="4224">
        <v>13172821</v>
      </c>
      <c r="H28" s="4214">
        <v>169.5</v>
      </c>
      <c r="I28" s="4215">
        <v>163</v>
      </c>
      <c r="J28" s="4216">
        <v>263</v>
      </c>
      <c r="K28" s="4217">
        <v>1944834</v>
      </c>
      <c r="L28" s="4225">
        <v>169</v>
      </c>
      <c r="M28" s="4225">
        <v>172.5</v>
      </c>
      <c r="N28" s="4225">
        <v>170</v>
      </c>
      <c r="O28" s="4225">
        <v>164.5</v>
      </c>
      <c r="P28" s="4218">
        <v>202253</v>
      </c>
      <c r="Q28" s="4218">
        <v>215616</v>
      </c>
      <c r="R28" s="4220">
        <v>164239</v>
      </c>
      <c r="S28" s="4220"/>
      <c r="T28" s="4219">
        <v>0</v>
      </c>
      <c r="U28" s="5214">
        <v>0</v>
      </c>
      <c r="V28" s="4222"/>
      <c r="W28" s="4224">
        <v>0</v>
      </c>
      <c r="X28" s="4217">
        <v>71</v>
      </c>
      <c r="Y28" s="4223">
        <v>23</v>
      </c>
      <c r="Z28" s="5215">
        <v>0.14000000000000001</v>
      </c>
      <c r="AA28" s="5215">
        <v>0</v>
      </c>
      <c r="AB28" s="5205">
        <v>0.2944</v>
      </c>
      <c r="AC28" s="4224">
        <v>128687</v>
      </c>
      <c r="AD28" s="4224"/>
      <c r="AE28" s="4224">
        <v>148862</v>
      </c>
      <c r="AF28" s="4225">
        <v>168.5</v>
      </c>
      <c r="AG28" s="4225">
        <v>170</v>
      </c>
      <c r="AH28" s="4225">
        <v>0</v>
      </c>
      <c r="AI28" s="4225">
        <v>0</v>
      </c>
      <c r="AJ28" s="4225">
        <v>0</v>
      </c>
      <c r="AK28" s="4225">
        <v>0</v>
      </c>
      <c r="AL28" s="4225">
        <v>0</v>
      </c>
      <c r="AM28" s="4221">
        <v>0</v>
      </c>
      <c r="AN28" s="4226">
        <v>0</v>
      </c>
      <c r="AO28" s="4224"/>
      <c r="AP28" s="4224"/>
      <c r="AQ28" s="4224">
        <v>1456064</v>
      </c>
      <c r="AR28" s="4221">
        <v>0.3</v>
      </c>
      <c r="AS28" s="4217">
        <v>1953300</v>
      </c>
      <c r="AT28" s="5216">
        <v>0</v>
      </c>
      <c r="AU28" s="5216">
        <v>0</v>
      </c>
      <c r="AV28" s="4220">
        <v>1456064</v>
      </c>
      <c r="AW28" s="5243">
        <v>9882</v>
      </c>
      <c r="AX28" s="4224"/>
      <c r="AY28" s="5217">
        <v>164239</v>
      </c>
      <c r="AZ28" s="4224"/>
      <c r="BA28" s="4224">
        <v>113780</v>
      </c>
      <c r="BB28" s="4224">
        <v>0</v>
      </c>
      <c r="BC28" s="5218"/>
      <c r="BD28" s="4217">
        <v>0</v>
      </c>
      <c r="BE28" s="4224">
        <v>1450240</v>
      </c>
    </row>
    <row r="29" spans="1:57">
      <c r="A29" s="3810">
        <v>214</v>
      </c>
      <c r="B29" s="4210" t="s">
        <v>423</v>
      </c>
      <c r="C29" s="4211" t="s">
        <v>182</v>
      </c>
      <c r="D29" s="4212">
        <v>221624870</v>
      </c>
      <c r="E29" s="4213">
        <v>215724808</v>
      </c>
      <c r="F29" s="4224">
        <v>175544326</v>
      </c>
      <c r="G29" s="4224">
        <v>169664500</v>
      </c>
      <c r="H29" s="4214">
        <v>1670.3</v>
      </c>
      <c r="I29" s="4215">
        <v>1626</v>
      </c>
      <c r="J29" s="4216">
        <v>517</v>
      </c>
      <c r="K29" s="4217">
        <v>11259398</v>
      </c>
      <c r="L29" s="4225">
        <v>1626.2</v>
      </c>
      <c r="M29" s="4225">
        <v>1671.5</v>
      </c>
      <c r="N29" s="4225">
        <v>1715.6</v>
      </c>
      <c r="O29" s="4225">
        <v>1698.4</v>
      </c>
      <c r="P29" s="4218">
        <v>870371</v>
      </c>
      <c r="Q29" s="4218">
        <v>875211</v>
      </c>
      <c r="R29" s="4220">
        <v>0</v>
      </c>
      <c r="S29" s="4220"/>
      <c r="T29" s="4219">
        <v>0</v>
      </c>
      <c r="U29" s="5214">
        <v>0</v>
      </c>
      <c r="V29" s="4222"/>
      <c r="W29" s="4224">
        <v>0</v>
      </c>
      <c r="X29" s="4217">
        <v>894</v>
      </c>
      <c r="Y29" s="4223">
        <v>217</v>
      </c>
      <c r="Z29" s="5215">
        <v>0</v>
      </c>
      <c r="AA29" s="5215">
        <v>0</v>
      </c>
      <c r="AB29" s="5205">
        <v>0.13750000000000001</v>
      </c>
      <c r="AC29" s="4224">
        <v>933104</v>
      </c>
      <c r="AD29" s="4224"/>
      <c r="AE29" s="4224">
        <v>1010671</v>
      </c>
      <c r="AF29" s="4225">
        <v>1588.6</v>
      </c>
      <c r="AG29" s="4225">
        <v>1640.5</v>
      </c>
      <c r="AH29" s="4225">
        <v>16.600000000000001</v>
      </c>
      <c r="AI29" s="4225">
        <v>0</v>
      </c>
      <c r="AJ29" s="4225">
        <v>0</v>
      </c>
      <c r="AK29" s="4225">
        <v>0</v>
      </c>
      <c r="AL29" s="4225">
        <v>0</v>
      </c>
      <c r="AM29" s="4221">
        <v>0</v>
      </c>
      <c r="AN29" s="4226">
        <v>0</v>
      </c>
      <c r="AO29" s="4224"/>
      <c r="AP29" s="4224"/>
      <c r="AQ29" s="4224">
        <v>9465621</v>
      </c>
      <c r="AR29" s="4221">
        <v>0.3</v>
      </c>
      <c r="AS29" s="4217">
        <v>12163554</v>
      </c>
      <c r="AT29" s="5216">
        <v>0</v>
      </c>
      <c r="AU29" s="5216">
        <v>0</v>
      </c>
      <c r="AV29" s="4220">
        <v>9465621</v>
      </c>
      <c r="AW29" s="5243">
        <v>0</v>
      </c>
      <c r="AX29" s="4224"/>
      <c r="AY29" s="5217">
        <v>0</v>
      </c>
      <c r="AZ29" s="4224"/>
      <c r="BA29" s="4224">
        <v>775752</v>
      </c>
      <c r="BB29" s="4224">
        <v>0</v>
      </c>
      <c r="BC29" s="5218"/>
      <c r="BD29" s="4217">
        <v>528704</v>
      </c>
      <c r="BE29" s="4224">
        <v>9521037</v>
      </c>
    </row>
    <row r="30" spans="1:57">
      <c r="A30" s="3810">
        <v>215</v>
      </c>
      <c r="B30" s="4210" t="s">
        <v>424</v>
      </c>
      <c r="C30" s="4211" t="s">
        <v>183</v>
      </c>
      <c r="D30" s="4212">
        <v>115965636</v>
      </c>
      <c r="E30" s="4213">
        <v>113569428</v>
      </c>
      <c r="F30" s="4224">
        <v>88790490</v>
      </c>
      <c r="G30" s="4224">
        <v>86382808</v>
      </c>
      <c r="H30" s="4214">
        <v>635.6</v>
      </c>
      <c r="I30" s="4215">
        <v>586</v>
      </c>
      <c r="J30" s="4216">
        <v>646</v>
      </c>
      <c r="K30" s="4217">
        <v>4975141</v>
      </c>
      <c r="L30" s="4225">
        <v>610.4</v>
      </c>
      <c r="M30" s="4225">
        <v>637.9</v>
      </c>
      <c r="N30" s="4225">
        <v>642.1</v>
      </c>
      <c r="O30" s="4225">
        <v>592</v>
      </c>
      <c r="P30" s="4218">
        <v>342744</v>
      </c>
      <c r="Q30" s="4218">
        <v>343590</v>
      </c>
      <c r="R30" s="4220">
        <v>0</v>
      </c>
      <c r="S30" s="4220"/>
      <c r="T30" s="4219">
        <v>0</v>
      </c>
      <c r="U30" s="5214">
        <v>0</v>
      </c>
      <c r="V30" s="4222"/>
      <c r="W30" s="4224">
        <v>0</v>
      </c>
      <c r="X30" s="4217">
        <v>285</v>
      </c>
      <c r="Y30" s="4223">
        <v>81</v>
      </c>
      <c r="Z30" s="5215">
        <v>0</v>
      </c>
      <c r="AA30" s="5215">
        <v>0</v>
      </c>
      <c r="AB30" s="5205">
        <v>0</v>
      </c>
      <c r="AC30" s="4224">
        <v>410525</v>
      </c>
      <c r="AD30" s="4224"/>
      <c r="AE30" s="4224">
        <v>450045</v>
      </c>
      <c r="AF30" s="4225">
        <v>604.4</v>
      </c>
      <c r="AG30" s="4225">
        <v>631.4</v>
      </c>
      <c r="AH30" s="4225">
        <v>0</v>
      </c>
      <c r="AI30" s="4225">
        <v>0</v>
      </c>
      <c r="AJ30" s="4225">
        <v>0</v>
      </c>
      <c r="AK30" s="4225">
        <v>0</v>
      </c>
      <c r="AL30" s="4225">
        <v>0</v>
      </c>
      <c r="AM30" s="4221">
        <v>0</v>
      </c>
      <c r="AN30" s="4226">
        <v>0</v>
      </c>
      <c r="AO30" s="4224"/>
      <c r="AP30" s="4224"/>
      <c r="AQ30" s="4224">
        <v>4166882</v>
      </c>
      <c r="AR30" s="4221">
        <v>0.3</v>
      </c>
      <c r="AS30" s="4217">
        <v>5406942</v>
      </c>
      <c r="AT30" s="5216">
        <v>0</v>
      </c>
      <c r="AU30" s="5216">
        <v>0</v>
      </c>
      <c r="AV30" s="4220">
        <v>4166882</v>
      </c>
      <c r="AW30" s="5243">
        <v>0</v>
      </c>
      <c r="AX30" s="4224"/>
      <c r="AY30" s="5217">
        <v>0</v>
      </c>
      <c r="AZ30" s="4224"/>
      <c r="BA30" s="4224">
        <v>340816</v>
      </c>
      <c r="BB30" s="4224">
        <v>0</v>
      </c>
      <c r="BC30" s="5218"/>
      <c r="BD30" s="4217">
        <v>291146</v>
      </c>
      <c r="BE30" s="4224">
        <v>4248179</v>
      </c>
    </row>
    <row r="31" spans="1:57">
      <c r="A31" s="3810">
        <v>216</v>
      </c>
      <c r="B31" s="4210" t="s">
        <v>425</v>
      </c>
      <c r="C31" s="4211" t="s">
        <v>183</v>
      </c>
      <c r="D31" s="4212">
        <v>45927442</v>
      </c>
      <c r="E31" s="4213">
        <v>45130876</v>
      </c>
      <c r="F31" s="4224">
        <v>29971587</v>
      </c>
      <c r="G31" s="4224">
        <v>29171374</v>
      </c>
      <c r="H31" s="4214">
        <v>192</v>
      </c>
      <c r="I31" s="4215">
        <v>184.5</v>
      </c>
      <c r="J31" s="4216">
        <v>216</v>
      </c>
      <c r="K31" s="4217">
        <v>2199028</v>
      </c>
      <c r="L31" s="4225">
        <v>222.2</v>
      </c>
      <c r="M31" s="4225">
        <v>241.3</v>
      </c>
      <c r="N31" s="4225">
        <v>197</v>
      </c>
      <c r="O31" s="4225">
        <v>188.5</v>
      </c>
      <c r="P31" s="4218">
        <v>141815</v>
      </c>
      <c r="Q31" s="4218">
        <v>124298</v>
      </c>
      <c r="R31" s="4220">
        <v>0</v>
      </c>
      <c r="S31" s="4220"/>
      <c r="T31" s="4219">
        <v>0</v>
      </c>
      <c r="U31" s="5214">
        <v>0</v>
      </c>
      <c r="V31" s="4222"/>
      <c r="W31" s="4224">
        <v>0</v>
      </c>
      <c r="X31" s="4217">
        <v>123</v>
      </c>
      <c r="Y31" s="4223">
        <v>27</v>
      </c>
      <c r="Z31" s="5215">
        <v>0</v>
      </c>
      <c r="AA31" s="5215">
        <v>0</v>
      </c>
      <c r="AB31" s="5205">
        <v>0</v>
      </c>
      <c r="AC31" s="4224">
        <v>219617</v>
      </c>
      <c r="AD31" s="4224"/>
      <c r="AE31" s="4224">
        <v>226014</v>
      </c>
      <c r="AF31" s="4225">
        <v>214</v>
      </c>
      <c r="AG31" s="4225">
        <v>231.5</v>
      </c>
      <c r="AH31" s="4225">
        <v>0</v>
      </c>
      <c r="AI31" s="4225">
        <v>0</v>
      </c>
      <c r="AJ31" s="4225">
        <v>0</v>
      </c>
      <c r="AK31" s="4225">
        <v>0</v>
      </c>
      <c r="AL31" s="4225">
        <v>0</v>
      </c>
      <c r="AM31" s="4221">
        <v>0</v>
      </c>
      <c r="AN31" s="4226">
        <v>0</v>
      </c>
      <c r="AO31" s="4224"/>
      <c r="AP31" s="4224"/>
      <c r="AQ31" s="4224">
        <v>1894129</v>
      </c>
      <c r="AR31" s="4221">
        <v>0.3</v>
      </c>
      <c r="AS31" s="4217">
        <v>2471992</v>
      </c>
      <c r="AT31" s="5216">
        <v>0</v>
      </c>
      <c r="AU31" s="5216">
        <v>0</v>
      </c>
      <c r="AV31" s="4220">
        <v>1894129</v>
      </c>
      <c r="AW31" s="5243">
        <v>0</v>
      </c>
      <c r="AX31" s="4224"/>
      <c r="AY31" s="5217">
        <v>0</v>
      </c>
      <c r="AZ31" s="4224"/>
      <c r="BA31" s="4224">
        <v>173298</v>
      </c>
      <c r="BB31" s="4224">
        <v>0</v>
      </c>
      <c r="BC31" s="5218"/>
      <c r="BD31" s="4217">
        <v>329241</v>
      </c>
      <c r="BE31" s="4224">
        <v>1886552</v>
      </c>
    </row>
    <row r="32" spans="1:57">
      <c r="A32" s="3810">
        <v>217</v>
      </c>
      <c r="B32" s="4210" t="s">
        <v>426</v>
      </c>
      <c r="C32" s="4211" t="s">
        <v>184</v>
      </c>
      <c r="D32" s="4212">
        <v>50096933</v>
      </c>
      <c r="E32" s="4213">
        <v>49416346</v>
      </c>
      <c r="F32" s="4224">
        <v>33818549</v>
      </c>
      <c r="G32" s="4224">
        <v>33140194</v>
      </c>
      <c r="H32" s="4214">
        <v>183.6</v>
      </c>
      <c r="I32" s="4215">
        <v>164</v>
      </c>
      <c r="J32" s="4216">
        <v>252</v>
      </c>
      <c r="K32" s="4217">
        <v>1750075</v>
      </c>
      <c r="L32" s="4225">
        <v>183.4</v>
      </c>
      <c r="M32" s="4225">
        <v>177.8</v>
      </c>
      <c r="N32" s="4225">
        <v>184.6</v>
      </c>
      <c r="O32" s="4225">
        <v>164</v>
      </c>
      <c r="P32" s="4218">
        <v>109775</v>
      </c>
      <c r="Q32" s="4218">
        <v>114047</v>
      </c>
      <c r="R32" s="4220">
        <v>0</v>
      </c>
      <c r="S32" s="4220"/>
      <c r="T32" s="4219">
        <v>0</v>
      </c>
      <c r="U32" s="5214">
        <v>0</v>
      </c>
      <c r="V32" s="4222"/>
      <c r="W32" s="4224">
        <v>0</v>
      </c>
      <c r="X32" s="4217">
        <v>67</v>
      </c>
      <c r="Y32" s="4223">
        <v>34</v>
      </c>
      <c r="Z32" s="5215">
        <v>0</v>
      </c>
      <c r="AA32" s="5215">
        <v>0</v>
      </c>
      <c r="AB32" s="5205">
        <v>0</v>
      </c>
      <c r="AC32" s="4224">
        <v>152330</v>
      </c>
      <c r="AD32" s="4224"/>
      <c r="AE32" s="4224">
        <v>174144</v>
      </c>
      <c r="AF32" s="4225">
        <v>182.4</v>
      </c>
      <c r="AG32" s="4225">
        <v>176.4</v>
      </c>
      <c r="AH32" s="4225">
        <v>1.1000000000000001</v>
      </c>
      <c r="AI32" s="4225">
        <v>0</v>
      </c>
      <c r="AJ32" s="4225">
        <v>0</v>
      </c>
      <c r="AK32" s="4225">
        <v>0</v>
      </c>
      <c r="AL32" s="4225">
        <v>0</v>
      </c>
      <c r="AM32" s="4221">
        <v>0</v>
      </c>
      <c r="AN32" s="4226">
        <v>0</v>
      </c>
      <c r="AO32" s="4224"/>
      <c r="AP32" s="4224"/>
      <c r="AQ32" s="4224">
        <v>1490564</v>
      </c>
      <c r="AR32" s="4221">
        <v>0.3</v>
      </c>
      <c r="AS32" s="4217">
        <v>1961198</v>
      </c>
      <c r="AT32" s="5216">
        <v>0</v>
      </c>
      <c r="AU32" s="5216">
        <v>0</v>
      </c>
      <c r="AV32" s="4220">
        <v>1490564</v>
      </c>
      <c r="AW32" s="5243">
        <v>0</v>
      </c>
      <c r="AX32" s="4224"/>
      <c r="AY32" s="5217">
        <v>0</v>
      </c>
      <c r="AZ32" s="4224"/>
      <c r="BA32" s="4224">
        <v>132239</v>
      </c>
      <c r="BB32" s="4224">
        <v>0</v>
      </c>
      <c r="BC32" s="5218"/>
      <c r="BD32" s="4217">
        <v>159632</v>
      </c>
      <c r="BE32" s="4224">
        <v>1480382</v>
      </c>
    </row>
    <row r="33" spans="1:57">
      <c r="A33" s="3810">
        <v>218</v>
      </c>
      <c r="B33" s="4210" t="s">
        <v>427</v>
      </c>
      <c r="C33" s="4211" t="s">
        <v>184</v>
      </c>
      <c r="D33" s="4212">
        <v>65592049</v>
      </c>
      <c r="E33" s="4213">
        <v>63443806</v>
      </c>
      <c r="F33" s="4224">
        <v>48302988</v>
      </c>
      <c r="G33" s="4224">
        <v>46171071</v>
      </c>
      <c r="H33" s="4214">
        <v>469.8</v>
      </c>
      <c r="I33" s="4215">
        <v>450.4</v>
      </c>
      <c r="J33" s="4216">
        <v>376</v>
      </c>
      <c r="K33" s="4217">
        <v>7450076</v>
      </c>
      <c r="L33" s="4225">
        <v>1001.8</v>
      </c>
      <c r="M33" s="4225">
        <v>1137</v>
      </c>
      <c r="N33" s="4225">
        <v>988.1</v>
      </c>
      <c r="O33" s="4225">
        <v>1051.4000000000001</v>
      </c>
      <c r="P33" s="4218">
        <v>275325</v>
      </c>
      <c r="Q33" s="4218">
        <v>261333</v>
      </c>
      <c r="R33" s="4220">
        <v>604005</v>
      </c>
      <c r="S33" s="4220"/>
      <c r="T33" s="4219">
        <v>0</v>
      </c>
      <c r="U33" s="5214">
        <v>0</v>
      </c>
      <c r="V33" s="4222"/>
      <c r="W33" s="4224">
        <v>0</v>
      </c>
      <c r="X33" s="4217">
        <v>188</v>
      </c>
      <c r="Y33" s="4223">
        <v>70</v>
      </c>
      <c r="Z33" s="5215">
        <v>0.52</v>
      </c>
      <c r="AA33" s="5215">
        <v>0.31</v>
      </c>
      <c r="AB33" s="5205">
        <v>0.61660000000000004</v>
      </c>
      <c r="AC33" s="4224">
        <v>364627</v>
      </c>
      <c r="AD33" s="4224"/>
      <c r="AE33" s="4224">
        <v>388513</v>
      </c>
      <c r="AF33" s="4225">
        <v>489.4</v>
      </c>
      <c r="AG33" s="4225">
        <v>494.1</v>
      </c>
      <c r="AH33" s="4225">
        <v>534.79999999999995</v>
      </c>
      <c r="AI33" s="4225">
        <v>0</v>
      </c>
      <c r="AJ33" s="4225">
        <v>0</v>
      </c>
      <c r="AK33" s="4225">
        <v>0</v>
      </c>
      <c r="AL33" s="4225">
        <v>0</v>
      </c>
      <c r="AM33" s="4221">
        <v>0</v>
      </c>
      <c r="AN33" s="4226">
        <v>0</v>
      </c>
      <c r="AO33" s="4224"/>
      <c r="AP33" s="4224"/>
      <c r="AQ33" s="4224">
        <v>5341503</v>
      </c>
      <c r="AR33" s="4221">
        <v>0.3</v>
      </c>
      <c r="AS33" s="4217">
        <v>4294395</v>
      </c>
      <c r="AT33" s="5216">
        <v>0</v>
      </c>
      <c r="AU33" s="5216">
        <v>0</v>
      </c>
      <c r="AV33" s="4220">
        <v>5341503</v>
      </c>
      <c r="AW33" s="5243">
        <v>48080</v>
      </c>
      <c r="AX33" s="4224"/>
      <c r="AY33" s="5217">
        <v>604005</v>
      </c>
      <c r="AZ33" s="4224"/>
      <c r="BA33" s="4224">
        <v>298529</v>
      </c>
      <c r="BB33" s="4224">
        <v>48080</v>
      </c>
      <c r="BC33" s="5218"/>
      <c r="BD33" s="4217">
        <v>0</v>
      </c>
      <c r="BE33" s="4224">
        <v>6212937</v>
      </c>
    </row>
    <row r="34" spans="1:57">
      <c r="A34" s="3810">
        <v>219</v>
      </c>
      <c r="B34" s="4210" t="s">
        <v>428</v>
      </c>
      <c r="C34" s="4211" t="s">
        <v>185</v>
      </c>
      <c r="D34" s="4212">
        <v>21565125</v>
      </c>
      <c r="E34" s="4213">
        <v>20662354</v>
      </c>
      <c r="F34" s="4224">
        <v>23173981</v>
      </c>
      <c r="G34" s="4224">
        <v>22268496</v>
      </c>
      <c r="H34" s="4214">
        <v>248.5</v>
      </c>
      <c r="I34" s="4215">
        <v>233.7</v>
      </c>
      <c r="J34" s="4216">
        <v>292</v>
      </c>
      <c r="K34" s="4217">
        <v>2250663</v>
      </c>
      <c r="L34" s="4225">
        <v>255</v>
      </c>
      <c r="M34" s="4225">
        <v>249</v>
      </c>
      <c r="N34" s="4225">
        <v>248.5</v>
      </c>
      <c r="O34" s="4225">
        <v>233.7</v>
      </c>
      <c r="P34" s="4218">
        <v>175075</v>
      </c>
      <c r="Q34" s="4218">
        <v>178007</v>
      </c>
      <c r="R34" s="4220">
        <v>93264</v>
      </c>
      <c r="S34" s="4220"/>
      <c r="T34" s="4219">
        <v>2065</v>
      </c>
      <c r="U34" s="5214">
        <v>2372</v>
      </c>
      <c r="V34" s="4222"/>
      <c r="W34" s="4224">
        <v>0</v>
      </c>
      <c r="X34" s="4217">
        <v>104</v>
      </c>
      <c r="Y34" s="4223">
        <v>30</v>
      </c>
      <c r="Z34" s="5215">
        <v>0</v>
      </c>
      <c r="AA34" s="5215">
        <v>0</v>
      </c>
      <c r="AB34" s="5205">
        <v>0.17610000000000001</v>
      </c>
      <c r="AC34" s="4224">
        <v>160738</v>
      </c>
      <c r="AD34" s="4224"/>
      <c r="AE34" s="4224">
        <v>198537</v>
      </c>
      <c r="AF34" s="4225">
        <v>255</v>
      </c>
      <c r="AG34" s="4225">
        <v>249</v>
      </c>
      <c r="AH34" s="4225">
        <v>0</v>
      </c>
      <c r="AI34" s="4225">
        <v>0</v>
      </c>
      <c r="AJ34" s="4225">
        <v>0</v>
      </c>
      <c r="AK34" s="4225">
        <v>0</v>
      </c>
      <c r="AL34" s="4225">
        <v>0</v>
      </c>
      <c r="AM34" s="4221">
        <v>0</v>
      </c>
      <c r="AN34" s="4226">
        <v>0</v>
      </c>
      <c r="AO34" s="4224"/>
      <c r="AP34" s="4224"/>
      <c r="AQ34" s="4224">
        <v>1842451</v>
      </c>
      <c r="AR34" s="4221">
        <v>0.29089999999999999</v>
      </c>
      <c r="AS34" s="4217">
        <v>2407064</v>
      </c>
      <c r="AT34" s="5216">
        <v>0</v>
      </c>
      <c r="AU34" s="5216">
        <v>0</v>
      </c>
      <c r="AV34" s="4220">
        <v>1842451</v>
      </c>
      <c r="AW34" s="5243">
        <v>0</v>
      </c>
      <c r="AX34" s="4224"/>
      <c r="AY34" s="5217">
        <v>83938</v>
      </c>
      <c r="AZ34" s="4224"/>
      <c r="BA34" s="4224">
        <v>151154</v>
      </c>
      <c r="BB34" s="4224">
        <v>0</v>
      </c>
      <c r="BC34" s="5218"/>
      <c r="BD34" s="4217">
        <v>0</v>
      </c>
      <c r="BE34" s="4224">
        <v>1835034</v>
      </c>
    </row>
    <row r="35" spans="1:57">
      <c r="A35" s="3810">
        <v>220</v>
      </c>
      <c r="B35" s="4210" t="s">
        <v>429</v>
      </c>
      <c r="C35" s="4211" t="s">
        <v>185</v>
      </c>
      <c r="D35" s="4212">
        <v>26294733</v>
      </c>
      <c r="E35" s="4213">
        <v>25132318</v>
      </c>
      <c r="F35" s="4224">
        <v>22903900</v>
      </c>
      <c r="G35" s="4224">
        <v>21737115</v>
      </c>
      <c r="H35" s="4214">
        <v>192.6</v>
      </c>
      <c r="I35" s="4215">
        <v>189.9</v>
      </c>
      <c r="J35" s="4216">
        <v>660</v>
      </c>
      <c r="K35" s="4217">
        <v>1833730</v>
      </c>
      <c r="L35" s="4225">
        <v>184.6</v>
      </c>
      <c r="M35" s="4225">
        <v>195.9</v>
      </c>
      <c r="N35" s="4225">
        <v>194.6</v>
      </c>
      <c r="O35" s="4225">
        <v>189.9</v>
      </c>
      <c r="P35" s="4218">
        <v>150066</v>
      </c>
      <c r="Q35" s="4218">
        <v>156161</v>
      </c>
      <c r="R35" s="4220">
        <v>0</v>
      </c>
      <c r="S35" s="4220"/>
      <c r="T35" s="4219">
        <v>0</v>
      </c>
      <c r="U35" s="5214">
        <v>0</v>
      </c>
      <c r="V35" s="4222"/>
      <c r="W35" s="4224">
        <v>0</v>
      </c>
      <c r="X35" s="4217">
        <v>73</v>
      </c>
      <c r="Y35" s="4223">
        <v>18</v>
      </c>
      <c r="Z35" s="5215">
        <v>0</v>
      </c>
      <c r="AA35" s="5215">
        <v>0</v>
      </c>
      <c r="AB35" s="5205">
        <v>0</v>
      </c>
      <c r="AC35" s="4224">
        <v>163860</v>
      </c>
      <c r="AD35" s="4224"/>
      <c r="AE35" s="4224">
        <v>182551</v>
      </c>
      <c r="AF35" s="4225">
        <v>183.6</v>
      </c>
      <c r="AG35" s="4225">
        <v>194.4</v>
      </c>
      <c r="AH35" s="4225">
        <v>0</v>
      </c>
      <c r="AI35" s="4225">
        <v>0</v>
      </c>
      <c r="AJ35" s="4225">
        <v>0</v>
      </c>
      <c r="AK35" s="4225">
        <v>0</v>
      </c>
      <c r="AL35" s="4225">
        <v>0</v>
      </c>
      <c r="AM35" s="4221">
        <v>0</v>
      </c>
      <c r="AN35" s="4226">
        <v>0</v>
      </c>
      <c r="AO35" s="4224"/>
      <c r="AP35" s="4224"/>
      <c r="AQ35" s="4224">
        <v>1535717</v>
      </c>
      <c r="AR35" s="4221">
        <v>0.3</v>
      </c>
      <c r="AS35" s="4217">
        <v>2020274</v>
      </c>
      <c r="AT35" s="5216">
        <v>0</v>
      </c>
      <c r="AU35" s="5216">
        <v>0</v>
      </c>
      <c r="AV35" s="4220">
        <v>1535717</v>
      </c>
      <c r="AW35" s="5243">
        <v>0</v>
      </c>
      <c r="AX35" s="4224"/>
      <c r="AY35" s="5217">
        <v>0</v>
      </c>
      <c r="AZ35" s="4224"/>
      <c r="BA35" s="4224">
        <v>138234</v>
      </c>
      <c r="BB35" s="4224">
        <v>0</v>
      </c>
      <c r="BC35" s="5218"/>
      <c r="BD35" s="4217">
        <v>40361</v>
      </c>
      <c r="BE35" s="4224">
        <v>1529562</v>
      </c>
    </row>
    <row r="36" spans="1:57">
      <c r="A36" s="3810">
        <v>223</v>
      </c>
      <c r="B36" s="4210" t="s">
        <v>430</v>
      </c>
      <c r="C36" s="4211" t="s">
        <v>173</v>
      </c>
      <c r="D36" s="4212">
        <v>35625337</v>
      </c>
      <c r="E36" s="4213">
        <v>33164050</v>
      </c>
      <c r="F36" s="4224">
        <v>39983086</v>
      </c>
      <c r="G36" s="4224">
        <v>37496016</v>
      </c>
      <c r="H36" s="4214">
        <v>340</v>
      </c>
      <c r="I36" s="4215">
        <v>347.4</v>
      </c>
      <c r="J36" s="4216">
        <v>378</v>
      </c>
      <c r="K36" s="4217">
        <v>3502993</v>
      </c>
      <c r="L36" s="4225">
        <v>373.2</v>
      </c>
      <c r="M36" s="4225">
        <v>374.8</v>
      </c>
      <c r="N36" s="4225">
        <v>341</v>
      </c>
      <c r="O36" s="4225">
        <v>347.4</v>
      </c>
      <c r="P36" s="4218">
        <v>443794</v>
      </c>
      <c r="Q36" s="4218">
        <v>428619</v>
      </c>
      <c r="R36" s="4220">
        <v>197187</v>
      </c>
      <c r="S36" s="4220"/>
      <c r="T36" s="4219">
        <v>0</v>
      </c>
      <c r="U36" s="5214">
        <v>0</v>
      </c>
      <c r="V36" s="4222"/>
      <c r="W36" s="4224">
        <v>0</v>
      </c>
      <c r="X36" s="4217">
        <v>104</v>
      </c>
      <c r="Y36" s="4223">
        <v>51</v>
      </c>
      <c r="Z36" s="5215">
        <v>0</v>
      </c>
      <c r="AA36" s="5215">
        <v>0</v>
      </c>
      <c r="AB36" s="5205">
        <v>3.9600000000000003E-2</v>
      </c>
      <c r="AC36" s="4224">
        <v>245432</v>
      </c>
      <c r="AD36" s="4224"/>
      <c r="AE36" s="4224">
        <v>264517</v>
      </c>
      <c r="AF36" s="4225">
        <v>373.2</v>
      </c>
      <c r="AG36" s="4225">
        <v>374.8</v>
      </c>
      <c r="AH36" s="4225">
        <v>1.1000000000000001</v>
      </c>
      <c r="AI36" s="4225">
        <v>0</v>
      </c>
      <c r="AJ36" s="4225">
        <v>0</v>
      </c>
      <c r="AK36" s="4225">
        <v>0</v>
      </c>
      <c r="AL36" s="4225">
        <v>0</v>
      </c>
      <c r="AM36" s="4221">
        <v>0</v>
      </c>
      <c r="AN36" s="4226">
        <v>0</v>
      </c>
      <c r="AO36" s="4224"/>
      <c r="AP36" s="4224"/>
      <c r="AQ36" s="4224">
        <v>2521090</v>
      </c>
      <c r="AR36" s="4221">
        <v>0.3</v>
      </c>
      <c r="AS36" s="4217">
        <v>3373070</v>
      </c>
      <c r="AT36" s="5216">
        <v>0</v>
      </c>
      <c r="AU36" s="5216">
        <v>0</v>
      </c>
      <c r="AV36" s="4220">
        <v>2521090</v>
      </c>
      <c r="AW36" s="5243">
        <v>4741</v>
      </c>
      <c r="AX36" s="4224"/>
      <c r="AY36" s="5217">
        <v>174277</v>
      </c>
      <c r="AZ36" s="4224"/>
      <c r="BA36" s="4224">
        <v>203311</v>
      </c>
      <c r="BB36" s="4224">
        <v>0</v>
      </c>
      <c r="BC36" s="5218"/>
      <c r="BD36" s="4217">
        <v>0</v>
      </c>
      <c r="BE36" s="4224">
        <v>2506714</v>
      </c>
    </row>
    <row r="37" spans="1:57">
      <c r="A37" s="3810">
        <v>224</v>
      </c>
      <c r="B37" s="4210" t="s">
        <v>431</v>
      </c>
      <c r="C37" s="4211" t="s">
        <v>173</v>
      </c>
      <c r="D37" s="4212">
        <v>26810064</v>
      </c>
      <c r="E37" s="4213">
        <v>24892719</v>
      </c>
      <c r="F37" s="4224">
        <v>29279676</v>
      </c>
      <c r="G37" s="4224">
        <v>27362936</v>
      </c>
      <c r="H37" s="4214">
        <v>311.5</v>
      </c>
      <c r="I37" s="4215">
        <v>309</v>
      </c>
      <c r="J37" s="4216">
        <v>255</v>
      </c>
      <c r="K37" s="4217">
        <v>2750025</v>
      </c>
      <c r="L37" s="4225">
        <v>304</v>
      </c>
      <c r="M37" s="4225">
        <v>306.5</v>
      </c>
      <c r="N37" s="4225">
        <v>314</v>
      </c>
      <c r="O37" s="4225">
        <v>311</v>
      </c>
      <c r="P37" s="4218">
        <v>266967</v>
      </c>
      <c r="Q37" s="4218">
        <v>274807</v>
      </c>
      <c r="R37" s="4220">
        <v>187430</v>
      </c>
      <c r="S37" s="4220"/>
      <c r="T37" s="4219">
        <v>0</v>
      </c>
      <c r="U37" s="5214">
        <v>0</v>
      </c>
      <c r="V37" s="4222"/>
      <c r="W37" s="4224">
        <v>0</v>
      </c>
      <c r="X37" s="4217">
        <v>88</v>
      </c>
      <c r="Y37" s="4223">
        <v>48</v>
      </c>
      <c r="Z37" s="5215">
        <v>0.05</v>
      </c>
      <c r="AA37" s="5215">
        <v>0</v>
      </c>
      <c r="AB37" s="5205">
        <v>0.21729999999999999</v>
      </c>
      <c r="AC37" s="4224">
        <v>197698</v>
      </c>
      <c r="AD37" s="4224"/>
      <c r="AE37" s="4224">
        <v>222679</v>
      </c>
      <c r="AF37" s="4225">
        <v>301.5</v>
      </c>
      <c r="AG37" s="4225">
        <v>305.5</v>
      </c>
      <c r="AH37" s="4225">
        <v>0</v>
      </c>
      <c r="AI37" s="4225">
        <v>0</v>
      </c>
      <c r="AJ37" s="4225">
        <v>0</v>
      </c>
      <c r="AK37" s="4225">
        <v>0</v>
      </c>
      <c r="AL37" s="4225">
        <v>0</v>
      </c>
      <c r="AM37" s="4221">
        <v>0</v>
      </c>
      <c r="AN37" s="4226">
        <v>0</v>
      </c>
      <c r="AO37" s="4224"/>
      <c r="AP37" s="4224"/>
      <c r="AQ37" s="4224">
        <v>2149471</v>
      </c>
      <c r="AR37" s="4221">
        <v>0.3</v>
      </c>
      <c r="AS37" s="4217">
        <v>2854625</v>
      </c>
      <c r="AT37" s="5216">
        <v>0</v>
      </c>
      <c r="AU37" s="5216">
        <v>0</v>
      </c>
      <c r="AV37" s="4220">
        <v>2149471</v>
      </c>
      <c r="AW37" s="5243">
        <v>0</v>
      </c>
      <c r="AX37" s="4224"/>
      <c r="AY37" s="5217">
        <v>165002</v>
      </c>
      <c r="AZ37" s="4224"/>
      <c r="BA37" s="4224">
        <v>169343</v>
      </c>
      <c r="BB37" s="4224">
        <v>0</v>
      </c>
      <c r="BC37" s="5218"/>
      <c r="BD37" s="4217">
        <v>0</v>
      </c>
      <c r="BE37" s="4224">
        <v>2140873</v>
      </c>
    </row>
    <row r="38" spans="1:57">
      <c r="A38" s="3810">
        <v>225</v>
      </c>
      <c r="B38" s="4210" t="s">
        <v>432</v>
      </c>
      <c r="C38" s="4211" t="s">
        <v>186</v>
      </c>
      <c r="D38" s="4212">
        <v>15094187</v>
      </c>
      <c r="E38" s="4213">
        <v>14251437</v>
      </c>
      <c r="F38" s="4224">
        <v>15536798</v>
      </c>
      <c r="G38" s="4224">
        <v>14694019</v>
      </c>
      <c r="H38" s="4214">
        <v>151</v>
      </c>
      <c r="I38" s="4215">
        <v>133</v>
      </c>
      <c r="J38" s="4216">
        <v>281</v>
      </c>
      <c r="K38" s="4217">
        <v>1664136</v>
      </c>
      <c r="L38" s="4225">
        <v>168.5</v>
      </c>
      <c r="M38" s="4225">
        <v>156</v>
      </c>
      <c r="N38" s="4225">
        <v>154.5</v>
      </c>
      <c r="O38" s="4225">
        <v>133.5</v>
      </c>
      <c r="P38" s="4218">
        <v>109633</v>
      </c>
      <c r="Q38" s="4218">
        <v>109125</v>
      </c>
      <c r="R38" s="4220">
        <v>99746</v>
      </c>
      <c r="S38" s="4220"/>
      <c r="T38" s="4219">
        <v>0</v>
      </c>
      <c r="U38" s="5214">
        <v>0</v>
      </c>
      <c r="V38" s="4222"/>
      <c r="W38" s="4224">
        <v>0</v>
      </c>
      <c r="X38" s="4217">
        <v>62</v>
      </c>
      <c r="Y38" s="4223">
        <v>14</v>
      </c>
      <c r="Z38" s="5215">
        <v>0</v>
      </c>
      <c r="AA38" s="5215">
        <v>0</v>
      </c>
      <c r="AB38" s="5205">
        <v>2.9899999999999999E-2</v>
      </c>
      <c r="AC38" s="4224">
        <v>122825</v>
      </c>
      <c r="AD38" s="4224"/>
      <c r="AE38" s="4224">
        <v>129612</v>
      </c>
      <c r="AF38" s="4225">
        <v>165</v>
      </c>
      <c r="AG38" s="4225">
        <v>154</v>
      </c>
      <c r="AH38" s="4225">
        <v>0</v>
      </c>
      <c r="AI38" s="4225">
        <v>0</v>
      </c>
      <c r="AJ38" s="4225">
        <v>0</v>
      </c>
      <c r="AK38" s="4225">
        <v>0</v>
      </c>
      <c r="AL38" s="4225">
        <v>0</v>
      </c>
      <c r="AM38" s="4221">
        <v>0</v>
      </c>
      <c r="AN38" s="4226">
        <v>0</v>
      </c>
      <c r="AO38" s="4224"/>
      <c r="AP38" s="4224"/>
      <c r="AQ38" s="4224">
        <v>1369014</v>
      </c>
      <c r="AR38" s="4221">
        <v>0.31</v>
      </c>
      <c r="AS38" s="4217">
        <v>1751227</v>
      </c>
      <c r="AT38" s="5216">
        <v>0</v>
      </c>
      <c r="AU38" s="5216">
        <v>0</v>
      </c>
      <c r="AV38" s="4220">
        <v>1369014</v>
      </c>
      <c r="AW38" s="5243">
        <v>0</v>
      </c>
      <c r="AX38" s="4224"/>
      <c r="AY38" s="5217">
        <v>88211</v>
      </c>
      <c r="AZ38" s="4224"/>
      <c r="BA38" s="4224">
        <v>99283</v>
      </c>
      <c r="BB38" s="4224">
        <v>0</v>
      </c>
      <c r="BC38" s="5218"/>
      <c r="BD38" s="4217">
        <v>0</v>
      </c>
      <c r="BE38" s="4224">
        <v>1363538</v>
      </c>
    </row>
    <row r="39" spans="1:57">
      <c r="A39" s="3810">
        <v>226</v>
      </c>
      <c r="B39" s="4210" t="s">
        <v>433</v>
      </c>
      <c r="C39" s="4211" t="s">
        <v>186</v>
      </c>
      <c r="D39" s="4212">
        <v>65336529</v>
      </c>
      <c r="E39" s="4213">
        <v>63361601</v>
      </c>
      <c r="F39" s="4224">
        <v>58742779</v>
      </c>
      <c r="G39" s="4224">
        <v>56756910</v>
      </c>
      <c r="H39" s="4214">
        <v>392.7</v>
      </c>
      <c r="I39" s="4215">
        <v>372.5</v>
      </c>
      <c r="J39" s="4216">
        <v>440</v>
      </c>
      <c r="K39" s="4217">
        <v>3108472</v>
      </c>
      <c r="L39" s="4225">
        <v>421.3</v>
      </c>
      <c r="M39" s="4225">
        <v>409.1</v>
      </c>
      <c r="N39" s="4225">
        <v>396.2</v>
      </c>
      <c r="O39" s="4225">
        <v>376</v>
      </c>
      <c r="P39" s="4218">
        <v>286030</v>
      </c>
      <c r="Q39" s="4218">
        <v>284651</v>
      </c>
      <c r="R39" s="4220">
        <v>0</v>
      </c>
      <c r="S39" s="4220"/>
      <c r="T39" s="4219">
        <v>0</v>
      </c>
      <c r="U39" s="5214">
        <v>0</v>
      </c>
      <c r="V39" s="4222"/>
      <c r="W39" s="4224">
        <v>0</v>
      </c>
      <c r="X39" s="4217">
        <v>126</v>
      </c>
      <c r="Y39" s="4223">
        <v>56</v>
      </c>
      <c r="Z39" s="5215">
        <v>0</v>
      </c>
      <c r="AA39" s="5215">
        <v>0</v>
      </c>
      <c r="AB39" s="5205">
        <v>0</v>
      </c>
      <c r="AC39" s="4224">
        <v>287366</v>
      </c>
      <c r="AD39" s="4224"/>
      <c r="AE39" s="4224">
        <v>287450</v>
      </c>
      <c r="AF39" s="4225">
        <v>416.3</v>
      </c>
      <c r="AG39" s="4225">
        <v>406.1</v>
      </c>
      <c r="AH39" s="4225">
        <v>0</v>
      </c>
      <c r="AI39" s="4225">
        <v>0</v>
      </c>
      <c r="AJ39" s="4225">
        <v>0</v>
      </c>
      <c r="AK39" s="4225">
        <v>0</v>
      </c>
      <c r="AL39" s="4225">
        <v>0</v>
      </c>
      <c r="AM39" s="4221">
        <v>0</v>
      </c>
      <c r="AN39" s="4226">
        <v>0</v>
      </c>
      <c r="AO39" s="4224"/>
      <c r="AP39" s="4224"/>
      <c r="AQ39" s="4224">
        <v>2595768</v>
      </c>
      <c r="AR39" s="4221">
        <v>0.3</v>
      </c>
      <c r="AS39" s="4217">
        <v>3449937</v>
      </c>
      <c r="AT39" s="5216">
        <v>0</v>
      </c>
      <c r="AU39" s="5216">
        <v>0</v>
      </c>
      <c r="AV39" s="4220">
        <v>2595768</v>
      </c>
      <c r="AW39" s="5243">
        <v>0</v>
      </c>
      <c r="AX39" s="4224"/>
      <c r="AY39" s="5217">
        <v>0</v>
      </c>
      <c r="AZ39" s="4224"/>
      <c r="BA39" s="4224">
        <v>217676</v>
      </c>
      <c r="BB39" s="4224">
        <v>0</v>
      </c>
      <c r="BC39" s="5218"/>
      <c r="BD39" s="4217">
        <v>0</v>
      </c>
      <c r="BE39" s="4224">
        <v>2585385</v>
      </c>
    </row>
    <row r="40" spans="1:57">
      <c r="A40" s="3810">
        <v>227</v>
      </c>
      <c r="B40" s="4210" t="s">
        <v>434</v>
      </c>
      <c r="C40" s="4211" t="s">
        <v>187</v>
      </c>
      <c r="D40" s="4212">
        <v>55348465</v>
      </c>
      <c r="E40" s="4213">
        <v>53575846</v>
      </c>
      <c r="F40" s="4224">
        <v>39469464</v>
      </c>
      <c r="G40" s="4224">
        <v>37693100</v>
      </c>
      <c r="H40" s="4214">
        <v>287</v>
      </c>
      <c r="I40" s="4215">
        <v>286.5</v>
      </c>
      <c r="J40" s="4216">
        <v>807.5</v>
      </c>
      <c r="K40" s="4217">
        <v>2450998</v>
      </c>
      <c r="L40" s="4225">
        <v>311.39999999999998</v>
      </c>
      <c r="M40" s="4225">
        <v>291.5</v>
      </c>
      <c r="N40" s="4225">
        <v>287</v>
      </c>
      <c r="O40" s="4225">
        <v>286.5</v>
      </c>
      <c r="P40" s="4218">
        <v>204616</v>
      </c>
      <c r="Q40" s="4218">
        <v>204176</v>
      </c>
      <c r="R40" s="4220">
        <v>0</v>
      </c>
      <c r="S40" s="4220"/>
      <c r="T40" s="4219">
        <v>0</v>
      </c>
      <c r="U40" s="5214">
        <v>0</v>
      </c>
      <c r="V40" s="4222"/>
      <c r="W40" s="4224">
        <v>0</v>
      </c>
      <c r="X40" s="4217">
        <v>73</v>
      </c>
      <c r="Y40" s="4223">
        <v>54</v>
      </c>
      <c r="Z40" s="5215">
        <v>0</v>
      </c>
      <c r="AA40" s="5215">
        <v>0</v>
      </c>
      <c r="AB40" s="5205">
        <v>0</v>
      </c>
      <c r="AC40" s="4224">
        <v>178633</v>
      </c>
      <c r="AD40" s="4224"/>
      <c r="AE40" s="4224">
        <v>202955</v>
      </c>
      <c r="AF40" s="4225">
        <v>311.39999999999998</v>
      </c>
      <c r="AG40" s="4225">
        <v>291.5</v>
      </c>
      <c r="AH40" s="4225">
        <v>0</v>
      </c>
      <c r="AI40" s="4225">
        <v>0</v>
      </c>
      <c r="AJ40" s="4225">
        <v>0</v>
      </c>
      <c r="AK40" s="4225">
        <v>0</v>
      </c>
      <c r="AL40" s="4225">
        <v>0</v>
      </c>
      <c r="AM40" s="4221">
        <v>0</v>
      </c>
      <c r="AN40" s="4226">
        <v>0</v>
      </c>
      <c r="AO40" s="4224"/>
      <c r="AP40" s="4224"/>
      <c r="AQ40" s="4224">
        <v>2070375</v>
      </c>
      <c r="AR40" s="4221">
        <v>0.3</v>
      </c>
      <c r="AS40" s="4217">
        <v>2734027</v>
      </c>
      <c r="AT40" s="5216">
        <v>0</v>
      </c>
      <c r="AU40" s="5216">
        <v>0</v>
      </c>
      <c r="AV40" s="4220">
        <v>2070375</v>
      </c>
      <c r="AW40" s="5243">
        <v>0</v>
      </c>
      <c r="AX40" s="4224"/>
      <c r="AY40" s="5217">
        <v>0</v>
      </c>
      <c r="AZ40" s="4224"/>
      <c r="BA40" s="4224">
        <v>154729</v>
      </c>
      <c r="BB40" s="4224">
        <v>0</v>
      </c>
      <c r="BC40" s="5218"/>
      <c r="BD40" s="4217">
        <v>161336</v>
      </c>
      <c r="BE40" s="4224">
        <v>2061255</v>
      </c>
    </row>
    <row r="41" spans="1:57">
      <c r="A41" s="3810">
        <v>229</v>
      </c>
      <c r="B41" s="4210" t="s">
        <v>435</v>
      </c>
      <c r="C41" s="4211" t="s">
        <v>188</v>
      </c>
      <c r="D41" s="4212">
        <v>2485440081</v>
      </c>
      <c r="E41" s="4213">
        <v>2402576238</v>
      </c>
      <c r="F41" s="4224">
        <v>2640516177</v>
      </c>
      <c r="G41" s="4224">
        <v>2556558662</v>
      </c>
      <c r="H41" s="4214">
        <v>21375.1</v>
      </c>
      <c r="I41" s="4215">
        <v>21563.7</v>
      </c>
      <c r="J41" s="4216">
        <v>91</v>
      </c>
      <c r="K41" s="4217">
        <v>146282976</v>
      </c>
      <c r="L41" s="4225">
        <v>21134.6</v>
      </c>
      <c r="M41" s="4225">
        <v>21371.5</v>
      </c>
      <c r="N41" s="4225">
        <v>21375.1</v>
      </c>
      <c r="O41" s="4225">
        <v>21580.7</v>
      </c>
      <c r="P41" s="4218">
        <v>20737249</v>
      </c>
      <c r="Q41" s="4218">
        <v>21069541</v>
      </c>
      <c r="R41" s="4220">
        <v>2687241</v>
      </c>
      <c r="S41" s="4220"/>
      <c r="T41" s="4219">
        <v>0</v>
      </c>
      <c r="U41" s="5214">
        <v>0</v>
      </c>
      <c r="V41" s="4222"/>
      <c r="W41" s="4224">
        <v>0</v>
      </c>
      <c r="X41" s="4217">
        <v>1262</v>
      </c>
      <c r="Y41" s="4223">
        <v>593</v>
      </c>
      <c r="Z41" s="5215">
        <v>0</v>
      </c>
      <c r="AA41" s="5215">
        <v>0</v>
      </c>
      <c r="AB41" s="5205">
        <v>0</v>
      </c>
      <c r="AC41" s="4224">
        <v>14295875</v>
      </c>
      <c r="AD41" s="4224"/>
      <c r="AE41" s="4224">
        <v>15684403</v>
      </c>
      <c r="AF41" s="4225">
        <v>21134.6</v>
      </c>
      <c r="AG41" s="4225">
        <v>21371</v>
      </c>
      <c r="AH41" s="4225">
        <v>0</v>
      </c>
      <c r="AI41" s="4225">
        <v>1595.8</v>
      </c>
      <c r="AJ41" s="4225">
        <v>0</v>
      </c>
      <c r="AK41" s="4225">
        <v>2743.4</v>
      </c>
      <c r="AL41" s="4225">
        <v>7.5</v>
      </c>
      <c r="AM41" s="4227">
        <v>0.05</v>
      </c>
      <c r="AN41" s="4226">
        <v>0</v>
      </c>
      <c r="AO41" s="4224"/>
      <c r="AP41" s="4224"/>
      <c r="AQ41" s="4224">
        <v>108317039</v>
      </c>
      <c r="AR41" s="4221">
        <v>0.31</v>
      </c>
      <c r="AS41" s="4217">
        <v>147030173</v>
      </c>
      <c r="AT41" s="5216">
        <v>0</v>
      </c>
      <c r="AU41" s="5216">
        <v>10567670</v>
      </c>
      <c r="AV41" s="4220">
        <v>108317039</v>
      </c>
      <c r="AW41" s="5243">
        <v>0</v>
      </c>
      <c r="AX41" s="4224"/>
      <c r="AY41" s="5217">
        <v>2386017</v>
      </c>
      <c r="AZ41" s="4224"/>
      <c r="BA41" s="4224">
        <v>11998794</v>
      </c>
      <c r="BB41" s="4224">
        <v>0</v>
      </c>
      <c r="BC41" s="5218"/>
      <c r="BD41" s="4217">
        <v>0</v>
      </c>
      <c r="BE41" s="4224">
        <v>109054253</v>
      </c>
    </row>
    <row r="42" spans="1:57">
      <c r="A42" s="3810">
        <v>230</v>
      </c>
      <c r="B42" s="4210" t="s">
        <v>436</v>
      </c>
      <c r="C42" s="4211" t="s">
        <v>188</v>
      </c>
      <c r="D42" s="4212">
        <v>145382388</v>
      </c>
      <c r="E42" s="4213">
        <v>135180933</v>
      </c>
      <c r="F42" s="4224">
        <v>161520235</v>
      </c>
      <c r="G42" s="4224">
        <v>150701143</v>
      </c>
      <c r="H42" s="4214">
        <v>2365</v>
      </c>
      <c r="I42" s="4215">
        <v>2490.4</v>
      </c>
      <c r="J42" s="4216">
        <v>71</v>
      </c>
      <c r="K42" s="4217">
        <v>25451894</v>
      </c>
      <c r="L42" s="4225">
        <v>2740.9</v>
      </c>
      <c r="M42" s="4225">
        <v>2849.7</v>
      </c>
      <c r="N42" s="4225">
        <v>3174.8</v>
      </c>
      <c r="O42" s="4225">
        <v>3475.3</v>
      </c>
      <c r="P42" s="4218">
        <v>2396113</v>
      </c>
      <c r="Q42" s="4218">
        <v>2570485</v>
      </c>
      <c r="R42" s="4220">
        <v>3003029</v>
      </c>
      <c r="S42" s="4220"/>
      <c r="T42" s="4219">
        <v>0</v>
      </c>
      <c r="U42" s="5214">
        <v>0</v>
      </c>
      <c r="V42" s="4222"/>
      <c r="W42" s="4224">
        <v>317164</v>
      </c>
      <c r="X42" s="4217">
        <v>460</v>
      </c>
      <c r="Y42" s="4223">
        <v>152</v>
      </c>
      <c r="Z42" s="5215">
        <v>0.52</v>
      </c>
      <c r="AA42" s="5215">
        <v>0.3</v>
      </c>
      <c r="AB42" s="5205">
        <v>0.61219999999999997</v>
      </c>
      <c r="AC42" s="4224">
        <v>1685218</v>
      </c>
      <c r="AD42" s="4224"/>
      <c r="AE42" s="4224">
        <v>1920299</v>
      </c>
      <c r="AF42" s="4225">
        <v>2178.9</v>
      </c>
      <c r="AG42" s="4225">
        <v>2248.6999999999998</v>
      </c>
      <c r="AH42" s="4225">
        <v>842.4</v>
      </c>
      <c r="AI42" s="4225">
        <v>0</v>
      </c>
      <c r="AJ42" s="4225">
        <v>0</v>
      </c>
      <c r="AK42" s="4225">
        <v>391.7</v>
      </c>
      <c r="AL42" s="4225">
        <v>107.9</v>
      </c>
      <c r="AM42" s="4227">
        <v>3.7100000000000001E-2</v>
      </c>
      <c r="AN42" s="4226">
        <v>0</v>
      </c>
      <c r="AO42" s="4224"/>
      <c r="AP42" s="4224"/>
      <c r="AQ42" s="4224">
        <v>16235238</v>
      </c>
      <c r="AR42" s="4221">
        <v>0.3</v>
      </c>
      <c r="AS42" s="4217">
        <v>17538189</v>
      </c>
      <c r="AT42" s="5216">
        <v>0</v>
      </c>
      <c r="AU42" s="5216">
        <v>1508640</v>
      </c>
      <c r="AV42" s="4220">
        <v>16235238</v>
      </c>
      <c r="AW42" s="5243">
        <v>0</v>
      </c>
      <c r="AX42" s="4224"/>
      <c r="AY42" s="5217">
        <v>3003029</v>
      </c>
      <c r="AZ42" s="4224"/>
      <c r="BA42" s="4224">
        <v>1456855</v>
      </c>
      <c r="BB42" s="4224">
        <v>0</v>
      </c>
      <c r="BC42" s="5218"/>
      <c r="BD42" s="4217">
        <v>0</v>
      </c>
      <c r="BE42" s="4224">
        <v>18104361</v>
      </c>
    </row>
    <row r="43" spans="1:57">
      <c r="A43" s="3810">
        <v>231</v>
      </c>
      <c r="B43" s="4210" t="s">
        <v>437</v>
      </c>
      <c r="C43" s="4211" t="s">
        <v>188</v>
      </c>
      <c r="D43" s="4212">
        <v>251132706</v>
      </c>
      <c r="E43" s="4213">
        <v>233352714</v>
      </c>
      <c r="F43" s="4224">
        <v>264907459</v>
      </c>
      <c r="G43" s="4224">
        <v>246855860</v>
      </c>
      <c r="H43" s="4214">
        <v>5350.5</v>
      </c>
      <c r="I43" s="4215">
        <v>5443.7</v>
      </c>
      <c r="J43" s="4216">
        <v>103</v>
      </c>
      <c r="K43" s="4217">
        <v>42108136</v>
      </c>
      <c r="L43" s="4225">
        <v>5067.6000000000004</v>
      </c>
      <c r="M43" s="4225">
        <v>5150.8999999999996</v>
      </c>
      <c r="N43" s="4225">
        <v>5359.5</v>
      </c>
      <c r="O43" s="4225">
        <v>5452.7</v>
      </c>
      <c r="P43" s="4218">
        <v>5111353</v>
      </c>
      <c r="Q43" s="4218">
        <v>5498248</v>
      </c>
      <c r="R43" s="4220">
        <v>6188368</v>
      </c>
      <c r="S43" s="4220"/>
      <c r="T43" s="4219">
        <v>590</v>
      </c>
      <c r="U43" s="5214">
        <v>399</v>
      </c>
      <c r="V43" s="4222"/>
      <c r="W43" s="4224">
        <v>0</v>
      </c>
      <c r="X43" s="4217">
        <v>1356</v>
      </c>
      <c r="Y43" s="4223">
        <v>566</v>
      </c>
      <c r="Z43" s="5215">
        <v>0.5</v>
      </c>
      <c r="AA43" s="5215">
        <v>0.28999999999999998</v>
      </c>
      <c r="AB43" s="5205">
        <v>0.59950000000000003</v>
      </c>
      <c r="AC43" s="4224">
        <v>3327503</v>
      </c>
      <c r="AD43" s="4224"/>
      <c r="AE43" s="4224">
        <v>3964159</v>
      </c>
      <c r="AF43" s="4225">
        <v>5060.1000000000004</v>
      </c>
      <c r="AG43" s="4225">
        <v>5141.8999999999996</v>
      </c>
      <c r="AH43" s="4225">
        <v>0</v>
      </c>
      <c r="AI43" s="4225">
        <v>0</v>
      </c>
      <c r="AJ43" s="4225">
        <v>0</v>
      </c>
      <c r="AK43" s="4225">
        <v>0</v>
      </c>
      <c r="AL43" s="4225">
        <v>247.5</v>
      </c>
      <c r="AM43" s="4227">
        <v>4.0000000000000001E-3</v>
      </c>
      <c r="AN43" s="4226">
        <v>0</v>
      </c>
      <c r="AO43" s="4224"/>
      <c r="AP43" s="4224"/>
      <c r="AQ43" s="4224">
        <v>25741134</v>
      </c>
      <c r="AR43" s="4221">
        <v>0.3</v>
      </c>
      <c r="AS43" s="4217">
        <v>35123860</v>
      </c>
      <c r="AT43" s="5216">
        <v>0</v>
      </c>
      <c r="AU43" s="5216">
        <v>0</v>
      </c>
      <c r="AV43" s="4220">
        <v>25741134</v>
      </c>
      <c r="AW43" s="5243">
        <v>510729</v>
      </c>
      <c r="AX43" s="4224"/>
      <c r="AY43" s="5217">
        <v>6188368</v>
      </c>
      <c r="AZ43" s="4224"/>
      <c r="BA43" s="4224">
        <v>3006801</v>
      </c>
      <c r="BB43" s="4224">
        <v>510729</v>
      </c>
      <c r="BC43" s="5218"/>
      <c r="BD43" s="4217">
        <v>0</v>
      </c>
      <c r="BE43" s="4224">
        <v>26877912</v>
      </c>
    </row>
    <row r="44" spans="1:57">
      <c r="A44" s="3810">
        <v>232</v>
      </c>
      <c r="B44" s="4210" t="s">
        <v>438</v>
      </c>
      <c r="C44" s="4211" t="s">
        <v>188</v>
      </c>
      <c r="D44" s="4212">
        <v>412028288</v>
      </c>
      <c r="E44" s="4213">
        <v>388019164</v>
      </c>
      <c r="F44" s="4224">
        <v>439693157</v>
      </c>
      <c r="G44" s="4224">
        <v>415197815</v>
      </c>
      <c r="H44" s="4214">
        <v>6740.1</v>
      </c>
      <c r="I44" s="4215">
        <v>6713.1</v>
      </c>
      <c r="J44" s="4216">
        <v>100</v>
      </c>
      <c r="K44" s="4217">
        <v>47048100</v>
      </c>
      <c r="L44" s="4225">
        <v>6635.1</v>
      </c>
      <c r="M44" s="4225">
        <v>6706.8</v>
      </c>
      <c r="N44" s="4225">
        <v>6752.1</v>
      </c>
      <c r="O44" s="4225">
        <v>6725.1</v>
      </c>
      <c r="P44" s="4218">
        <v>4301755</v>
      </c>
      <c r="Q44" s="4218">
        <v>4408489</v>
      </c>
      <c r="R44" s="4220">
        <v>6522605</v>
      </c>
      <c r="S44" s="4220"/>
      <c r="T44" s="4219">
        <v>0</v>
      </c>
      <c r="U44" s="5214">
        <v>0</v>
      </c>
      <c r="V44" s="4222"/>
      <c r="W44" s="4224">
        <v>0</v>
      </c>
      <c r="X44" s="4217">
        <v>610</v>
      </c>
      <c r="Y44" s="4223">
        <v>281</v>
      </c>
      <c r="Z44" s="5215">
        <v>0.33</v>
      </c>
      <c r="AA44" s="5215">
        <v>0.11</v>
      </c>
      <c r="AB44" s="5205">
        <v>0.45500000000000002</v>
      </c>
      <c r="AC44" s="4224">
        <v>3849547</v>
      </c>
      <c r="AD44" s="4224"/>
      <c r="AE44" s="4224">
        <v>4206600</v>
      </c>
      <c r="AF44" s="4225">
        <v>6623.1</v>
      </c>
      <c r="AG44" s="4225">
        <v>6695.3</v>
      </c>
      <c r="AH44" s="4225">
        <v>0</v>
      </c>
      <c r="AI44" s="4225">
        <v>450</v>
      </c>
      <c r="AJ44" s="4225">
        <v>0</v>
      </c>
      <c r="AK44" s="4225">
        <v>53.7</v>
      </c>
      <c r="AL44" s="4225">
        <v>36.4</v>
      </c>
      <c r="AM44" s="4227">
        <v>0.05</v>
      </c>
      <c r="AN44" s="4226">
        <v>0</v>
      </c>
      <c r="AO44" s="4224"/>
      <c r="AP44" s="4224"/>
      <c r="AQ44" s="4224">
        <v>32100794</v>
      </c>
      <c r="AR44" s="4221">
        <v>0.31</v>
      </c>
      <c r="AS44" s="4217">
        <v>41855069</v>
      </c>
      <c r="AT44" s="5216">
        <v>0</v>
      </c>
      <c r="AU44" s="5216">
        <v>206997</v>
      </c>
      <c r="AV44" s="4220">
        <v>32100794</v>
      </c>
      <c r="AW44" s="5243">
        <v>659150</v>
      </c>
      <c r="AX44" s="4224"/>
      <c r="AY44" s="5217">
        <v>6522605</v>
      </c>
      <c r="AZ44" s="4224"/>
      <c r="BA44" s="4224">
        <v>3226660</v>
      </c>
      <c r="BB44" s="4224">
        <v>659150</v>
      </c>
      <c r="BC44" s="5218"/>
      <c r="BD44" s="4217">
        <v>0</v>
      </c>
      <c r="BE44" s="4224">
        <v>32218981</v>
      </c>
    </row>
    <row r="45" spans="1:57">
      <c r="A45" s="3810">
        <v>233</v>
      </c>
      <c r="B45" s="4210" t="s">
        <v>439</v>
      </c>
      <c r="C45" s="4211" t="s">
        <v>188</v>
      </c>
      <c r="D45" s="4212">
        <v>1804506472</v>
      </c>
      <c r="E45" s="4213">
        <v>1703066609</v>
      </c>
      <c r="F45" s="4224">
        <v>1937801228</v>
      </c>
      <c r="G45" s="4224">
        <v>1835231890</v>
      </c>
      <c r="H45" s="4214">
        <v>27571.4</v>
      </c>
      <c r="I45" s="4215">
        <v>27799.1</v>
      </c>
      <c r="J45" s="4216">
        <v>75.3</v>
      </c>
      <c r="K45" s="4217">
        <v>217536711</v>
      </c>
      <c r="L45" s="4225">
        <v>26925.8</v>
      </c>
      <c r="M45" s="4225">
        <v>27413.1</v>
      </c>
      <c r="N45" s="4225">
        <v>27601.4</v>
      </c>
      <c r="O45" s="4225">
        <v>27829.1</v>
      </c>
      <c r="P45" s="4218">
        <v>25493790</v>
      </c>
      <c r="Q45" s="4218">
        <v>26369816</v>
      </c>
      <c r="R45" s="4220">
        <v>27920506</v>
      </c>
      <c r="S45" s="4220"/>
      <c r="T45" s="4219">
        <v>181</v>
      </c>
      <c r="U45" s="5214">
        <v>151</v>
      </c>
      <c r="V45" s="4222"/>
      <c r="W45" s="4224">
        <v>0</v>
      </c>
      <c r="X45" s="4217">
        <v>6107</v>
      </c>
      <c r="Y45" s="4223">
        <v>2086</v>
      </c>
      <c r="Z45" s="5215">
        <v>0.28999999999999998</v>
      </c>
      <c r="AA45" s="5215">
        <v>0.08</v>
      </c>
      <c r="AB45" s="5205">
        <v>0.42530000000000001</v>
      </c>
      <c r="AC45" s="4224">
        <v>18887533</v>
      </c>
      <c r="AD45" s="4224"/>
      <c r="AE45" s="4224">
        <v>20831295</v>
      </c>
      <c r="AF45" s="4225">
        <v>26895.8</v>
      </c>
      <c r="AG45" s="4225">
        <v>27383.1</v>
      </c>
      <c r="AH45" s="4225">
        <v>0</v>
      </c>
      <c r="AI45" s="4225">
        <v>1500.4</v>
      </c>
      <c r="AJ45" s="4225">
        <v>0</v>
      </c>
      <c r="AK45" s="4225">
        <v>2468.3000000000002</v>
      </c>
      <c r="AL45" s="4225">
        <v>105.4</v>
      </c>
      <c r="AM45" s="4227">
        <v>4.0800000000000003E-2</v>
      </c>
      <c r="AN45" s="4226">
        <v>0</v>
      </c>
      <c r="AO45" s="4224"/>
      <c r="AP45" s="4224"/>
      <c r="AQ45" s="4224">
        <v>143083741</v>
      </c>
      <c r="AR45" s="4221">
        <v>0.31</v>
      </c>
      <c r="AS45" s="4217">
        <v>194305467</v>
      </c>
      <c r="AT45" s="5216">
        <v>0</v>
      </c>
      <c r="AU45" s="5216">
        <v>9508006</v>
      </c>
      <c r="AV45" s="4220">
        <v>143083741</v>
      </c>
      <c r="AW45" s="5243">
        <v>2378379</v>
      </c>
      <c r="AX45" s="4224"/>
      <c r="AY45" s="5217">
        <v>27920506</v>
      </c>
      <c r="AZ45" s="4224"/>
      <c r="BA45" s="4224">
        <v>15910354</v>
      </c>
      <c r="BB45" s="4224">
        <v>2144759</v>
      </c>
      <c r="BC45" s="5218"/>
      <c r="BD45" s="4217">
        <v>0</v>
      </c>
      <c r="BE45" s="4224">
        <v>145095135</v>
      </c>
    </row>
    <row r="46" spans="1:57">
      <c r="A46" s="3810">
        <v>234</v>
      </c>
      <c r="B46" s="4210" t="s">
        <v>440</v>
      </c>
      <c r="C46" s="4211" t="s">
        <v>189</v>
      </c>
      <c r="D46" s="4212">
        <v>74850080</v>
      </c>
      <c r="E46" s="4213">
        <v>64191666</v>
      </c>
      <c r="F46" s="4224">
        <v>76761650</v>
      </c>
      <c r="G46" s="4224">
        <v>66131744</v>
      </c>
      <c r="H46" s="4214">
        <v>1801.1</v>
      </c>
      <c r="I46" s="4215">
        <v>1797.1</v>
      </c>
      <c r="J46" s="4216">
        <v>300</v>
      </c>
      <c r="K46" s="4217">
        <v>14776819</v>
      </c>
      <c r="L46" s="4225">
        <v>1809</v>
      </c>
      <c r="M46" s="4225">
        <v>1834.2</v>
      </c>
      <c r="N46" s="4225">
        <v>1819.1</v>
      </c>
      <c r="O46" s="4225">
        <v>1815.1</v>
      </c>
      <c r="P46" s="4218">
        <v>1050651</v>
      </c>
      <c r="Q46" s="4218">
        <v>1151863</v>
      </c>
      <c r="R46" s="4220">
        <v>2428259</v>
      </c>
      <c r="S46" s="4220"/>
      <c r="T46" s="4219">
        <v>0</v>
      </c>
      <c r="U46" s="5214">
        <v>0</v>
      </c>
      <c r="V46" s="4222"/>
      <c r="W46" s="4224">
        <v>0</v>
      </c>
      <c r="X46" s="4217">
        <v>991</v>
      </c>
      <c r="Y46" s="4223">
        <v>188</v>
      </c>
      <c r="Z46" s="5215">
        <v>0.56000000000000005</v>
      </c>
      <c r="AA46" s="5215">
        <v>0.35</v>
      </c>
      <c r="AB46" s="5205">
        <v>0.64959999999999996</v>
      </c>
      <c r="AC46" s="4224">
        <v>1198157</v>
      </c>
      <c r="AD46" s="4224"/>
      <c r="AE46" s="4224">
        <v>1353842</v>
      </c>
      <c r="AF46" s="4225">
        <v>1791</v>
      </c>
      <c r="AG46" s="4225">
        <v>1816.2</v>
      </c>
      <c r="AH46" s="4225">
        <v>0</v>
      </c>
      <c r="AI46" s="4225">
        <v>0</v>
      </c>
      <c r="AJ46" s="4225">
        <v>0</v>
      </c>
      <c r="AK46" s="4225">
        <v>0</v>
      </c>
      <c r="AL46" s="4225">
        <v>0</v>
      </c>
      <c r="AM46" s="4221">
        <v>0</v>
      </c>
      <c r="AN46" s="4226">
        <v>0</v>
      </c>
      <c r="AO46" s="4224"/>
      <c r="AP46" s="4224"/>
      <c r="AQ46" s="4224">
        <v>10014507</v>
      </c>
      <c r="AR46" s="4221">
        <v>0.3</v>
      </c>
      <c r="AS46" s="4217">
        <v>12823929</v>
      </c>
      <c r="AT46" s="5216">
        <v>0</v>
      </c>
      <c r="AU46" s="5216">
        <v>0</v>
      </c>
      <c r="AV46" s="4220">
        <v>10014507</v>
      </c>
      <c r="AW46" s="5243">
        <v>178957</v>
      </c>
      <c r="AX46" s="4224"/>
      <c r="AY46" s="5217">
        <v>2428259</v>
      </c>
      <c r="AZ46" s="4224"/>
      <c r="BA46" s="4224">
        <v>1043291</v>
      </c>
      <c r="BB46" s="4224">
        <v>178957</v>
      </c>
      <c r="BC46" s="5218"/>
      <c r="BD46" s="4217">
        <v>0</v>
      </c>
      <c r="BE46" s="4224">
        <v>9974449</v>
      </c>
    </row>
    <row r="47" spans="1:57">
      <c r="A47" s="3810">
        <v>235</v>
      </c>
      <c r="B47" s="4210" t="s">
        <v>441</v>
      </c>
      <c r="C47" s="4211" t="s">
        <v>189</v>
      </c>
      <c r="D47" s="4212">
        <v>14651558</v>
      </c>
      <c r="E47" s="4213">
        <v>12585678</v>
      </c>
      <c r="F47" s="4224">
        <v>15150639</v>
      </c>
      <c r="G47" s="4224">
        <v>13128742</v>
      </c>
      <c r="H47" s="4214">
        <v>430</v>
      </c>
      <c r="I47" s="4215">
        <v>420</v>
      </c>
      <c r="J47" s="4216">
        <v>309</v>
      </c>
      <c r="K47" s="4217">
        <v>4731259</v>
      </c>
      <c r="L47" s="4225">
        <v>429.5</v>
      </c>
      <c r="M47" s="4225">
        <v>433.5</v>
      </c>
      <c r="N47" s="4225">
        <v>435</v>
      </c>
      <c r="O47" s="4225">
        <v>426.5</v>
      </c>
      <c r="P47" s="4218">
        <v>388074</v>
      </c>
      <c r="Q47" s="4218">
        <v>385265</v>
      </c>
      <c r="R47" s="4220">
        <v>871172</v>
      </c>
      <c r="S47" s="4220"/>
      <c r="T47" s="4219">
        <v>8544</v>
      </c>
      <c r="U47" s="5214">
        <v>3236</v>
      </c>
      <c r="V47" s="4222"/>
      <c r="W47" s="4224">
        <v>0</v>
      </c>
      <c r="X47" s="4217">
        <v>212</v>
      </c>
      <c r="Y47" s="4223">
        <v>78</v>
      </c>
      <c r="Z47" s="5215">
        <v>0.63</v>
      </c>
      <c r="AA47" s="5215">
        <v>0.41</v>
      </c>
      <c r="AB47" s="5205">
        <v>0.7036</v>
      </c>
      <c r="AC47" s="4224">
        <v>301706</v>
      </c>
      <c r="AD47" s="4224"/>
      <c r="AE47" s="4224">
        <v>330909</v>
      </c>
      <c r="AF47" s="4225">
        <v>422.5</v>
      </c>
      <c r="AG47" s="4225">
        <v>429</v>
      </c>
      <c r="AH47" s="4225">
        <v>0</v>
      </c>
      <c r="AI47" s="4225">
        <v>0</v>
      </c>
      <c r="AJ47" s="4225">
        <v>0</v>
      </c>
      <c r="AK47" s="4225">
        <v>0</v>
      </c>
      <c r="AL47" s="4225">
        <v>0</v>
      </c>
      <c r="AM47" s="4221">
        <v>0</v>
      </c>
      <c r="AN47" s="4226">
        <v>0</v>
      </c>
      <c r="AO47" s="4224"/>
      <c r="AP47" s="4224"/>
      <c r="AQ47" s="4224">
        <v>3231954</v>
      </c>
      <c r="AR47" s="4221">
        <v>0.3</v>
      </c>
      <c r="AS47" s="4217">
        <v>4155633</v>
      </c>
      <c r="AT47" s="5216">
        <v>0</v>
      </c>
      <c r="AU47" s="5216">
        <v>0</v>
      </c>
      <c r="AV47" s="4220">
        <v>3231954</v>
      </c>
      <c r="AW47" s="5243">
        <v>0</v>
      </c>
      <c r="AX47" s="4224"/>
      <c r="AY47" s="5217">
        <v>871172</v>
      </c>
      <c r="AZ47" s="4224"/>
      <c r="BA47" s="4224">
        <v>255271</v>
      </c>
      <c r="BB47" s="4224">
        <v>0</v>
      </c>
      <c r="BC47" s="5218"/>
      <c r="BD47" s="4217">
        <v>0</v>
      </c>
      <c r="BE47" s="4224">
        <v>3219026</v>
      </c>
    </row>
    <row r="48" spans="1:57">
      <c r="A48" s="3810">
        <v>237</v>
      </c>
      <c r="B48" s="4210" t="s">
        <v>442</v>
      </c>
      <c r="C48" s="4211" t="s">
        <v>190</v>
      </c>
      <c r="D48" s="4212">
        <v>29315220</v>
      </c>
      <c r="E48" s="4213">
        <v>26413682</v>
      </c>
      <c r="F48" s="4224">
        <v>32849438</v>
      </c>
      <c r="G48" s="4224">
        <v>29915745</v>
      </c>
      <c r="H48" s="4214">
        <v>380.8</v>
      </c>
      <c r="I48" s="4215">
        <v>369.5</v>
      </c>
      <c r="J48" s="4216">
        <v>599</v>
      </c>
      <c r="K48" s="4217">
        <v>3737415</v>
      </c>
      <c r="L48" s="4225">
        <v>391.5</v>
      </c>
      <c r="M48" s="4225">
        <v>376.8</v>
      </c>
      <c r="N48" s="4225">
        <v>390.7</v>
      </c>
      <c r="O48" s="4225">
        <v>369.5</v>
      </c>
      <c r="P48" s="4218">
        <v>461383</v>
      </c>
      <c r="Q48" s="4218">
        <v>488311</v>
      </c>
      <c r="R48" s="4220">
        <v>392233</v>
      </c>
      <c r="S48" s="4220"/>
      <c r="T48" s="4219">
        <v>0</v>
      </c>
      <c r="U48" s="5214">
        <v>0</v>
      </c>
      <c r="V48" s="4222"/>
      <c r="W48" s="4224">
        <v>0</v>
      </c>
      <c r="X48" s="4217">
        <v>143</v>
      </c>
      <c r="Y48" s="4223">
        <v>53</v>
      </c>
      <c r="Z48" s="5215">
        <v>0.1</v>
      </c>
      <c r="AA48" s="5215">
        <v>0</v>
      </c>
      <c r="AB48" s="5205">
        <v>0.26540000000000002</v>
      </c>
      <c r="AC48" s="4224">
        <v>218772</v>
      </c>
      <c r="AD48" s="4224"/>
      <c r="AE48" s="4224">
        <v>266765</v>
      </c>
      <c r="AF48" s="4225">
        <v>391.5</v>
      </c>
      <c r="AG48" s="4225">
        <v>376.8</v>
      </c>
      <c r="AH48" s="4225">
        <v>10.4</v>
      </c>
      <c r="AI48" s="4225">
        <v>0</v>
      </c>
      <c r="AJ48" s="4225">
        <v>0</v>
      </c>
      <c r="AK48" s="4225">
        <v>0</v>
      </c>
      <c r="AL48" s="4225">
        <v>0</v>
      </c>
      <c r="AM48" s="4221">
        <v>0</v>
      </c>
      <c r="AN48" s="4226">
        <v>0</v>
      </c>
      <c r="AO48" s="4224"/>
      <c r="AP48" s="4224"/>
      <c r="AQ48" s="4224">
        <v>2686086</v>
      </c>
      <c r="AR48" s="4221">
        <v>0.31</v>
      </c>
      <c r="AS48" s="4217">
        <v>3670216</v>
      </c>
      <c r="AT48" s="5216">
        <v>0</v>
      </c>
      <c r="AU48" s="5216">
        <v>0</v>
      </c>
      <c r="AV48" s="4220">
        <v>2686086</v>
      </c>
      <c r="AW48" s="5243">
        <v>26631</v>
      </c>
      <c r="AX48" s="4224"/>
      <c r="AY48" s="5217">
        <v>392233</v>
      </c>
      <c r="AZ48" s="4224"/>
      <c r="BA48" s="4224">
        <v>205157</v>
      </c>
      <c r="BB48" s="4224">
        <v>13723</v>
      </c>
      <c r="BC48" s="5218"/>
      <c r="BD48" s="4217">
        <v>0</v>
      </c>
      <c r="BE48" s="4224">
        <v>2635441</v>
      </c>
    </row>
    <row r="49" spans="1:57">
      <c r="A49" s="3810">
        <v>239</v>
      </c>
      <c r="B49" s="4210" t="s">
        <v>443</v>
      </c>
      <c r="C49" s="4211" t="s">
        <v>191</v>
      </c>
      <c r="D49" s="4212">
        <v>35277235</v>
      </c>
      <c r="E49" s="4213">
        <v>32111497</v>
      </c>
      <c r="F49" s="4224">
        <v>37833768</v>
      </c>
      <c r="G49" s="4224">
        <v>34692227</v>
      </c>
      <c r="H49" s="4214">
        <v>603.79999999999995</v>
      </c>
      <c r="I49" s="4215">
        <v>599.9</v>
      </c>
      <c r="J49" s="4216">
        <v>418.5</v>
      </c>
      <c r="K49" s="4217">
        <v>5628918</v>
      </c>
      <c r="L49" s="4225">
        <v>590.4</v>
      </c>
      <c r="M49" s="4225">
        <v>618.29999999999995</v>
      </c>
      <c r="N49" s="4225">
        <v>605.79999999999995</v>
      </c>
      <c r="O49" s="4225">
        <v>599.9</v>
      </c>
      <c r="P49" s="4218">
        <v>636775</v>
      </c>
      <c r="Q49" s="4218">
        <v>601029</v>
      </c>
      <c r="R49" s="4220">
        <v>826784</v>
      </c>
      <c r="S49" s="4220"/>
      <c r="T49" s="4219">
        <v>5765</v>
      </c>
      <c r="U49" s="5214">
        <v>13647</v>
      </c>
      <c r="V49" s="4222"/>
      <c r="W49" s="4224">
        <v>0</v>
      </c>
      <c r="X49" s="4217">
        <v>193</v>
      </c>
      <c r="Y49" s="4223">
        <v>70</v>
      </c>
      <c r="Z49" s="5215">
        <v>0.36</v>
      </c>
      <c r="AA49" s="5215">
        <v>0.14000000000000001</v>
      </c>
      <c r="AB49" s="5205">
        <v>0.47660000000000002</v>
      </c>
      <c r="AC49" s="4224">
        <v>372466</v>
      </c>
      <c r="AD49" s="4224"/>
      <c r="AE49" s="4224">
        <v>410757</v>
      </c>
      <c r="AF49" s="4225">
        <v>590.4</v>
      </c>
      <c r="AG49" s="4225">
        <v>618.29999999999995</v>
      </c>
      <c r="AH49" s="4225">
        <v>2.1</v>
      </c>
      <c r="AI49" s="4225">
        <v>0</v>
      </c>
      <c r="AJ49" s="4225">
        <v>0</v>
      </c>
      <c r="AK49" s="4225">
        <v>0</v>
      </c>
      <c r="AL49" s="4225">
        <v>0</v>
      </c>
      <c r="AM49" s="4221">
        <v>0</v>
      </c>
      <c r="AN49" s="4226">
        <v>0</v>
      </c>
      <c r="AO49" s="4224"/>
      <c r="AP49" s="4224"/>
      <c r="AQ49" s="4224">
        <v>3877384</v>
      </c>
      <c r="AR49" s="4221">
        <v>0.31</v>
      </c>
      <c r="AS49" s="4217">
        <v>5146980</v>
      </c>
      <c r="AT49" s="5216">
        <v>0</v>
      </c>
      <c r="AU49" s="5216">
        <v>0</v>
      </c>
      <c r="AV49" s="4220">
        <v>3877384</v>
      </c>
      <c r="AW49" s="5243">
        <v>29532</v>
      </c>
      <c r="AX49" s="4224"/>
      <c r="AY49" s="5217">
        <v>826784</v>
      </c>
      <c r="AZ49" s="4224"/>
      <c r="BA49" s="4224">
        <v>315255</v>
      </c>
      <c r="BB49" s="4224">
        <v>29532</v>
      </c>
      <c r="BC49" s="5218"/>
      <c r="BD49" s="4217">
        <v>0</v>
      </c>
      <c r="BE49" s="4224">
        <v>3853818</v>
      </c>
    </row>
    <row r="50" spans="1:57">
      <c r="A50" s="3810">
        <v>240</v>
      </c>
      <c r="B50" s="4210" t="s">
        <v>444</v>
      </c>
      <c r="C50" s="4211" t="s">
        <v>191</v>
      </c>
      <c r="D50" s="4212">
        <v>29957599</v>
      </c>
      <c r="E50" s="4213">
        <v>27579822</v>
      </c>
      <c r="F50" s="4224">
        <v>33489048</v>
      </c>
      <c r="G50" s="4224">
        <v>31127489</v>
      </c>
      <c r="H50" s="4214">
        <v>577</v>
      </c>
      <c r="I50" s="4215">
        <v>562.70000000000005</v>
      </c>
      <c r="J50" s="4216">
        <v>269.3</v>
      </c>
      <c r="K50" s="4217">
        <v>5469333</v>
      </c>
      <c r="L50" s="4225">
        <v>594.5</v>
      </c>
      <c r="M50" s="4225">
        <v>599.79999999999995</v>
      </c>
      <c r="N50" s="4225">
        <v>604.4</v>
      </c>
      <c r="O50" s="4225">
        <v>573.70000000000005</v>
      </c>
      <c r="P50" s="4218">
        <v>547628</v>
      </c>
      <c r="Q50" s="4218">
        <v>521230</v>
      </c>
      <c r="R50" s="4220">
        <v>903097</v>
      </c>
      <c r="S50" s="4220"/>
      <c r="T50" s="4219">
        <v>0</v>
      </c>
      <c r="U50" s="5214">
        <v>0</v>
      </c>
      <c r="V50" s="4222"/>
      <c r="W50" s="4224">
        <v>0</v>
      </c>
      <c r="X50" s="4217">
        <v>203</v>
      </c>
      <c r="Y50" s="4223">
        <v>73</v>
      </c>
      <c r="Z50" s="5215">
        <v>0.4</v>
      </c>
      <c r="AA50" s="5215">
        <v>0.18</v>
      </c>
      <c r="AB50" s="5205">
        <v>0.51290000000000002</v>
      </c>
      <c r="AC50" s="4224">
        <v>328175</v>
      </c>
      <c r="AD50" s="4224"/>
      <c r="AE50" s="4224">
        <v>358060</v>
      </c>
      <c r="AF50" s="4225">
        <v>582.5</v>
      </c>
      <c r="AG50" s="4225">
        <v>578.5</v>
      </c>
      <c r="AH50" s="4225">
        <v>16.2</v>
      </c>
      <c r="AI50" s="4225">
        <v>0</v>
      </c>
      <c r="AJ50" s="4225">
        <v>0</v>
      </c>
      <c r="AK50" s="4225">
        <v>0</v>
      </c>
      <c r="AL50" s="4225">
        <v>0</v>
      </c>
      <c r="AM50" s="4221">
        <v>0</v>
      </c>
      <c r="AN50" s="4226">
        <v>0</v>
      </c>
      <c r="AO50" s="4224"/>
      <c r="AP50" s="4224"/>
      <c r="AQ50" s="4224">
        <v>3796272</v>
      </c>
      <c r="AR50" s="4221">
        <v>0.31</v>
      </c>
      <c r="AS50" s="4217">
        <v>4946241</v>
      </c>
      <c r="AT50" s="5216">
        <v>0</v>
      </c>
      <c r="AU50" s="5216">
        <v>0</v>
      </c>
      <c r="AV50" s="4220">
        <v>3796272</v>
      </c>
      <c r="AW50" s="5243">
        <v>50329</v>
      </c>
      <c r="AX50" s="4224"/>
      <c r="AY50" s="5217">
        <v>903097</v>
      </c>
      <c r="AZ50" s="4224"/>
      <c r="BA50" s="4224">
        <v>275742</v>
      </c>
      <c r="BB50" s="4224">
        <v>50329</v>
      </c>
      <c r="BC50" s="5218"/>
      <c r="BD50" s="4217">
        <v>0</v>
      </c>
      <c r="BE50" s="4224">
        <v>3718935</v>
      </c>
    </row>
    <row r="51" spans="1:57">
      <c r="A51" s="3810">
        <v>241</v>
      </c>
      <c r="B51" s="4210" t="s">
        <v>445</v>
      </c>
      <c r="C51" s="4211" t="s">
        <v>192</v>
      </c>
      <c r="D51" s="4212">
        <v>30169938</v>
      </c>
      <c r="E51" s="4213">
        <v>28911379</v>
      </c>
      <c r="F51" s="4224">
        <v>34230844</v>
      </c>
      <c r="G51" s="4224">
        <v>32954547</v>
      </c>
      <c r="H51" s="4214">
        <v>185.5</v>
      </c>
      <c r="I51" s="4215">
        <v>172.5</v>
      </c>
      <c r="J51" s="4216">
        <v>681.5</v>
      </c>
      <c r="K51" s="4217">
        <v>1760123</v>
      </c>
      <c r="L51" s="4225">
        <v>194.5</v>
      </c>
      <c r="M51" s="4225">
        <v>190</v>
      </c>
      <c r="N51" s="4225">
        <v>185.5</v>
      </c>
      <c r="O51" s="4225">
        <v>172.5</v>
      </c>
      <c r="P51" s="4218">
        <v>145929</v>
      </c>
      <c r="Q51" s="4218">
        <v>154058</v>
      </c>
      <c r="R51" s="4220">
        <v>0</v>
      </c>
      <c r="S51" s="4220"/>
      <c r="T51" s="4219">
        <v>0</v>
      </c>
      <c r="U51" s="5214">
        <v>0</v>
      </c>
      <c r="V51" s="4222"/>
      <c r="W51" s="4224">
        <v>0</v>
      </c>
      <c r="X51" s="4217">
        <v>41</v>
      </c>
      <c r="Y51" s="4223">
        <v>27</v>
      </c>
      <c r="Z51" s="5215">
        <v>0</v>
      </c>
      <c r="AA51" s="5215">
        <v>0</v>
      </c>
      <c r="AB51" s="5205">
        <v>0</v>
      </c>
      <c r="AC51" s="4224">
        <v>161713</v>
      </c>
      <c r="AD51" s="4224"/>
      <c r="AE51" s="4224">
        <v>170534</v>
      </c>
      <c r="AF51" s="4225">
        <v>194.5</v>
      </c>
      <c r="AG51" s="4225">
        <v>190</v>
      </c>
      <c r="AH51" s="4225">
        <v>0</v>
      </c>
      <c r="AI51" s="4225">
        <v>0</v>
      </c>
      <c r="AJ51" s="4225">
        <v>0</v>
      </c>
      <c r="AK51" s="4225">
        <v>0</v>
      </c>
      <c r="AL51" s="4225">
        <v>0</v>
      </c>
      <c r="AM51" s="4221">
        <v>0</v>
      </c>
      <c r="AN51" s="4226">
        <v>0</v>
      </c>
      <c r="AO51" s="4224"/>
      <c r="AP51" s="4224"/>
      <c r="AQ51" s="4224">
        <v>1476159</v>
      </c>
      <c r="AR51" s="4221">
        <v>0.3</v>
      </c>
      <c r="AS51" s="4217">
        <v>1887220</v>
      </c>
      <c r="AT51" s="5216">
        <v>0</v>
      </c>
      <c r="AU51" s="5216">
        <v>0</v>
      </c>
      <c r="AV51" s="4220">
        <v>1476159</v>
      </c>
      <c r="AW51" s="5243">
        <v>0</v>
      </c>
      <c r="AX51" s="4224"/>
      <c r="AY51" s="5217">
        <v>0</v>
      </c>
      <c r="AZ51" s="4224"/>
      <c r="BA51" s="4224">
        <v>133263</v>
      </c>
      <c r="BB51" s="4224">
        <v>0</v>
      </c>
      <c r="BC51" s="5218"/>
      <c r="BD51" s="4217">
        <v>0</v>
      </c>
      <c r="BE51" s="4224">
        <v>1470254</v>
      </c>
    </row>
    <row r="52" spans="1:57">
      <c r="A52" s="3810">
        <v>242</v>
      </c>
      <c r="B52" s="4210" t="s">
        <v>446</v>
      </c>
      <c r="C52" s="4211" t="s">
        <v>192</v>
      </c>
      <c r="D52" s="4212">
        <v>9904978</v>
      </c>
      <c r="E52" s="4213">
        <v>9642576</v>
      </c>
      <c r="F52" s="4224">
        <v>10151601</v>
      </c>
      <c r="G52" s="4224">
        <v>9885365</v>
      </c>
      <c r="H52" s="4214">
        <v>95.7</v>
      </c>
      <c r="I52" s="4215">
        <v>92.5</v>
      </c>
      <c r="J52" s="4216">
        <v>243</v>
      </c>
      <c r="K52" s="4217">
        <v>1030765</v>
      </c>
      <c r="L52" s="4225">
        <v>100</v>
      </c>
      <c r="M52" s="4225">
        <v>90.8</v>
      </c>
      <c r="N52" s="4225">
        <v>95.7</v>
      </c>
      <c r="O52" s="4225">
        <v>92.5</v>
      </c>
      <c r="P52" s="4218">
        <v>106695</v>
      </c>
      <c r="Q52" s="4218">
        <v>125616</v>
      </c>
      <c r="R52" s="4220">
        <v>18987</v>
      </c>
      <c r="S52" s="4220"/>
      <c r="T52" s="4219">
        <v>0</v>
      </c>
      <c r="U52" s="5214">
        <v>0</v>
      </c>
      <c r="V52" s="4222"/>
      <c r="W52" s="4224">
        <v>0</v>
      </c>
      <c r="X52" s="4217">
        <v>34</v>
      </c>
      <c r="Y52" s="4223">
        <v>9</v>
      </c>
      <c r="Z52" s="5215">
        <v>0</v>
      </c>
      <c r="AA52" s="5215">
        <v>0</v>
      </c>
      <c r="AB52" s="5205">
        <v>8.4199999999999997E-2</v>
      </c>
      <c r="AC52" s="4224">
        <v>73888</v>
      </c>
      <c r="AD52" s="4224"/>
      <c r="AE52" s="4224">
        <v>76073</v>
      </c>
      <c r="AF52" s="4225">
        <v>100</v>
      </c>
      <c r="AG52" s="4225">
        <v>90.8</v>
      </c>
      <c r="AH52" s="4225">
        <v>0</v>
      </c>
      <c r="AI52" s="4225">
        <v>0</v>
      </c>
      <c r="AJ52" s="4225">
        <v>0</v>
      </c>
      <c r="AK52" s="4225">
        <v>0</v>
      </c>
      <c r="AL52" s="4225">
        <v>0</v>
      </c>
      <c r="AM52" s="4221">
        <v>0</v>
      </c>
      <c r="AN52" s="4226">
        <v>0</v>
      </c>
      <c r="AO52" s="4224"/>
      <c r="AP52" s="4224"/>
      <c r="AQ52" s="4224">
        <v>827300</v>
      </c>
      <c r="AR52" s="4221">
        <v>0.3</v>
      </c>
      <c r="AS52" s="4217">
        <v>1084168</v>
      </c>
      <c r="AT52" s="5216">
        <v>0</v>
      </c>
      <c r="AU52" s="5216">
        <v>0</v>
      </c>
      <c r="AV52" s="4220">
        <v>827300</v>
      </c>
      <c r="AW52" s="5243">
        <v>0</v>
      </c>
      <c r="AX52" s="4224"/>
      <c r="AY52" s="5217">
        <v>16955</v>
      </c>
      <c r="AZ52" s="4224"/>
      <c r="BA52" s="4224">
        <v>60143</v>
      </c>
      <c r="BB52" s="4224">
        <v>0</v>
      </c>
      <c r="BC52" s="5218"/>
      <c r="BD52" s="4217">
        <v>0</v>
      </c>
      <c r="BE52" s="4224">
        <v>823991</v>
      </c>
    </row>
    <row r="53" spans="1:57">
      <c r="A53" s="3810">
        <v>243</v>
      </c>
      <c r="B53" s="4210" t="s">
        <v>447</v>
      </c>
      <c r="C53" s="4211" t="s">
        <v>193</v>
      </c>
      <c r="D53" s="4212">
        <v>26641883</v>
      </c>
      <c r="E53" s="4213">
        <v>24041583</v>
      </c>
      <c r="F53" s="4224">
        <v>28590014</v>
      </c>
      <c r="G53" s="4224">
        <v>25989857</v>
      </c>
      <c r="H53" s="4214">
        <v>452.5</v>
      </c>
      <c r="I53" s="4215">
        <v>414.7</v>
      </c>
      <c r="J53" s="4216">
        <v>248</v>
      </c>
      <c r="K53" s="5240">
        <f>4588553-117244</f>
        <v>4471309</v>
      </c>
      <c r="L53" s="4225">
        <v>487.5</v>
      </c>
      <c r="M53" s="4225">
        <v>492.7</v>
      </c>
      <c r="N53" s="4225">
        <v>452.5</v>
      </c>
      <c r="O53" s="4225">
        <v>414.7</v>
      </c>
      <c r="P53" s="5222">
        <v>638066</v>
      </c>
      <c r="Q53" s="5242">
        <f>603302-117244</f>
        <v>486058</v>
      </c>
      <c r="R53" s="4220">
        <v>635800</v>
      </c>
      <c r="S53" s="4220"/>
      <c r="T53" s="4219">
        <v>0</v>
      </c>
      <c r="U53" s="5214">
        <v>5186</v>
      </c>
      <c r="V53" s="4222"/>
      <c r="W53" s="4224">
        <v>0</v>
      </c>
      <c r="X53" s="4217">
        <v>133</v>
      </c>
      <c r="Y53" s="4223">
        <v>46</v>
      </c>
      <c r="Z53" s="5215">
        <v>0.28999999999999998</v>
      </c>
      <c r="AA53" s="5215">
        <v>0.08</v>
      </c>
      <c r="AB53" s="5205">
        <v>0.42470000000000002</v>
      </c>
      <c r="AC53" s="4224">
        <v>313654</v>
      </c>
      <c r="AD53" s="4224"/>
      <c r="AE53" s="4224">
        <v>295631</v>
      </c>
      <c r="AF53" s="4225">
        <v>485.5</v>
      </c>
      <c r="AG53" s="4225">
        <v>491</v>
      </c>
      <c r="AH53" s="4225">
        <v>0</v>
      </c>
      <c r="AI53" s="4225">
        <v>0</v>
      </c>
      <c r="AJ53" s="4225">
        <v>0</v>
      </c>
      <c r="AK53" s="4225">
        <v>0</v>
      </c>
      <c r="AL53" s="4225">
        <v>0</v>
      </c>
      <c r="AM53" s="4221">
        <v>0</v>
      </c>
      <c r="AN53" s="4226">
        <v>0</v>
      </c>
      <c r="AO53" s="4224"/>
      <c r="AP53" s="4224"/>
      <c r="AQ53" s="4224">
        <v>3105131</v>
      </c>
      <c r="AR53" s="4221">
        <v>0.3</v>
      </c>
      <c r="AS53" s="4217">
        <v>4269129</v>
      </c>
      <c r="AT53" s="5216">
        <v>0</v>
      </c>
      <c r="AU53" s="5216">
        <v>0</v>
      </c>
      <c r="AV53" s="4220">
        <v>3105131</v>
      </c>
      <c r="AW53" s="5243">
        <v>24406</v>
      </c>
      <c r="AX53" s="4224"/>
      <c r="AY53" s="5217">
        <v>635800</v>
      </c>
      <c r="AZ53" s="4224"/>
      <c r="BA53" s="4224">
        <v>232251</v>
      </c>
      <c r="BB53" s="4224">
        <v>24406</v>
      </c>
      <c r="BC53" s="5218"/>
      <c r="BD53" s="4217">
        <v>0</v>
      </c>
      <c r="BE53" s="4224">
        <v>3092710</v>
      </c>
    </row>
    <row r="54" spans="1:57">
      <c r="A54" s="3810">
        <v>244</v>
      </c>
      <c r="B54" s="4210" t="s">
        <v>448</v>
      </c>
      <c r="C54" s="4211" t="s">
        <v>193</v>
      </c>
      <c r="D54" s="4212">
        <v>397850753</v>
      </c>
      <c r="E54" s="4213">
        <v>393899294</v>
      </c>
      <c r="F54" s="4224">
        <v>449794920</v>
      </c>
      <c r="G54" s="4224">
        <v>445824001</v>
      </c>
      <c r="H54" s="4214">
        <v>815</v>
      </c>
      <c r="I54" s="4215">
        <v>815.5</v>
      </c>
      <c r="J54" s="4216">
        <v>147</v>
      </c>
      <c r="K54" s="4217">
        <v>6584519</v>
      </c>
      <c r="L54" s="4225">
        <v>802.2</v>
      </c>
      <c r="M54" s="4225">
        <v>815.2</v>
      </c>
      <c r="N54" s="4225">
        <v>821</v>
      </c>
      <c r="O54" s="4225">
        <v>821</v>
      </c>
      <c r="P54" s="4218">
        <v>1209306</v>
      </c>
      <c r="Q54" s="4218">
        <v>1152815</v>
      </c>
      <c r="R54" s="4220">
        <v>0</v>
      </c>
      <c r="S54" s="4220"/>
      <c r="T54" s="4219">
        <v>0</v>
      </c>
      <c r="U54" s="5214">
        <v>0</v>
      </c>
      <c r="V54" s="4222"/>
      <c r="W54" s="4224">
        <v>0</v>
      </c>
      <c r="X54" s="4217">
        <v>237</v>
      </c>
      <c r="Y54" s="4223">
        <v>87</v>
      </c>
      <c r="Z54" s="5215">
        <v>0</v>
      </c>
      <c r="AA54" s="5215">
        <v>0</v>
      </c>
      <c r="AB54" s="5205">
        <v>0</v>
      </c>
      <c r="AC54" s="4224">
        <v>711795</v>
      </c>
      <c r="AD54" s="4224"/>
      <c r="AE54" s="4224">
        <v>809760</v>
      </c>
      <c r="AF54" s="4225">
        <v>797.7</v>
      </c>
      <c r="AG54" s="4225">
        <v>810.7</v>
      </c>
      <c r="AH54" s="4225">
        <v>0</v>
      </c>
      <c r="AI54" s="4225">
        <v>0</v>
      </c>
      <c r="AJ54" s="4225">
        <v>0</v>
      </c>
      <c r="AK54" s="4225">
        <v>0</v>
      </c>
      <c r="AL54" s="4225">
        <v>0</v>
      </c>
      <c r="AM54" s="4221">
        <v>0</v>
      </c>
      <c r="AN54" s="4226">
        <v>20036</v>
      </c>
      <c r="AO54" s="4224"/>
      <c r="AP54" s="4224"/>
      <c r="AQ54" s="4224">
        <v>4815947</v>
      </c>
      <c r="AR54" s="4221">
        <v>0.3</v>
      </c>
      <c r="AS54" s="4217">
        <v>6937545</v>
      </c>
      <c r="AT54" s="5216">
        <v>0</v>
      </c>
      <c r="AU54" s="5216">
        <v>0</v>
      </c>
      <c r="AV54" s="4220">
        <v>4815947</v>
      </c>
      <c r="AW54" s="5243">
        <v>0</v>
      </c>
      <c r="AX54" s="4224"/>
      <c r="AY54" s="5217">
        <v>0</v>
      </c>
      <c r="AZ54" s="4224"/>
      <c r="BA54" s="4224">
        <v>606927</v>
      </c>
      <c r="BB54" s="4224">
        <v>0</v>
      </c>
      <c r="BC54" s="5218"/>
      <c r="BD54" s="4217">
        <v>0</v>
      </c>
      <c r="BE54" s="4224">
        <v>4796683</v>
      </c>
    </row>
    <row r="55" spans="1:57">
      <c r="A55" s="3810">
        <v>245</v>
      </c>
      <c r="B55" s="4210" t="s">
        <v>449</v>
      </c>
      <c r="C55" s="4211" t="s">
        <v>193</v>
      </c>
      <c r="D55" s="4212">
        <v>23783635</v>
      </c>
      <c r="E55" s="4213">
        <v>22185069</v>
      </c>
      <c r="F55" s="4224">
        <v>23060009</v>
      </c>
      <c r="G55" s="4224">
        <v>21463049</v>
      </c>
      <c r="H55" s="4214">
        <v>214.1</v>
      </c>
      <c r="I55" s="4215">
        <v>206.5</v>
      </c>
      <c r="J55" s="4216">
        <v>207</v>
      </c>
      <c r="K55" s="5240">
        <f>2146118-47106</f>
        <v>2099012</v>
      </c>
      <c r="L55" s="4225">
        <v>213.9</v>
      </c>
      <c r="M55" s="4225">
        <v>198</v>
      </c>
      <c r="N55" s="4225">
        <v>214.1</v>
      </c>
      <c r="O55" s="4225">
        <v>206.5</v>
      </c>
      <c r="P55" s="4218">
        <v>259721</v>
      </c>
      <c r="Q55" s="5242">
        <f>289474-47106</f>
        <v>242368</v>
      </c>
      <c r="R55" s="4220">
        <v>0</v>
      </c>
      <c r="S55" s="4220"/>
      <c r="T55" s="4219">
        <v>0</v>
      </c>
      <c r="U55" s="5214">
        <v>0</v>
      </c>
      <c r="V55" s="4222"/>
      <c r="W55" s="4224">
        <v>0</v>
      </c>
      <c r="X55" s="4217">
        <v>75</v>
      </c>
      <c r="Y55" s="4223">
        <v>32</v>
      </c>
      <c r="Z55" s="5215">
        <v>0</v>
      </c>
      <c r="AA55" s="5215">
        <v>0</v>
      </c>
      <c r="AB55" s="5205">
        <v>6.8199999999999997E-2</v>
      </c>
      <c r="AC55" s="4224">
        <v>160095</v>
      </c>
      <c r="AD55" s="4224"/>
      <c r="AE55" s="4224">
        <v>156180</v>
      </c>
      <c r="AF55" s="4225">
        <v>213.9</v>
      </c>
      <c r="AG55" s="4225">
        <v>198</v>
      </c>
      <c r="AH55" s="4225">
        <v>0</v>
      </c>
      <c r="AI55" s="4225">
        <v>0</v>
      </c>
      <c r="AJ55" s="4225">
        <v>0</v>
      </c>
      <c r="AK55" s="4225">
        <v>0</v>
      </c>
      <c r="AL55" s="4225">
        <v>0</v>
      </c>
      <c r="AM55" s="4221">
        <v>0</v>
      </c>
      <c r="AN55" s="4226">
        <v>0</v>
      </c>
      <c r="AO55" s="4224"/>
      <c r="AP55" s="4224"/>
      <c r="AQ55" s="4224">
        <v>1728599</v>
      </c>
      <c r="AR55" s="4221">
        <v>0.3</v>
      </c>
      <c r="AS55" s="4217">
        <v>2317010</v>
      </c>
      <c r="AT55" s="5216">
        <v>0</v>
      </c>
      <c r="AU55" s="5216">
        <v>0</v>
      </c>
      <c r="AV55" s="4220">
        <v>1728599</v>
      </c>
      <c r="AW55" s="5243">
        <v>0</v>
      </c>
      <c r="AX55" s="4224"/>
      <c r="AY55" s="5217">
        <v>0</v>
      </c>
      <c r="AZ55" s="4224"/>
      <c r="BA55" s="4224">
        <v>120215</v>
      </c>
      <c r="BB55" s="4224">
        <v>0</v>
      </c>
      <c r="BC55" s="5218"/>
      <c r="BD55" s="4217">
        <v>0</v>
      </c>
      <c r="BE55" s="4224">
        <v>1721685</v>
      </c>
    </row>
    <row r="56" spans="1:57">
      <c r="A56" s="3810">
        <v>246</v>
      </c>
      <c r="B56" s="4210" t="s">
        <v>450</v>
      </c>
      <c r="C56" s="4211" t="s">
        <v>194</v>
      </c>
      <c r="D56" s="4212">
        <v>17992431</v>
      </c>
      <c r="E56" s="4213">
        <v>14154292</v>
      </c>
      <c r="F56" s="4224">
        <v>18657941</v>
      </c>
      <c r="G56" s="4224">
        <v>14813777</v>
      </c>
      <c r="H56" s="4214">
        <v>480.5</v>
      </c>
      <c r="I56" s="4215">
        <v>451.1</v>
      </c>
      <c r="J56" s="4216">
        <v>106</v>
      </c>
      <c r="K56" s="4217">
        <v>5272756</v>
      </c>
      <c r="L56" s="4225">
        <v>470</v>
      </c>
      <c r="M56" s="4225">
        <v>483.5</v>
      </c>
      <c r="N56" s="4225">
        <v>486.5</v>
      </c>
      <c r="O56" s="4225">
        <v>464.6</v>
      </c>
      <c r="P56" s="4218">
        <v>473996</v>
      </c>
      <c r="Q56" s="4218">
        <v>499575</v>
      </c>
      <c r="R56" s="4220">
        <v>938534</v>
      </c>
      <c r="S56" s="4220"/>
      <c r="T56" s="4219">
        <v>0</v>
      </c>
      <c r="U56" s="5214">
        <v>0</v>
      </c>
      <c r="V56" s="4222"/>
      <c r="W56" s="4224">
        <v>0</v>
      </c>
      <c r="X56" s="4217">
        <v>305</v>
      </c>
      <c r="Y56" s="4223">
        <v>56</v>
      </c>
      <c r="Z56" s="5215">
        <v>0.57999999999999996</v>
      </c>
      <c r="AA56" s="5215">
        <v>0.36</v>
      </c>
      <c r="AB56" s="5205">
        <v>0.66490000000000005</v>
      </c>
      <c r="AC56" s="4224">
        <v>325840</v>
      </c>
      <c r="AD56" s="4224"/>
      <c r="AE56" s="4224">
        <v>372799</v>
      </c>
      <c r="AF56" s="4225">
        <v>462</v>
      </c>
      <c r="AG56" s="4225">
        <v>477.5</v>
      </c>
      <c r="AH56" s="4225">
        <v>0</v>
      </c>
      <c r="AI56" s="4225">
        <v>0</v>
      </c>
      <c r="AJ56" s="4225">
        <v>0</v>
      </c>
      <c r="AK56" s="4225">
        <v>0</v>
      </c>
      <c r="AL56" s="4225">
        <v>0</v>
      </c>
      <c r="AM56" s="4221">
        <v>0</v>
      </c>
      <c r="AN56" s="4226">
        <v>0</v>
      </c>
      <c r="AO56" s="4224"/>
      <c r="AP56" s="4224"/>
      <c r="AQ56" s="4224">
        <v>3508492</v>
      </c>
      <c r="AR56" s="4221">
        <v>0.3</v>
      </c>
      <c r="AS56" s="4217">
        <v>4611386</v>
      </c>
      <c r="AT56" s="5216">
        <v>0</v>
      </c>
      <c r="AU56" s="5216">
        <v>0</v>
      </c>
      <c r="AV56" s="4220">
        <v>3508492</v>
      </c>
      <c r="AW56" s="5243">
        <v>0</v>
      </c>
      <c r="AX56" s="4224"/>
      <c r="AY56" s="5217">
        <v>938534</v>
      </c>
      <c r="AZ56" s="4224"/>
      <c r="BA56" s="4224">
        <v>283615</v>
      </c>
      <c r="BB56" s="4224">
        <v>0</v>
      </c>
      <c r="BC56" s="5218"/>
      <c r="BD56" s="4217">
        <v>0</v>
      </c>
      <c r="BE56" s="4224">
        <v>3542257</v>
      </c>
    </row>
    <row r="57" spans="1:57">
      <c r="A57" s="3810">
        <v>247</v>
      </c>
      <c r="B57" s="4210" t="s">
        <v>451</v>
      </c>
      <c r="C57" s="4211" t="s">
        <v>194</v>
      </c>
      <c r="D57" s="4212">
        <v>30186314</v>
      </c>
      <c r="E57" s="4213">
        <v>25946908</v>
      </c>
      <c r="F57" s="4224">
        <v>31757990</v>
      </c>
      <c r="G57" s="4224">
        <v>27486284</v>
      </c>
      <c r="H57" s="4214">
        <v>559.4</v>
      </c>
      <c r="I57" s="4215">
        <v>503.1</v>
      </c>
      <c r="J57" s="4216">
        <v>300</v>
      </c>
      <c r="K57" s="4217">
        <v>6259542</v>
      </c>
      <c r="L57" s="4225">
        <v>658.6</v>
      </c>
      <c r="M57" s="4225">
        <v>621</v>
      </c>
      <c r="N57" s="4225">
        <v>563.9</v>
      </c>
      <c r="O57" s="4225">
        <v>509.1</v>
      </c>
      <c r="P57" s="4218">
        <v>616217</v>
      </c>
      <c r="Q57" s="4218">
        <v>608085</v>
      </c>
      <c r="R57" s="4220">
        <v>967484</v>
      </c>
      <c r="S57" s="4220"/>
      <c r="T57" s="4219">
        <v>3124</v>
      </c>
      <c r="U57" s="5214">
        <v>6030</v>
      </c>
      <c r="V57" s="4222"/>
      <c r="W57" s="4224">
        <v>0</v>
      </c>
      <c r="X57" s="4217">
        <v>267</v>
      </c>
      <c r="Y57" s="4223">
        <v>66</v>
      </c>
      <c r="Z57" s="5215">
        <v>0.36</v>
      </c>
      <c r="AA57" s="5215">
        <v>0.14000000000000001</v>
      </c>
      <c r="AB57" s="5205">
        <v>0.47949999999999998</v>
      </c>
      <c r="AC57" s="4224">
        <v>455827</v>
      </c>
      <c r="AD57" s="4224"/>
      <c r="AE57" s="4224">
        <v>479405</v>
      </c>
      <c r="AF57" s="4225">
        <v>652.6</v>
      </c>
      <c r="AG57" s="4225">
        <v>615.5</v>
      </c>
      <c r="AH57" s="4225">
        <v>0</v>
      </c>
      <c r="AI57" s="4225">
        <v>0</v>
      </c>
      <c r="AJ57" s="4225">
        <v>0</v>
      </c>
      <c r="AK57" s="4225">
        <v>0</v>
      </c>
      <c r="AL57" s="4225">
        <v>0</v>
      </c>
      <c r="AM57" s="4221">
        <v>0</v>
      </c>
      <c r="AN57" s="4226">
        <v>0</v>
      </c>
      <c r="AO57" s="4224"/>
      <c r="AP57" s="4224"/>
      <c r="AQ57" s="4224">
        <v>4254211</v>
      </c>
      <c r="AR57" s="4221">
        <v>0.3</v>
      </c>
      <c r="AS57" s="4217">
        <v>5615396</v>
      </c>
      <c r="AT57" s="5216">
        <v>0</v>
      </c>
      <c r="AU57" s="5216">
        <v>0</v>
      </c>
      <c r="AV57" s="4220">
        <v>4254211</v>
      </c>
      <c r="AW57" s="5243">
        <v>74862</v>
      </c>
      <c r="AX57" s="4224"/>
      <c r="AY57" s="5217">
        <v>967484</v>
      </c>
      <c r="AZ57" s="4224"/>
      <c r="BA57" s="4224">
        <v>371878</v>
      </c>
      <c r="BB57" s="4224">
        <v>74862</v>
      </c>
      <c r="BC57" s="5218"/>
      <c r="BD57" s="4217">
        <v>0</v>
      </c>
      <c r="BE57" s="4224">
        <v>4236982</v>
      </c>
    </row>
    <row r="58" spans="1:57">
      <c r="A58" s="3810">
        <v>248</v>
      </c>
      <c r="B58" s="4210" t="s">
        <v>452</v>
      </c>
      <c r="C58" s="4211" t="s">
        <v>194</v>
      </c>
      <c r="D58" s="4212">
        <v>35811929</v>
      </c>
      <c r="E58" s="4213">
        <v>30912119</v>
      </c>
      <c r="F58" s="4224">
        <v>36941809</v>
      </c>
      <c r="G58" s="4224">
        <v>32030189</v>
      </c>
      <c r="H58" s="4214">
        <v>973.5</v>
      </c>
      <c r="I58" s="4215">
        <v>977.8</v>
      </c>
      <c r="J58" s="4216">
        <v>263</v>
      </c>
      <c r="K58" s="4217">
        <v>8961353</v>
      </c>
      <c r="L58" s="4225">
        <v>1007</v>
      </c>
      <c r="M58" s="4225">
        <v>980.5</v>
      </c>
      <c r="N58" s="4225">
        <v>980.5</v>
      </c>
      <c r="O58" s="4225">
        <v>990.9</v>
      </c>
      <c r="P58" s="4218">
        <v>882901</v>
      </c>
      <c r="Q58" s="4218">
        <v>924909</v>
      </c>
      <c r="R58" s="4220">
        <v>1580533</v>
      </c>
      <c r="S58" s="4220"/>
      <c r="T58" s="4219">
        <v>14369</v>
      </c>
      <c r="U58" s="5214">
        <v>16052</v>
      </c>
      <c r="V58" s="4222"/>
      <c r="W58" s="4224">
        <v>0</v>
      </c>
      <c r="X58" s="4217">
        <v>431</v>
      </c>
      <c r="Y58" s="4223">
        <v>67</v>
      </c>
      <c r="Z58" s="5215">
        <v>0.61</v>
      </c>
      <c r="AA58" s="5215">
        <v>0.4</v>
      </c>
      <c r="AB58" s="5205">
        <v>0.69120000000000004</v>
      </c>
      <c r="AC58" s="4224">
        <v>499451</v>
      </c>
      <c r="AD58" s="4224"/>
      <c r="AE58" s="4224">
        <v>597833</v>
      </c>
      <c r="AF58" s="4225">
        <v>1000</v>
      </c>
      <c r="AG58" s="4225">
        <v>973.5</v>
      </c>
      <c r="AH58" s="4225">
        <v>0</v>
      </c>
      <c r="AI58" s="4225">
        <v>0</v>
      </c>
      <c r="AJ58" s="4225">
        <v>0</v>
      </c>
      <c r="AK58" s="4225">
        <v>0</v>
      </c>
      <c r="AL58" s="4225">
        <v>0</v>
      </c>
      <c r="AM58" s="4221">
        <v>0</v>
      </c>
      <c r="AN58" s="4226">
        <v>0</v>
      </c>
      <c r="AO58" s="4224"/>
      <c r="AP58" s="4224"/>
      <c r="AQ58" s="4224">
        <v>5919687</v>
      </c>
      <c r="AR58" s="4221">
        <v>0.3</v>
      </c>
      <c r="AS58" s="4217">
        <v>7783582</v>
      </c>
      <c r="AT58" s="5216">
        <v>0</v>
      </c>
      <c r="AU58" s="5216">
        <v>0</v>
      </c>
      <c r="AV58" s="4220">
        <v>5919687</v>
      </c>
      <c r="AW58" s="5243">
        <v>58259</v>
      </c>
      <c r="AX58" s="4224"/>
      <c r="AY58" s="5217">
        <v>1580533</v>
      </c>
      <c r="AZ58" s="4224"/>
      <c r="BA58" s="4224">
        <v>457021</v>
      </c>
      <c r="BB58" s="4224">
        <v>58259</v>
      </c>
      <c r="BC58" s="5218"/>
      <c r="BD58" s="4217">
        <v>0</v>
      </c>
      <c r="BE58" s="4224">
        <v>5924503</v>
      </c>
    </row>
    <row r="59" spans="1:57">
      <c r="A59" s="3810">
        <v>249</v>
      </c>
      <c r="B59" s="4210" t="s">
        <v>453</v>
      </c>
      <c r="C59" s="4211" t="s">
        <v>194</v>
      </c>
      <c r="D59" s="4212">
        <v>25063045</v>
      </c>
      <c r="E59" s="4213">
        <v>21519830</v>
      </c>
      <c r="F59" s="4224">
        <v>25496197</v>
      </c>
      <c r="G59" s="4224">
        <v>21946470</v>
      </c>
      <c r="H59" s="4214">
        <v>868.5</v>
      </c>
      <c r="I59" s="4215">
        <v>866.4</v>
      </c>
      <c r="J59" s="4216">
        <v>22</v>
      </c>
      <c r="K59" s="4217">
        <v>7884344</v>
      </c>
      <c r="L59" s="4225">
        <v>878</v>
      </c>
      <c r="M59" s="4225">
        <v>888.5</v>
      </c>
      <c r="N59" s="4225">
        <v>875.5</v>
      </c>
      <c r="O59" s="4225">
        <v>874.4</v>
      </c>
      <c r="P59" s="4218">
        <v>786951</v>
      </c>
      <c r="Q59" s="4218">
        <v>807642</v>
      </c>
      <c r="R59" s="4220">
        <v>1501977</v>
      </c>
      <c r="S59" s="4220"/>
      <c r="T59" s="4219">
        <v>0</v>
      </c>
      <c r="U59" s="5214">
        <v>0</v>
      </c>
      <c r="V59" s="4222"/>
      <c r="W59" s="4224">
        <v>0</v>
      </c>
      <c r="X59" s="4217">
        <v>319</v>
      </c>
      <c r="Y59" s="4223">
        <v>91</v>
      </c>
      <c r="Z59" s="5215">
        <v>0.69</v>
      </c>
      <c r="AA59" s="5215">
        <v>0.47</v>
      </c>
      <c r="AB59" s="5205">
        <v>0.75739999999999996</v>
      </c>
      <c r="AC59" s="4224">
        <v>454961</v>
      </c>
      <c r="AD59" s="4224"/>
      <c r="AE59" s="4224">
        <v>512111</v>
      </c>
      <c r="AF59" s="4225">
        <v>871</v>
      </c>
      <c r="AG59" s="4225">
        <v>881.5</v>
      </c>
      <c r="AH59" s="4225">
        <v>0</v>
      </c>
      <c r="AI59" s="4225">
        <v>0</v>
      </c>
      <c r="AJ59" s="4225">
        <v>0</v>
      </c>
      <c r="AK59" s="4225">
        <v>0</v>
      </c>
      <c r="AL59" s="4225">
        <v>0</v>
      </c>
      <c r="AM59" s="4221">
        <v>0</v>
      </c>
      <c r="AN59" s="4226">
        <v>0</v>
      </c>
      <c r="AO59" s="4224"/>
      <c r="AP59" s="4224"/>
      <c r="AQ59" s="4224">
        <v>5142046</v>
      </c>
      <c r="AR59" s="4221">
        <v>0.3</v>
      </c>
      <c r="AS59" s="4217">
        <v>6780652</v>
      </c>
      <c r="AT59" s="5216">
        <v>0</v>
      </c>
      <c r="AU59" s="5216">
        <v>0</v>
      </c>
      <c r="AV59" s="4220">
        <v>5142046</v>
      </c>
      <c r="AW59" s="5243">
        <v>47975</v>
      </c>
      <c r="AX59" s="4224"/>
      <c r="AY59" s="5217">
        <v>1501977</v>
      </c>
      <c r="AZ59" s="4224"/>
      <c r="BA59" s="4224">
        <v>390590</v>
      </c>
      <c r="BB59" s="4224">
        <v>47975</v>
      </c>
      <c r="BC59" s="5218"/>
      <c r="BD59" s="4217">
        <v>0</v>
      </c>
      <c r="BE59" s="4224">
        <v>5131945</v>
      </c>
    </row>
    <row r="60" spans="1:57">
      <c r="A60" s="3810">
        <v>250</v>
      </c>
      <c r="B60" s="4210" t="s">
        <v>454</v>
      </c>
      <c r="C60" s="4211" t="s">
        <v>194</v>
      </c>
      <c r="D60" s="4212">
        <v>142615452</v>
      </c>
      <c r="E60" s="4213">
        <v>124537323</v>
      </c>
      <c r="F60" s="4224">
        <v>142637746</v>
      </c>
      <c r="G60" s="4224">
        <v>124574465</v>
      </c>
      <c r="H60" s="4214">
        <v>2851</v>
      </c>
      <c r="I60" s="4215">
        <v>2824.9</v>
      </c>
      <c r="J60" s="4216">
        <v>43</v>
      </c>
      <c r="K60" s="4217">
        <v>23639597</v>
      </c>
      <c r="L60" s="4225">
        <v>2739.4</v>
      </c>
      <c r="M60" s="4225">
        <v>2828.8</v>
      </c>
      <c r="N60" s="4225">
        <v>2873.2</v>
      </c>
      <c r="O60" s="4225">
        <v>2912.1</v>
      </c>
      <c r="P60" s="4218">
        <v>2728157</v>
      </c>
      <c r="Q60" s="4218">
        <v>2616641</v>
      </c>
      <c r="R60" s="4220">
        <v>3497289</v>
      </c>
      <c r="S60" s="4220"/>
      <c r="T60" s="4219">
        <v>1158</v>
      </c>
      <c r="U60" s="5214">
        <v>1260</v>
      </c>
      <c r="V60" s="4222"/>
      <c r="W60" s="4224">
        <v>0</v>
      </c>
      <c r="X60" s="4217">
        <v>1622</v>
      </c>
      <c r="Y60" s="4223">
        <v>207</v>
      </c>
      <c r="Z60" s="5215">
        <v>0.51</v>
      </c>
      <c r="AA60" s="5215">
        <v>0.28999999999999998</v>
      </c>
      <c r="AB60" s="5205">
        <v>0.60099999999999998</v>
      </c>
      <c r="AC60" s="4224">
        <v>1626689</v>
      </c>
      <c r="AD60" s="4224"/>
      <c r="AE60" s="4224">
        <v>1783838</v>
      </c>
      <c r="AF60" s="4225">
        <v>2716.8</v>
      </c>
      <c r="AG60" s="4225">
        <v>2806.8</v>
      </c>
      <c r="AH60" s="4225">
        <v>2.2999999999999998</v>
      </c>
      <c r="AI60" s="4225">
        <v>0</v>
      </c>
      <c r="AJ60" s="4225">
        <v>0</v>
      </c>
      <c r="AK60" s="4225">
        <v>0</v>
      </c>
      <c r="AL60" s="4225">
        <v>0</v>
      </c>
      <c r="AM60" s="4221">
        <v>0</v>
      </c>
      <c r="AN60" s="4226">
        <v>0</v>
      </c>
      <c r="AO60" s="4224"/>
      <c r="AP60" s="4224"/>
      <c r="AQ60" s="4224">
        <v>15869299</v>
      </c>
      <c r="AR60" s="4221">
        <v>0.3</v>
      </c>
      <c r="AS60" s="4217">
        <v>21215732</v>
      </c>
      <c r="AT60" s="5216">
        <v>0</v>
      </c>
      <c r="AU60" s="5216">
        <v>0</v>
      </c>
      <c r="AV60" s="4220">
        <v>15869299</v>
      </c>
      <c r="AW60" s="5243">
        <v>151140</v>
      </c>
      <c r="AX60" s="4224"/>
      <c r="AY60" s="5217">
        <v>3497289</v>
      </c>
      <c r="AZ60" s="4224"/>
      <c r="BA60" s="4224">
        <v>1367557</v>
      </c>
      <c r="BB60" s="4224">
        <v>151140</v>
      </c>
      <c r="BC60" s="5218"/>
      <c r="BD60" s="4217">
        <v>0</v>
      </c>
      <c r="BE60" s="4224">
        <v>16006970</v>
      </c>
    </row>
    <row r="61" spans="1:57">
      <c r="A61" s="3810">
        <v>251</v>
      </c>
      <c r="B61" s="4210" t="s">
        <v>455</v>
      </c>
      <c r="C61" s="4211" t="s">
        <v>195</v>
      </c>
      <c r="D61" s="4212">
        <v>86151624</v>
      </c>
      <c r="E61" s="4213">
        <v>83082963</v>
      </c>
      <c r="F61" s="4224">
        <v>91678794</v>
      </c>
      <c r="G61" s="4224">
        <v>88617628</v>
      </c>
      <c r="H61" s="4214">
        <v>406.1</v>
      </c>
      <c r="I61" s="4215">
        <v>415</v>
      </c>
      <c r="J61" s="4216">
        <v>434</v>
      </c>
      <c r="K61" s="4217">
        <v>3744442</v>
      </c>
      <c r="L61" s="4225">
        <v>428</v>
      </c>
      <c r="M61" s="4225">
        <v>432.8</v>
      </c>
      <c r="N61" s="4225">
        <v>406.1</v>
      </c>
      <c r="O61" s="4225">
        <v>415</v>
      </c>
      <c r="P61" s="4218">
        <v>417197</v>
      </c>
      <c r="Q61" s="4218">
        <v>423321</v>
      </c>
      <c r="R61" s="4220">
        <v>0</v>
      </c>
      <c r="S61" s="4220"/>
      <c r="T61" s="4219">
        <v>859</v>
      </c>
      <c r="U61" s="5214">
        <v>2615</v>
      </c>
      <c r="V61" s="4222"/>
      <c r="W61" s="4224">
        <v>0</v>
      </c>
      <c r="X61" s="4217">
        <v>183</v>
      </c>
      <c r="Y61" s="4223">
        <v>45</v>
      </c>
      <c r="Z61" s="5215">
        <v>0</v>
      </c>
      <c r="AA61" s="5215">
        <v>0</v>
      </c>
      <c r="AB61" s="5205">
        <v>0</v>
      </c>
      <c r="AC61" s="4224">
        <v>285452</v>
      </c>
      <c r="AD61" s="4224"/>
      <c r="AE61" s="4224">
        <v>312870</v>
      </c>
      <c r="AF61" s="4225">
        <v>428</v>
      </c>
      <c r="AG61" s="4225">
        <v>432.8</v>
      </c>
      <c r="AH61" s="4225">
        <v>0</v>
      </c>
      <c r="AI61" s="4225">
        <v>0</v>
      </c>
      <c r="AJ61" s="4225">
        <v>0</v>
      </c>
      <c r="AK61" s="4225">
        <v>0</v>
      </c>
      <c r="AL61" s="4225">
        <v>0</v>
      </c>
      <c r="AM61" s="4221">
        <v>0</v>
      </c>
      <c r="AN61" s="4226">
        <v>0</v>
      </c>
      <c r="AO61" s="4224"/>
      <c r="AP61" s="4224"/>
      <c r="AQ61" s="4224">
        <v>3084487</v>
      </c>
      <c r="AR61" s="4221">
        <v>0.3</v>
      </c>
      <c r="AS61" s="4217">
        <v>4037678</v>
      </c>
      <c r="AT61" s="5216">
        <v>0</v>
      </c>
      <c r="AU61" s="5216">
        <v>0</v>
      </c>
      <c r="AV61" s="4220">
        <v>3084487</v>
      </c>
      <c r="AW61" s="5243">
        <v>0</v>
      </c>
      <c r="AX61" s="4224"/>
      <c r="AY61" s="5217">
        <v>0</v>
      </c>
      <c r="AZ61" s="4224"/>
      <c r="BA61" s="4224">
        <v>239900</v>
      </c>
      <c r="BB61" s="4224">
        <v>0</v>
      </c>
      <c r="BC61" s="5218"/>
      <c r="BD61" s="4217">
        <v>0</v>
      </c>
      <c r="BE61" s="4224">
        <v>3072149</v>
      </c>
    </row>
    <row r="62" spans="1:57">
      <c r="A62" s="3810">
        <v>252</v>
      </c>
      <c r="B62" s="4210" t="s">
        <v>456</v>
      </c>
      <c r="C62" s="4211" t="s">
        <v>195</v>
      </c>
      <c r="D62" s="4212">
        <v>37932284</v>
      </c>
      <c r="E62" s="4213">
        <v>35167405</v>
      </c>
      <c r="F62" s="4224">
        <v>37306362</v>
      </c>
      <c r="G62" s="4224">
        <v>34548254</v>
      </c>
      <c r="H62" s="4214">
        <v>498</v>
      </c>
      <c r="I62" s="4215">
        <v>488.5</v>
      </c>
      <c r="J62" s="4216">
        <v>295</v>
      </c>
      <c r="K62" s="4217">
        <v>4637249</v>
      </c>
      <c r="L62" s="4225">
        <v>511.2</v>
      </c>
      <c r="M62" s="4225">
        <v>518.5</v>
      </c>
      <c r="N62" s="4225">
        <v>502</v>
      </c>
      <c r="O62" s="4225">
        <v>495</v>
      </c>
      <c r="P62" s="4218">
        <v>527639</v>
      </c>
      <c r="Q62" s="4218">
        <v>520958</v>
      </c>
      <c r="R62" s="4220">
        <v>440225</v>
      </c>
      <c r="S62" s="4220"/>
      <c r="T62" s="4219">
        <v>4242</v>
      </c>
      <c r="U62" s="5214">
        <v>2034</v>
      </c>
      <c r="V62" s="4222"/>
      <c r="W62" s="4224">
        <v>0</v>
      </c>
      <c r="X62" s="4217">
        <v>174</v>
      </c>
      <c r="Y62" s="4223">
        <v>61</v>
      </c>
      <c r="Z62" s="5215">
        <v>0.23</v>
      </c>
      <c r="AA62" s="5215">
        <v>0.01</v>
      </c>
      <c r="AB62" s="5205">
        <v>0.37109999999999999</v>
      </c>
      <c r="AC62" s="4224">
        <v>302136</v>
      </c>
      <c r="AD62" s="4224"/>
      <c r="AE62" s="4224">
        <v>339229</v>
      </c>
      <c r="AF62" s="4225">
        <v>508.2</v>
      </c>
      <c r="AG62" s="4225">
        <v>514.5</v>
      </c>
      <c r="AH62" s="4225">
        <v>0</v>
      </c>
      <c r="AI62" s="4225">
        <v>0</v>
      </c>
      <c r="AJ62" s="4225">
        <v>0</v>
      </c>
      <c r="AK62" s="4225">
        <v>0</v>
      </c>
      <c r="AL62" s="4225">
        <v>0</v>
      </c>
      <c r="AM62" s="4221">
        <v>0</v>
      </c>
      <c r="AN62" s="4226">
        <v>0</v>
      </c>
      <c r="AO62" s="4224"/>
      <c r="AP62" s="4224"/>
      <c r="AQ62" s="4224">
        <v>3396890</v>
      </c>
      <c r="AR62" s="4221">
        <v>0.3</v>
      </c>
      <c r="AS62" s="4217">
        <v>4500840</v>
      </c>
      <c r="AT62" s="5216">
        <v>0</v>
      </c>
      <c r="AU62" s="5216">
        <v>0</v>
      </c>
      <c r="AV62" s="4220">
        <v>3396890</v>
      </c>
      <c r="AW62" s="5243">
        <v>35334</v>
      </c>
      <c r="AX62" s="4224"/>
      <c r="AY62" s="5217">
        <v>440225</v>
      </c>
      <c r="AZ62" s="4224"/>
      <c r="BA62" s="4224">
        <v>262952</v>
      </c>
      <c r="BB62" s="4224">
        <v>18207</v>
      </c>
      <c r="BC62" s="5218"/>
      <c r="BD62" s="4217">
        <v>0</v>
      </c>
      <c r="BE62" s="4224">
        <v>3383302</v>
      </c>
    </row>
    <row r="63" spans="1:57">
      <c r="A63" s="3810">
        <v>253</v>
      </c>
      <c r="B63" s="4210" t="s">
        <v>457</v>
      </c>
      <c r="C63" s="4211" t="s">
        <v>195</v>
      </c>
      <c r="D63" s="4212">
        <v>173684114</v>
      </c>
      <c r="E63" s="4213">
        <v>154664216</v>
      </c>
      <c r="F63" s="4224">
        <v>177206016</v>
      </c>
      <c r="G63" s="4224">
        <v>158340152</v>
      </c>
      <c r="H63" s="4214">
        <v>4210.3</v>
      </c>
      <c r="I63" s="4215">
        <v>4317.2</v>
      </c>
      <c r="J63" s="4216">
        <v>135</v>
      </c>
      <c r="K63" s="4217">
        <v>37021143</v>
      </c>
      <c r="L63" s="4225">
        <v>4253.6000000000004</v>
      </c>
      <c r="M63" s="4225">
        <v>4279.8</v>
      </c>
      <c r="N63" s="4225">
        <v>4271.8</v>
      </c>
      <c r="O63" s="4225">
        <v>4379.7</v>
      </c>
      <c r="P63" s="4218">
        <v>3048574</v>
      </c>
      <c r="Q63" s="4218">
        <v>3163937</v>
      </c>
      <c r="R63" s="4220">
        <v>6122818</v>
      </c>
      <c r="S63" s="4220"/>
      <c r="T63" s="4219">
        <v>0</v>
      </c>
      <c r="U63" s="5214">
        <v>0</v>
      </c>
      <c r="V63" s="4222"/>
      <c r="W63" s="4224">
        <v>0</v>
      </c>
      <c r="X63" s="4217">
        <v>2319</v>
      </c>
      <c r="Y63" s="4223">
        <v>523</v>
      </c>
      <c r="Z63" s="5215">
        <v>0.57999999999999996</v>
      </c>
      <c r="AA63" s="5215">
        <v>0.36</v>
      </c>
      <c r="AB63" s="5205">
        <v>0.66549999999999998</v>
      </c>
      <c r="AC63" s="4224">
        <v>3461354</v>
      </c>
      <c r="AD63" s="4224"/>
      <c r="AE63" s="4224">
        <v>3767694</v>
      </c>
      <c r="AF63" s="4225">
        <v>4179.6000000000004</v>
      </c>
      <c r="AG63" s="4225">
        <v>4210.1000000000004</v>
      </c>
      <c r="AH63" s="4225">
        <v>5.3</v>
      </c>
      <c r="AI63" s="4225">
        <v>0</v>
      </c>
      <c r="AJ63" s="4225">
        <v>0</v>
      </c>
      <c r="AK63" s="4225">
        <v>0</v>
      </c>
      <c r="AL63" s="4225">
        <v>0</v>
      </c>
      <c r="AM63" s="4221">
        <v>0</v>
      </c>
      <c r="AN63" s="4226">
        <v>0</v>
      </c>
      <c r="AO63" s="4224"/>
      <c r="AP63" s="4224"/>
      <c r="AQ63" s="4224">
        <v>24691219</v>
      </c>
      <c r="AR63" s="4221">
        <v>0.3</v>
      </c>
      <c r="AS63" s="4217">
        <v>31860405</v>
      </c>
      <c r="AT63" s="5216">
        <v>0</v>
      </c>
      <c r="AU63" s="5216">
        <v>0</v>
      </c>
      <c r="AV63" s="4220">
        <v>24691219</v>
      </c>
      <c r="AW63" s="5243">
        <v>254762</v>
      </c>
      <c r="AX63" s="4224"/>
      <c r="AY63" s="5217">
        <v>6122818</v>
      </c>
      <c r="AZ63" s="4224"/>
      <c r="BA63" s="4224">
        <v>2889404</v>
      </c>
      <c r="BB63" s="4224">
        <v>254762</v>
      </c>
      <c r="BC63" s="5218"/>
      <c r="BD63" s="4217">
        <v>0</v>
      </c>
      <c r="BE63" s="4224">
        <v>24579143</v>
      </c>
    </row>
    <row r="64" spans="1:57">
      <c r="A64" s="3810">
        <v>254</v>
      </c>
      <c r="B64" s="4210" t="s">
        <v>458</v>
      </c>
      <c r="C64" s="4211" t="s">
        <v>196</v>
      </c>
      <c r="D64" s="4212">
        <v>67369134</v>
      </c>
      <c r="E64" s="4213">
        <v>63871976</v>
      </c>
      <c r="F64" s="4224">
        <v>61933229</v>
      </c>
      <c r="G64" s="4224">
        <v>58387397</v>
      </c>
      <c r="H64" s="4214">
        <v>436.5</v>
      </c>
      <c r="I64" s="4215">
        <v>437.5</v>
      </c>
      <c r="J64" s="4216">
        <v>718</v>
      </c>
      <c r="K64" s="4217">
        <v>3647336</v>
      </c>
      <c r="L64" s="4225">
        <v>449</v>
      </c>
      <c r="M64" s="4225">
        <v>449</v>
      </c>
      <c r="N64" s="4225">
        <v>441</v>
      </c>
      <c r="O64" s="4225">
        <v>442.5</v>
      </c>
      <c r="P64" s="4218">
        <v>532011</v>
      </c>
      <c r="Q64" s="4218">
        <v>550614</v>
      </c>
      <c r="R64" s="4220">
        <v>0</v>
      </c>
      <c r="S64" s="4220"/>
      <c r="T64" s="4219">
        <v>0</v>
      </c>
      <c r="U64" s="5214">
        <v>0</v>
      </c>
      <c r="V64" s="4222"/>
      <c r="W64" s="4224">
        <v>0</v>
      </c>
      <c r="X64" s="4217">
        <v>147</v>
      </c>
      <c r="Y64" s="4223">
        <v>75</v>
      </c>
      <c r="Z64" s="5215">
        <v>0</v>
      </c>
      <c r="AA64" s="5215">
        <v>0</v>
      </c>
      <c r="AB64" s="5205">
        <v>0</v>
      </c>
      <c r="AC64" s="4224">
        <v>240714</v>
      </c>
      <c r="AD64" s="4224"/>
      <c r="AE64" s="4224">
        <v>297708</v>
      </c>
      <c r="AF64" s="4225">
        <v>444</v>
      </c>
      <c r="AG64" s="4225">
        <v>446.5</v>
      </c>
      <c r="AH64" s="4225">
        <v>0</v>
      </c>
      <c r="AI64" s="4225">
        <v>0</v>
      </c>
      <c r="AJ64" s="4225">
        <v>0</v>
      </c>
      <c r="AK64" s="4225">
        <v>0</v>
      </c>
      <c r="AL64" s="4225">
        <v>0</v>
      </c>
      <c r="AM64" s="4221">
        <v>0</v>
      </c>
      <c r="AN64" s="4226">
        <v>0</v>
      </c>
      <c r="AO64" s="4224"/>
      <c r="AP64" s="4224"/>
      <c r="AQ64" s="4224">
        <v>2825963</v>
      </c>
      <c r="AR64" s="4221">
        <v>0.3</v>
      </c>
      <c r="AS64" s="4217">
        <v>4025581</v>
      </c>
      <c r="AT64" s="5216">
        <v>0</v>
      </c>
      <c r="AU64" s="5216">
        <v>0</v>
      </c>
      <c r="AV64" s="4220">
        <v>2825963</v>
      </c>
      <c r="AW64" s="5243">
        <v>0</v>
      </c>
      <c r="AX64" s="4224"/>
      <c r="AY64" s="5217">
        <v>0</v>
      </c>
      <c r="AZ64" s="4224"/>
      <c r="BA64" s="4224">
        <v>225589</v>
      </c>
      <c r="BB64" s="4224">
        <v>0</v>
      </c>
      <c r="BC64" s="5218"/>
      <c r="BD64" s="4217">
        <v>0</v>
      </c>
      <c r="BE64" s="4224">
        <v>2814659</v>
      </c>
    </row>
    <row r="65" spans="1:57">
      <c r="A65" s="3810">
        <v>255</v>
      </c>
      <c r="B65" s="4210" t="s">
        <v>459</v>
      </c>
      <c r="C65" s="4211" t="s">
        <v>196</v>
      </c>
      <c r="D65" s="4212">
        <v>106524124</v>
      </c>
      <c r="E65" s="4213">
        <v>104865051</v>
      </c>
      <c r="F65" s="4224">
        <v>64475377</v>
      </c>
      <c r="G65" s="4224">
        <v>62782283</v>
      </c>
      <c r="H65" s="4214">
        <v>223.5</v>
      </c>
      <c r="I65" s="4215">
        <v>223.5</v>
      </c>
      <c r="J65" s="4216">
        <v>425.5</v>
      </c>
      <c r="K65" s="4217">
        <v>1966750</v>
      </c>
      <c r="L65" s="4225">
        <v>221.5</v>
      </c>
      <c r="M65" s="4225">
        <v>237</v>
      </c>
      <c r="N65" s="4225">
        <v>225</v>
      </c>
      <c r="O65" s="4225">
        <v>223.5</v>
      </c>
      <c r="P65" s="4218">
        <v>281933</v>
      </c>
      <c r="Q65" s="4218">
        <v>283554</v>
      </c>
      <c r="R65" s="4220">
        <v>0</v>
      </c>
      <c r="S65" s="4220"/>
      <c r="T65" s="4219">
        <v>0</v>
      </c>
      <c r="U65" s="5214">
        <v>0</v>
      </c>
      <c r="V65" s="4222"/>
      <c r="W65" s="4224">
        <v>0</v>
      </c>
      <c r="X65" s="4217">
        <v>72</v>
      </c>
      <c r="Y65" s="4223">
        <v>32</v>
      </c>
      <c r="Z65" s="5215">
        <v>0</v>
      </c>
      <c r="AA65" s="5215">
        <v>0</v>
      </c>
      <c r="AB65" s="5205">
        <v>0</v>
      </c>
      <c r="AC65" s="4224">
        <v>154382</v>
      </c>
      <c r="AD65" s="4224"/>
      <c r="AE65" s="4224">
        <v>168110</v>
      </c>
      <c r="AF65" s="4225">
        <v>220.5</v>
      </c>
      <c r="AG65" s="4225">
        <v>235</v>
      </c>
      <c r="AH65" s="4225">
        <v>0</v>
      </c>
      <c r="AI65" s="4225">
        <v>0</v>
      </c>
      <c r="AJ65" s="4225">
        <v>0</v>
      </c>
      <c r="AK65" s="4225">
        <v>0</v>
      </c>
      <c r="AL65" s="4225">
        <v>0</v>
      </c>
      <c r="AM65" s="4221">
        <v>0</v>
      </c>
      <c r="AN65" s="4226">
        <v>0</v>
      </c>
      <c r="AO65" s="4224"/>
      <c r="AP65" s="4224"/>
      <c r="AQ65" s="5219">
        <v>1437576</v>
      </c>
      <c r="AR65" s="4221">
        <v>0.3</v>
      </c>
      <c r="AS65" s="4217">
        <v>2292555</v>
      </c>
      <c r="AT65" s="5216">
        <v>0</v>
      </c>
      <c r="AU65" s="5216">
        <v>0</v>
      </c>
      <c r="AV65" s="4220">
        <v>1437576</v>
      </c>
      <c r="AW65" s="5243">
        <v>0</v>
      </c>
      <c r="AX65" s="4224"/>
      <c r="AY65" s="5217">
        <v>0</v>
      </c>
      <c r="AZ65" s="4224"/>
      <c r="BA65" s="4224">
        <v>126847</v>
      </c>
      <c r="BB65" s="4224">
        <v>0</v>
      </c>
      <c r="BC65" s="5218"/>
      <c r="BD65" s="4217">
        <v>242313</v>
      </c>
      <c r="BE65" s="4224">
        <v>1431826</v>
      </c>
    </row>
    <row r="66" spans="1:57">
      <c r="A66" s="3810">
        <v>256</v>
      </c>
      <c r="B66" s="4210" t="s">
        <v>460</v>
      </c>
      <c r="C66" s="4211" t="s">
        <v>197</v>
      </c>
      <c r="D66" s="4212">
        <v>18242538</v>
      </c>
      <c r="E66" s="4213">
        <v>16702602</v>
      </c>
      <c r="F66" s="4224">
        <v>33501822</v>
      </c>
      <c r="G66" s="4224">
        <v>31956911</v>
      </c>
      <c r="H66" s="4214">
        <v>270.5</v>
      </c>
      <c r="I66" s="4215">
        <v>272.5</v>
      </c>
      <c r="J66" s="4216">
        <v>225</v>
      </c>
      <c r="K66" s="4217">
        <v>2987889</v>
      </c>
      <c r="L66" s="4225">
        <v>293.5</v>
      </c>
      <c r="M66" s="4225">
        <v>281.5</v>
      </c>
      <c r="N66" s="4225">
        <v>276.5</v>
      </c>
      <c r="O66" s="4225">
        <v>276.5</v>
      </c>
      <c r="P66" s="4218">
        <v>369965</v>
      </c>
      <c r="Q66" s="4218">
        <v>350401</v>
      </c>
      <c r="R66" s="4220">
        <v>396596</v>
      </c>
      <c r="S66" s="4220"/>
      <c r="T66" s="4219">
        <v>0</v>
      </c>
      <c r="U66" s="5214">
        <v>0</v>
      </c>
      <c r="V66" s="4222"/>
      <c r="W66" s="4224">
        <v>0</v>
      </c>
      <c r="X66" s="4217">
        <v>132</v>
      </c>
      <c r="Y66" s="4223">
        <v>40</v>
      </c>
      <c r="Z66" s="5215">
        <v>0</v>
      </c>
      <c r="AA66" s="5215">
        <v>0</v>
      </c>
      <c r="AB66" s="5205">
        <v>0</v>
      </c>
      <c r="AC66" s="4224">
        <v>171792</v>
      </c>
      <c r="AD66" s="4224"/>
      <c r="AE66" s="4224">
        <v>186755</v>
      </c>
      <c r="AF66" s="4225">
        <v>288</v>
      </c>
      <c r="AG66" s="4225">
        <v>277</v>
      </c>
      <c r="AH66" s="4225">
        <v>0</v>
      </c>
      <c r="AI66" s="4225">
        <v>0</v>
      </c>
      <c r="AJ66" s="4225">
        <v>0</v>
      </c>
      <c r="AK66" s="4225">
        <v>0</v>
      </c>
      <c r="AL66" s="4225">
        <v>0</v>
      </c>
      <c r="AM66" s="4221">
        <v>0</v>
      </c>
      <c r="AN66" s="4226">
        <v>0</v>
      </c>
      <c r="AO66" s="4224"/>
      <c r="AP66" s="4224"/>
      <c r="AQ66" s="4224">
        <v>2104202</v>
      </c>
      <c r="AR66" s="4221">
        <v>0.2979</v>
      </c>
      <c r="AS66" s="4217">
        <v>2897371</v>
      </c>
      <c r="AT66" s="5216">
        <v>0</v>
      </c>
      <c r="AU66" s="5216">
        <v>0</v>
      </c>
      <c r="AV66" s="4220">
        <v>2104202</v>
      </c>
      <c r="AW66" s="5243">
        <v>0</v>
      </c>
      <c r="AX66" s="4224"/>
      <c r="AY66" s="5217">
        <v>396596</v>
      </c>
      <c r="AZ66" s="4224"/>
      <c r="BA66" s="4224">
        <v>143729</v>
      </c>
      <c r="BB66" s="4224">
        <v>0</v>
      </c>
      <c r="BC66" s="5218"/>
      <c r="BD66" s="4217">
        <v>0</v>
      </c>
      <c r="BE66" s="4224">
        <v>2095785</v>
      </c>
    </row>
    <row r="67" spans="1:57">
      <c r="A67" s="3810">
        <v>257</v>
      </c>
      <c r="B67" s="4210" t="s">
        <v>461</v>
      </c>
      <c r="C67" s="4211" t="s">
        <v>197</v>
      </c>
      <c r="D67" s="4212">
        <v>51266281</v>
      </c>
      <c r="E67" s="4213">
        <v>43632077</v>
      </c>
      <c r="F67" s="4224">
        <v>51567607</v>
      </c>
      <c r="G67" s="4224">
        <v>43872724</v>
      </c>
      <c r="H67" s="4214">
        <v>1251.3</v>
      </c>
      <c r="I67" s="4215">
        <v>1220</v>
      </c>
      <c r="J67" s="4216">
        <v>140.5</v>
      </c>
      <c r="K67" s="4217">
        <v>11891110</v>
      </c>
      <c r="L67" s="4225">
        <v>1275</v>
      </c>
      <c r="M67" s="4225">
        <v>1272.5</v>
      </c>
      <c r="N67" s="4225">
        <v>1263.3</v>
      </c>
      <c r="O67" s="4225">
        <v>1259.7</v>
      </c>
      <c r="P67" s="4218">
        <v>1577162</v>
      </c>
      <c r="Q67" s="4218">
        <v>1512901</v>
      </c>
      <c r="R67" s="4220">
        <v>1998857</v>
      </c>
      <c r="S67" s="4220"/>
      <c r="T67" s="4219">
        <v>0</v>
      </c>
      <c r="U67" s="5214">
        <v>0</v>
      </c>
      <c r="V67" s="4222"/>
      <c r="W67" s="4224">
        <v>0</v>
      </c>
      <c r="X67" s="4217">
        <v>682</v>
      </c>
      <c r="Y67" s="4223">
        <v>149</v>
      </c>
      <c r="Z67" s="5215">
        <v>0.57999999999999996</v>
      </c>
      <c r="AA67" s="5215">
        <v>0.36</v>
      </c>
      <c r="AB67" s="5205">
        <v>0.66220000000000001</v>
      </c>
      <c r="AC67" s="4224">
        <v>718765</v>
      </c>
      <c r="AD67" s="4224"/>
      <c r="AE67" s="4224">
        <v>810802</v>
      </c>
      <c r="AF67" s="4225">
        <v>1257</v>
      </c>
      <c r="AG67" s="4225">
        <v>1258.5</v>
      </c>
      <c r="AH67" s="4225">
        <v>0</v>
      </c>
      <c r="AI67" s="4225">
        <v>0</v>
      </c>
      <c r="AJ67" s="4225">
        <v>0</v>
      </c>
      <c r="AK67" s="4225">
        <v>0</v>
      </c>
      <c r="AL67" s="4225">
        <v>0</v>
      </c>
      <c r="AM67" s="4221">
        <v>0</v>
      </c>
      <c r="AN67" s="4226">
        <v>0</v>
      </c>
      <c r="AO67" s="4224"/>
      <c r="AP67" s="4224"/>
      <c r="AQ67" s="4224">
        <v>7505180</v>
      </c>
      <c r="AR67" s="4221">
        <v>0.3</v>
      </c>
      <c r="AS67" s="4217">
        <v>10502939</v>
      </c>
      <c r="AT67" s="5216">
        <v>0</v>
      </c>
      <c r="AU67" s="5216">
        <v>0</v>
      </c>
      <c r="AV67" s="4220">
        <v>7505180</v>
      </c>
      <c r="AW67" s="5243">
        <v>146219</v>
      </c>
      <c r="AX67" s="4224"/>
      <c r="AY67" s="5217">
        <v>1998857</v>
      </c>
      <c r="AZ67" s="4224"/>
      <c r="BA67" s="4224">
        <v>621078</v>
      </c>
      <c r="BB67" s="4224">
        <v>146219</v>
      </c>
      <c r="BC67" s="5218"/>
      <c r="BD67" s="4217">
        <v>0</v>
      </c>
      <c r="BE67" s="4224">
        <v>7610611</v>
      </c>
    </row>
    <row r="68" spans="1:57">
      <c r="A68" s="3810">
        <v>258</v>
      </c>
      <c r="B68" s="4210" t="s">
        <v>462</v>
      </c>
      <c r="C68" s="4211" t="s">
        <v>197</v>
      </c>
      <c r="D68" s="4212">
        <v>29415331</v>
      </c>
      <c r="E68" s="4213">
        <v>26771582</v>
      </c>
      <c r="F68" s="4224">
        <v>55027412</v>
      </c>
      <c r="G68" s="4224">
        <v>52366819</v>
      </c>
      <c r="H68" s="4214">
        <v>569</v>
      </c>
      <c r="I68" s="4215">
        <v>584</v>
      </c>
      <c r="J68" s="4216">
        <v>126</v>
      </c>
      <c r="K68" s="4217">
        <v>6603255</v>
      </c>
      <c r="L68" s="4225">
        <v>686.4</v>
      </c>
      <c r="M68" s="4225">
        <v>739.5</v>
      </c>
      <c r="N68" s="4225">
        <v>763.5</v>
      </c>
      <c r="O68" s="4225">
        <v>846.4</v>
      </c>
      <c r="P68" s="4218">
        <v>700004</v>
      </c>
      <c r="Q68" s="4218">
        <v>657958</v>
      </c>
      <c r="R68" s="4220">
        <v>992165</v>
      </c>
      <c r="S68" s="4220"/>
      <c r="T68" s="4219">
        <v>0</v>
      </c>
      <c r="U68" s="5214">
        <v>0</v>
      </c>
      <c r="V68" s="4222"/>
      <c r="W68" s="4224">
        <v>0</v>
      </c>
      <c r="X68" s="4217">
        <v>237</v>
      </c>
      <c r="Y68" s="4223">
        <v>106</v>
      </c>
      <c r="Z68" s="5215">
        <v>0.34</v>
      </c>
      <c r="AA68" s="5215">
        <v>0.12</v>
      </c>
      <c r="AB68" s="5205">
        <v>0.45910000000000001</v>
      </c>
      <c r="AC68" s="4224">
        <v>388592</v>
      </c>
      <c r="AD68" s="4224"/>
      <c r="AE68" s="4224">
        <v>439577</v>
      </c>
      <c r="AF68" s="4225">
        <v>555.5</v>
      </c>
      <c r="AG68" s="4225">
        <v>586.6</v>
      </c>
      <c r="AH68" s="4225">
        <v>197.9</v>
      </c>
      <c r="AI68" s="4225">
        <v>0</v>
      </c>
      <c r="AJ68" s="4225">
        <v>0</v>
      </c>
      <c r="AK68" s="4225">
        <v>0</v>
      </c>
      <c r="AL68" s="4225">
        <v>0</v>
      </c>
      <c r="AM68" s="4221">
        <v>0</v>
      </c>
      <c r="AN68" s="4226">
        <v>0</v>
      </c>
      <c r="AO68" s="4224"/>
      <c r="AP68" s="4224"/>
      <c r="AQ68" s="4224">
        <v>4485130</v>
      </c>
      <c r="AR68" s="4221">
        <v>0.3</v>
      </c>
      <c r="AS68" s="4217">
        <v>5050365</v>
      </c>
      <c r="AT68" s="5216">
        <v>0</v>
      </c>
      <c r="AU68" s="5216">
        <v>0</v>
      </c>
      <c r="AV68" s="4220">
        <v>4485130</v>
      </c>
      <c r="AW68" s="5243">
        <v>89001</v>
      </c>
      <c r="AX68" s="4224"/>
      <c r="AY68" s="5217">
        <v>992165</v>
      </c>
      <c r="AZ68" s="4224"/>
      <c r="BA68" s="4224">
        <v>338876</v>
      </c>
      <c r="BB68" s="4224">
        <v>89001</v>
      </c>
      <c r="BC68" s="5218"/>
      <c r="BD68" s="4217">
        <v>0</v>
      </c>
      <c r="BE68" s="4224">
        <v>4524744</v>
      </c>
    </row>
    <row r="69" spans="1:57">
      <c r="A69" s="3810">
        <v>259</v>
      </c>
      <c r="B69" s="4210" t="s">
        <v>463</v>
      </c>
      <c r="C69" s="4211" t="s">
        <v>198</v>
      </c>
      <c r="D69" s="4212">
        <v>2596344151</v>
      </c>
      <c r="E69" s="4213">
        <v>2349526283</v>
      </c>
      <c r="F69" s="4224">
        <v>2624142416</v>
      </c>
      <c r="G69" s="4224">
        <v>2377721359</v>
      </c>
      <c r="H69" s="4214">
        <v>46108.1</v>
      </c>
      <c r="I69" s="4215">
        <v>46003.7</v>
      </c>
      <c r="J69" s="4216">
        <v>151</v>
      </c>
      <c r="K69" s="4217">
        <v>415740277</v>
      </c>
      <c r="L69" s="4225">
        <v>46494.2</v>
      </c>
      <c r="M69" s="4225">
        <v>47038.3</v>
      </c>
      <c r="N69" s="4225">
        <v>47254.400000000001</v>
      </c>
      <c r="O69" s="4225">
        <v>47402</v>
      </c>
      <c r="P69" s="4218">
        <v>44536008</v>
      </c>
      <c r="Q69" s="4218">
        <v>44276340</v>
      </c>
      <c r="R69" s="4220">
        <v>54559901</v>
      </c>
      <c r="S69" s="4220"/>
      <c r="T69" s="4219">
        <v>35508</v>
      </c>
      <c r="U69" s="5214">
        <v>35486</v>
      </c>
      <c r="V69" s="4222"/>
      <c r="W69" s="4224">
        <v>366804</v>
      </c>
      <c r="X69" s="4217">
        <v>33171</v>
      </c>
      <c r="Y69" s="4223">
        <v>3874</v>
      </c>
      <c r="Z69" s="5215">
        <v>0.44</v>
      </c>
      <c r="AA69" s="5215">
        <v>0.22</v>
      </c>
      <c r="AB69" s="5205">
        <v>0.54249999999999998</v>
      </c>
      <c r="AC69" s="4224">
        <v>32856215</v>
      </c>
      <c r="AD69" s="4224"/>
      <c r="AE69" s="4224">
        <v>37088065</v>
      </c>
      <c r="AF69" s="4225">
        <v>45287.9</v>
      </c>
      <c r="AG69" s="4225">
        <v>45888.3</v>
      </c>
      <c r="AH69" s="4225">
        <v>199.8</v>
      </c>
      <c r="AI69" s="4225">
        <v>0</v>
      </c>
      <c r="AJ69" s="4225">
        <v>0</v>
      </c>
      <c r="AK69" s="4225">
        <v>0</v>
      </c>
      <c r="AL69" s="4225">
        <v>229.7</v>
      </c>
      <c r="AM69" s="4221">
        <v>0</v>
      </c>
      <c r="AN69" s="4226">
        <v>0</v>
      </c>
      <c r="AO69" s="4224"/>
      <c r="AP69" s="4224"/>
      <c r="AQ69" s="4224">
        <v>280523697</v>
      </c>
      <c r="AR69" s="4221">
        <v>0.3</v>
      </c>
      <c r="AS69" s="4217">
        <v>371231551</v>
      </c>
      <c r="AT69" s="5216">
        <v>0</v>
      </c>
      <c r="AU69" s="5216">
        <v>0</v>
      </c>
      <c r="AV69" s="4220">
        <v>280523697</v>
      </c>
      <c r="AW69" s="5243">
        <v>4525512</v>
      </c>
      <c r="AX69" s="4224"/>
      <c r="AY69" s="5217">
        <v>54559901</v>
      </c>
      <c r="AZ69" s="4224"/>
      <c r="BA69" s="4224">
        <v>28659751</v>
      </c>
      <c r="BB69" s="4224">
        <v>4525512</v>
      </c>
      <c r="BC69" s="5218"/>
      <c r="BD69" s="4217">
        <v>0</v>
      </c>
      <c r="BE69" s="4224">
        <v>279639018</v>
      </c>
    </row>
    <row r="70" spans="1:57">
      <c r="A70" s="3810">
        <v>260</v>
      </c>
      <c r="B70" s="4210" t="s">
        <v>464</v>
      </c>
      <c r="C70" s="4211" t="s">
        <v>198</v>
      </c>
      <c r="D70" s="4212">
        <v>392727553</v>
      </c>
      <c r="E70" s="4213">
        <v>366264809</v>
      </c>
      <c r="F70" s="4224">
        <v>388230280</v>
      </c>
      <c r="G70" s="4224">
        <v>361743900</v>
      </c>
      <c r="H70" s="5198">
        <v>6406.2</v>
      </c>
      <c r="I70" s="4215">
        <v>6424.8</v>
      </c>
      <c r="J70" s="4216">
        <v>50</v>
      </c>
      <c r="K70" s="4217">
        <v>48064672</v>
      </c>
      <c r="L70" s="4225">
        <v>6356</v>
      </c>
      <c r="M70" s="4225">
        <v>6426.3</v>
      </c>
      <c r="N70" s="4225">
        <v>6448.4</v>
      </c>
      <c r="O70" s="4225">
        <v>6458.7</v>
      </c>
      <c r="P70" s="4218">
        <v>4992405</v>
      </c>
      <c r="Q70" s="4218">
        <v>5245591</v>
      </c>
      <c r="R70" s="4220">
        <v>5537150</v>
      </c>
      <c r="S70" s="4220"/>
      <c r="T70" s="4219">
        <v>19972</v>
      </c>
      <c r="U70" s="5214">
        <v>19220</v>
      </c>
      <c r="V70" s="4222"/>
      <c r="W70" s="4224">
        <v>0</v>
      </c>
      <c r="X70" s="4217">
        <v>2541</v>
      </c>
      <c r="Y70" s="4223">
        <v>819</v>
      </c>
      <c r="Z70" s="5215">
        <v>0.38</v>
      </c>
      <c r="AA70" s="5215">
        <v>0.16</v>
      </c>
      <c r="AB70" s="5205">
        <v>0.49840000000000001</v>
      </c>
      <c r="AC70" s="4224">
        <v>3550513</v>
      </c>
      <c r="AD70" s="4224"/>
      <c r="AE70" s="4224">
        <v>4705814</v>
      </c>
      <c r="AF70" s="4225">
        <v>6296.4</v>
      </c>
      <c r="AG70" s="4225">
        <v>6382.1</v>
      </c>
      <c r="AH70" s="4225">
        <v>18.600000000000001</v>
      </c>
      <c r="AI70" s="4225">
        <v>0</v>
      </c>
      <c r="AJ70" s="4225">
        <v>0</v>
      </c>
      <c r="AK70" s="4225">
        <v>0</v>
      </c>
      <c r="AL70" s="4225">
        <v>47.4</v>
      </c>
      <c r="AM70" s="4221">
        <v>0</v>
      </c>
      <c r="AN70" s="4226">
        <v>131347</v>
      </c>
      <c r="AO70" s="4224"/>
      <c r="AP70" s="4224"/>
      <c r="AQ70" s="4224">
        <v>32081651</v>
      </c>
      <c r="AR70" s="4221">
        <v>0.3</v>
      </c>
      <c r="AS70" s="4217">
        <v>42558625</v>
      </c>
      <c r="AT70" s="5216">
        <v>0</v>
      </c>
      <c r="AU70" s="5216">
        <v>0</v>
      </c>
      <c r="AV70" s="4220">
        <v>32081651</v>
      </c>
      <c r="AW70" s="5243">
        <v>392870</v>
      </c>
      <c r="AX70" s="4224"/>
      <c r="AY70" s="5217">
        <v>5537150</v>
      </c>
      <c r="AZ70" s="4224"/>
      <c r="BA70" s="4224">
        <v>3720313</v>
      </c>
      <c r="BB70" s="4224">
        <v>354279</v>
      </c>
      <c r="BC70" s="5218"/>
      <c r="BD70" s="4217">
        <v>0</v>
      </c>
      <c r="BE70" s="4224">
        <v>32984514</v>
      </c>
    </row>
    <row r="71" spans="1:57">
      <c r="A71" s="3810">
        <v>261</v>
      </c>
      <c r="B71" s="4210" t="s">
        <v>465</v>
      </c>
      <c r="C71" s="4211" t="s">
        <v>198</v>
      </c>
      <c r="D71" s="4212">
        <v>136251386</v>
      </c>
      <c r="E71" s="4213">
        <v>117073583</v>
      </c>
      <c r="F71" s="4224">
        <v>138010377</v>
      </c>
      <c r="G71" s="4224">
        <v>118865117</v>
      </c>
      <c r="H71" s="4214">
        <v>5122.3999999999996</v>
      </c>
      <c r="I71" s="4215">
        <v>5164.8999999999996</v>
      </c>
      <c r="J71" s="4216">
        <v>36</v>
      </c>
      <c r="K71" s="4217">
        <v>44263065</v>
      </c>
      <c r="L71" s="4225">
        <v>5069.1000000000004</v>
      </c>
      <c r="M71" s="4225">
        <v>5088</v>
      </c>
      <c r="N71" s="4225">
        <v>5196.8999999999996</v>
      </c>
      <c r="O71" s="4225">
        <v>5237.8999999999996</v>
      </c>
      <c r="P71" s="4218">
        <v>4736042</v>
      </c>
      <c r="Q71" s="4218">
        <v>4946890</v>
      </c>
      <c r="R71" s="4220">
        <v>8318036</v>
      </c>
      <c r="S71" s="4220"/>
      <c r="T71" s="4219">
        <v>16630</v>
      </c>
      <c r="U71" s="5214">
        <v>13279</v>
      </c>
      <c r="V71" s="4222"/>
      <c r="W71" s="4224">
        <v>0</v>
      </c>
      <c r="X71" s="4217">
        <v>2543</v>
      </c>
      <c r="Y71" s="4223">
        <v>580</v>
      </c>
      <c r="Z71" s="5215">
        <v>0.72</v>
      </c>
      <c r="AA71" s="5215">
        <v>0.5</v>
      </c>
      <c r="AB71" s="5205">
        <v>0.78080000000000005</v>
      </c>
      <c r="AC71" s="4224">
        <v>3304831</v>
      </c>
      <c r="AD71" s="4224"/>
      <c r="AE71" s="4224">
        <v>3878644</v>
      </c>
      <c r="AF71" s="4225">
        <v>4996.6000000000004</v>
      </c>
      <c r="AG71" s="4225">
        <v>5013.5</v>
      </c>
      <c r="AH71" s="4225">
        <v>0</v>
      </c>
      <c r="AI71" s="4225">
        <v>0</v>
      </c>
      <c r="AJ71" s="4225">
        <v>0</v>
      </c>
      <c r="AK71" s="4225">
        <v>0</v>
      </c>
      <c r="AL71" s="4225">
        <v>0</v>
      </c>
      <c r="AM71" s="4221">
        <v>0</v>
      </c>
      <c r="AN71" s="4226">
        <v>0</v>
      </c>
      <c r="AO71" s="4224"/>
      <c r="AP71" s="4224"/>
      <c r="AQ71" s="4224">
        <v>27609319</v>
      </c>
      <c r="AR71" s="4221">
        <v>0.3</v>
      </c>
      <c r="AS71" s="4217">
        <v>36918566</v>
      </c>
      <c r="AT71" s="5216">
        <v>0</v>
      </c>
      <c r="AU71" s="5216">
        <v>0</v>
      </c>
      <c r="AV71" s="4220">
        <v>27609319</v>
      </c>
      <c r="AW71" s="5243">
        <v>540595</v>
      </c>
      <c r="AX71" s="4224"/>
      <c r="AY71" s="5217">
        <v>8318036</v>
      </c>
      <c r="AZ71" s="4224"/>
      <c r="BA71" s="4224">
        <v>2955416</v>
      </c>
      <c r="BB71" s="4224">
        <v>540595</v>
      </c>
      <c r="BC71" s="5218"/>
      <c r="BD71" s="4217">
        <v>0</v>
      </c>
      <c r="BE71" s="4224">
        <v>27498882</v>
      </c>
    </row>
    <row r="72" spans="1:57">
      <c r="A72" s="3810">
        <v>262</v>
      </c>
      <c r="B72" s="4210" t="s">
        <v>466</v>
      </c>
      <c r="C72" s="4211" t="s">
        <v>198</v>
      </c>
      <c r="D72" s="4212">
        <v>120381723</v>
      </c>
      <c r="E72" s="4213">
        <v>108242493</v>
      </c>
      <c r="F72" s="4224">
        <v>122293832</v>
      </c>
      <c r="G72" s="4224">
        <v>110086645</v>
      </c>
      <c r="H72" s="4214">
        <v>2624.4</v>
      </c>
      <c r="I72" s="4215">
        <v>2665.4</v>
      </c>
      <c r="J72" s="4216">
        <v>83</v>
      </c>
      <c r="K72" s="4217">
        <v>20230329</v>
      </c>
      <c r="L72" s="4225">
        <v>2601</v>
      </c>
      <c r="M72" s="4225">
        <v>2651.5</v>
      </c>
      <c r="N72" s="4225">
        <v>2707.5</v>
      </c>
      <c r="O72" s="4225">
        <v>2750.2</v>
      </c>
      <c r="P72" s="4218">
        <v>2467764</v>
      </c>
      <c r="Q72" s="4218">
        <v>2478302</v>
      </c>
      <c r="R72" s="4220">
        <v>3132525</v>
      </c>
      <c r="S72" s="4220"/>
      <c r="T72" s="4219">
        <v>13638</v>
      </c>
      <c r="U72" s="5214">
        <v>0</v>
      </c>
      <c r="V72" s="4222"/>
      <c r="W72" s="4224">
        <v>0</v>
      </c>
      <c r="X72" s="4217">
        <v>951</v>
      </c>
      <c r="Y72" s="4223">
        <v>267</v>
      </c>
      <c r="Z72" s="5215">
        <v>0.54</v>
      </c>
      <c r="AA72" s="5215">
        <v>0.32</v>
      </c>
      <c r="AB72" s="5205">
        <v>0.62890000000000001</v>
      </c>
      <c r="AC72" s="4224">
        <v>1286549</v>
      </c>
      <c r="AD72" s="4224"/>
      <c r="AE72" s="4224">
        <v>1445860</v>
      </c>
      <c r="AF72" s="4225">
        <v>2536.9</v>
      </c>
      <c r="AG72" s="4225">
        <v>2584.5</v>
      </c>
      <c r="AH72" s="4225">
        <v>70.5</v>
      </c>
      <c r="AI72" s="4225">
        <v>0</v>
      </c>
      <c r="AJ72" s="4225">
        <v>0</v>
      </c>
      <c r="AK72" s="4225">
        <v>0</v>
      </c>
      <c r="AL72" s="4225">
        <v>0</v>
      </c>
      <c r="AM72" s="4221">
        <v>0</v>
      </c>
      <c r="AN72" s="4226">
        <v>0</v>
      </c>
      <c r="AO72" s="4224"/>
      <c r="AP72" s="4224"/>
      <c r="AQ72" s="4224">
        <v>13362223</v>
      </c>
      <c r="AR72" s="4221">
        <v>0.3</v>
      </c>
      <c r="AS72" s="4217">
        <v>17737805</v>
      </c>
      <c r="AT72" s="5216">
        <v>0</v>
      </c>
      <c r="AU72" s="5216">
        <v>0</v>
      </c>
      <c r="AV72" s="4220">
        <v>13362223</v>
      </c>
      <c r="AW72" s="5243">
        <v>250240</v>
      </c>
      <c r="AX72" s="4224"/>
      <c r="AY72" s="5217">
        <v>3132525</v>
      </c>
      <c r="AZ72" s="4224"/>
      <c r="BA72" s="4224">
        <v>1110039</v>
      </c>
      <c r="BB72" s="4224">
        <v>250240</v>
      </c>
      <c r="BC72" s="5218"/>
      <c r="BD72" s="4217">
        <v>0</v>
      </c>
      <c r="BE72" s="4224">
        <v>13228997</v>
      </c>
    </row>
    <row r="73" spans="1:57">
      <c r="A73" s="3810">
        <v>263</v>
      </c>
      <c r="B73" s="4210" t="s">
        <v>467</v>
      </c>
      <c r="C73" s="4211" t="s">
        <v>198</v>
      </c>
      <c r="D73" s="4212">
        <v>105517734</v>
      </c>
      <c r="E73" s="4213">
        <v>96938506</v>
      </c>
      <c r="F73" s="4224">
        <v>114090192</v>
      </c>
      <c r="G73" s="4224">
        <v>105478738</v>
      </c>
      <c r="H73" s="4214">
        <v>1732.9</v>
      </c>
      <c r="I73" s="4215">
        <v>1679.3</v>
      </c>
      <c r="J73" s="4216">
        <v>82.4</v>
      </c>
      <c r="K73" s="4217">
        <v>12075789</v>
      </c>
      <c r="L73" s="4225">
        <v>1751.9</v>
      </c>
      <c r="M73" s="4225">
        <v>1756.6</v>
      </c>
      <c r="N73" s="4225">
        <v>1747.9</v>
      </c>
      <c r="O73" s="4225">
        <v>1716.8</v>
      </c>
      <c r="P73" s="4218">
        <v>1469990</v>
      </c>
      <c r="Q73" s="4218">
        <v>1517930</v>
      </c>
      <c r="R73" s="4220">
        <v>1136888</v>
      </c>
      <c r="S73" s="4220"/>
      <c r="T73" s="4219">
        <v>0</v>
      </c>
      <c r="U73" s="5214">
        <v>0</v>
      </c>
      <c r="V73" s="4222"/>
      <c r="W73" s="4224">
        <v>0</v>
      </c>
      <c r="X73" s="4217">
        <v>552</v>
      </c>
      <c r="Y73" s="4223">
        <v>228</v>
      </c>
      <c r="Z73" s="5215">
        <v>0.32</v>
      </c>
      <c r="AA73" s="5215">
        <v>0.1</v>
      </c>
      <c r="AB73" s="5205">
        <v>0.44690000000000002</v>
      </c>
      <c r="AC73" s="4224">
        <v>1074620</v>
      </c>
      <c r="AD73" s="4224"/>
      <c r="AE73" s="4224">
        <v>1197467</v>
      </c>
      <c r="AF73" s="4225">
        <v>1736.9</v>
      </c>
      <c r="AG73" s="4225">
        <v>1741.6</v>
      </c>
      <c r="AH73" s="4225">
        <v>0</v>
      </c>
      <c r="AI73" s="4225">
        <v>0</v>
      </c>
      <c r="AJ73" s="4225">
        <v>0</v>
      </c>
      <c r="AK73" s="4225">
        <v>0</v>
      </c>
      <c r="AL73" s="4225">
        <v>22.6</v>
      </c>
      <c r="AM73" s="4221">
        <v>0</v>
      </c>
      <c r="AN73" s="4226">
        <v>0</v>
      </c>
      <c r="AO73" s="4224"/>
      <c r="AP73" s="4224"/>
      <c r="AQ73" s="4224">
        <v>8494069</v>
      </c>
      <c r="AR73" s="4221">
        <v>0.3</v>
      </c>
      <c r="AS73" s="4217">
        <v>11371787</v>
      </c>
      <c r="AT73" s="5216">
        <v>0</v>
      </c>
      <c r="AU73" s="5216">
        <v>0</v>
      </c>
      <c r="AV73" s="4220">
        <v>8494069</v>
      </c>
      <c r="AW73" s="5243">
        <v>77229</v>
      </c>
      <c r="AX73" s="4224"/>
      <c r="AY73" s="5217">
        <v>1136888</v>
      </c>
      <c r="AZ73" s="4224"/>
      <c r="BA73" s="4224">
        <v>904206</v>
      </c>
      <c r="BB73" s="4224">
        <v>44318</v>
      </c>
      <c r="BC73" s="5218"/>
      <c r="BD73" s="4217">
        <v>0</v>
      </c>
      <c r="BE73" s="4224">
        <v>8472238</v>
      </c>
    </row>
    <row r="74" spans="1:57">
      <c r="A74" s="3810">
        <v>264</v>
      </c>
      <c r="B74" s="4210" t="s">
        <v>468</v>
      </c>
      <c r="C74" s="4211" t="s">
        <v>198</v>
      </c>
      <c r="D74" s="4212">
        <v>59568216</v>
      </c>
      <c r="E74" s="4213">
        <v>54639972</v>
      </c>
      <c r="F74" s="4224">
        <v>59576252</v>
      </c>
      <c r="G74" s="4224">
        <v>54655818</v>
      </c>
      <c r="H74" s="4214">
        <v>1129.8</v>
      </c>
      <c r="I74" s="4215">
        <v>1079.5</v>
      </c>
      <c r="J74" s="4216">
        <v>136</v>
      </c>
      <c r="K74" s="4217">
        <v>9315492</v>
      </c>
      <c r="L74" s="4225">
        <v>1139.3</v>
      </c>
      <c r="M74" s="4225">
        <v>1131.5999999999999</v>
      </c>
      <c r="N74" s="4225">
        <v>1132.8</v>
      </c>
      <c r="O74" s="4225">
        <v>1130.5</v>
      </c>
      <c r="P74" s="4218">
        <v>1099846</v>
      </c>
      <c r="Q74" s="4218">
        <v>1087721</v>
      </c>
      <c r="R74" s="4220">
        <v>1319222</v>
      </c>
      <c r="S74" s="4220"/>
      <c r="T74" s="4219">
        <v>0</v>
      </c>
      <c r="U74" s="5214">
        <v>0</v>
      </c>
      <c r="V74" s="4222"/>
      <c r="W74" s="4224">
        <v>0</v>
      </c>
      <c r="X74" s="4217">
        <v>270</v>
      </c>
      <c r="Y74" s="4223">
        <v>98</v>
      </c>
      <c r="Z74" s="5215">
        <v>0.46</v>
      </c>
      <c r="AA74" s="5215">
        <v>0.24</v>
      </c>
      <c r="AB74" s="5205">
        <v>0.56030000000000002</v>
      </c>
      <c r="AC74" s="4224">
        <v>603358</v>
      </c>
      <c r="AD74" s="4224"/>
      <c r="AE74" s="4224">
        <v>656568</v>
      </c>
      <c r="AF74" s="4225">
        <v>1136.3</v>
      </c>
      <c r="AG74" s="4225">
        <v>1128.5999999999999</v>
      </c>
      <c r="AH74" s="4225">
        <v>0</v>
      </c>
      <c r="AI74" s="4225">
        <v>0</v>
      </c>
      <c r="AJ74" s="4225">
        <v>0</v>
      </c>
      <c r="AK74" s="4225">
        <v>0</v>
      </c>
      <c r="AL74" s="4225">
        <v>0</v>
      </c>
      <c r="AM74" s="4221">
        <v>0</v>
      </c>
      <c r="AN74" s="4226">
        <v>0</v>
      </c>
      <c r="AO74" s="4224"/>
      <c r="AP74" s="4224"/>
      <c r="AQ74" s="4224">
        <v>6118683</v>
      </c>
      <c r="AR74" s="4221">
        <v>0.3</v>
      </c>
      <c r="AS74" s="4217">
        <v>8239318</v>
      </c>
      <c r="AT74" s="5216">
        <v>0</v>
      </c>
      <c r="AU74" s="5216">
        <v>0</v>
      </c>
      <c r="AV74" s="4220">
        <v>6118683</v>
      </c>
      <c r="AW74" s="5243">
        <v>119091</v>
      </c>
      <c r="AX74" s="4224"/>
      <c r="AY74" s="5217">
        <v>1319222</v>
      </c>
      <c r="AZ74" s="4224"/>
      <c r="BA74" s="4224">
        <v>501770</v>
      </c>
      <c r="BB74" s="4224">
        <v>119091</v>
      </c>
      <c r="BC74" s="5218"/>
      <c r="BD74" s="4217">
        <v>0</v>
      </c>
      <c r="BE74" s="4224">
        <v>6182843</v>
      </c>
    </row>
    <row r="75" spans="1:57">
      <c r="A75" s="3810">
        <v>265</v>
      </c>
      <c r="B75" s="4210" t="s">
        <v>469</v>
      </c>
      <c r="C75" s="4211" t="s">
        <v>198</v>
      </c>
      <c r="D75" s="4212">
        <v>238063778</v>
      </c>
      <c r="E75" s="4213">
        <v>216055936</v>
      </c>
      <c r="F75" s="4224">
        <v>243321990</v>
      </c>
      <c r="G75" s="4224">
        <v>221033798</v>
      </c>
      <c r="H75" s="4214">
        <v>5174.8999999999996</v>
      </c>
      <c r="I75" s="4215">
        <v>5259</v>
      </c>
      <c r="J75" s="4216">
        <v>65.099999999999994</v>
      </c>
      <c r="K75" s="4217">
        <v>38837311</v>
      </c>
      <c r="L75" s="4225">
        <v>5044.5</v>
      </c>
      <c r="M75" s="4225">
        <v>5131.1000000000004</v>
      </c>
      <c r="N75" s="4225">
        <v>5222.1000000000004</v>
      </c>
      <c r="O75" s="4225">
        <v>5307.2</v>
      </c>
      <c r="P75" s="4218">
        <v>4502223</v>
      </c>
      <c r="Q75" s="4218">
        <v>4715904</v>
      </c>
      <c r="R75" s="4220">
        <v>5920681</v>
      </c>
      <c r="S75" s="4220"/>
      <c r="T75" s="4219">
        <v>18048</v>
      </c>
      <c r="U75" s="5214">
        <v>20185</v>
      </c>
      <c r="V75" s="4222"/>
      <c r="W75" s="4224">
        <v>25285</v>
      </c>
      <c r="X75" s="4217">
        <v>1041</v>
      </c>
      <c r="Y75" s="4223">
        <v>503</v>
      </c>
      <c r="Z75" s="5215">
        <v>0.52</v>
      </c>
      <c r="AA75" s="5215">
        <v>0.31</v>
      </c>
      <c r="AB75" s="5205">
        <v>0.61739999999999995</v>
      </c>
      <c r="AC75" s="4224">
        <v>2825483</v>
      </c>
      <c r="AD75" s="4224"/>
      <c r="AE75" s="4224">
        <v>3038686</v>
      </c>
      <c r="AF75" s="4225">
        <v>5015.5</v>
      </c>
      <c r="AG75" s="4225">
        <v>5086.1000000000004</v>
      </c>
      <c r="AH75" s="4225">
        <v>20.2</v>
      </c>
      <c r="AI75" s="4225">
        <v>0</v>
      </c>
      <c r="AJ75" s="4225">
        <v>0</v>
      </c>
      <c r="AK75" s="4225">
        <v>0</v>
      </c>
      <c r="AL75" s="4225">
        <v>0</v>
      </c>
      <c r="AM75" s="4227">
        <v>8.0000000000000004E-4</v>
      </c>
      <c r="AN75" s="4226">
        <v>0</v>
      </c>
      <c r="AO75" s="4224"/>
      <c r="AP75" s="4224"/>
      <c r="AQ75" s="4224">
        <v>25321755</v>
      </c>
      <c r="AR75" s="4221">
        <v>0.3</v>
      </c>
      <c r="AS75" s="4217">
        <v>33928336</v>
      </c>
      <c r="AT75" s="5216">
        <v>0</v>
      </c>
      <c r="AU75" s="5216">
        <v>0</v>
      </c>
      <c r="AV75" s="4220">
        <v>25321755</v>
      </c>
      <c r="AW75" s="5243">
        <v>590398</v>
      </c>
      <c r="AX75" s="4224"/>
      <c r="AY75" s="5217">
        <v>5920681</v>
      </c>
      <c r="AZ75" s="4224"/>
      <c r="BA75" s="4224">
        <v>2339171</v>
      </c>
      <c r="BB75" s="4224">
        <v>590398</v>
      </c>
      <c r="BC75" s="5218"/>
      <c r="BD75" s="4217">
        <v>0</v>
      </c>
      <c r="BE75" s="4224">
        <v>25238333</v>
      </c>
    </row>
    <row r="76" spans="1:57">
      <c r="A76" s="3810">
        <v>266</v>
      </c>
      <c r="B76" s="4210" t="s">
        <v>470</v>
      </c>
      <c r="C76" s="4211" t="s">
        <v>198</v>
      </c>
      <c r="D76" s="4212">
        <v>372313030</v>
      </c>
      <c r="E76" s="4213">
        <v>344737519</v>
      </c>
      <c r="F76" s="4224">
        <v>383523296</v>
      </c>
      <c r="G76" s="4224">
        <v>355528697</v>
      </c>
      <c r="H76" s="4214">
        <v>6467.4</v>
      </c>
      <c r="I76" s="4215">
        <v>6521.9</v>
      </c>
      <c r="J76" s="4216">
        <v>42.5</v>
      </c>
      <c r="K76" s="4217">
        <v>48181160</v>
      </c>
      <c r="L76" s="4225">
        <v>6728</v>
      </c>
      <c r="M76" s="4225">
        <v>6782.5</v>
      </c>
      <c r="N76" s="4225">
        <v>6843.1</v>
      </c>
      <c r="O76" s="4225">
        <v>6877.7</v>
      </c>
      <c r="P76" s="4218">
        <v>5744090</v>
      </c>
      <c r="Q76" s="4218">
        <v>5886112</v>
      </c>
      <c r="R76" s="4220">
        <v>6483838</v>
      </c>
      <c r="S76" s="4220"/>
      <c r="T76" s="4219">
        <v>19902</v>
      </c>
      <c r="U76" s="5214">
        <v>6622</v>
      </c>
      <c r="V76" s="4222"/>
      <c r="W76" s="4224">
        <v>0</v>
      </c>
      <c r="X76" s="4217">
        <v>1080</v>
      </c>
      <c r="Y76" s="4223">
        <v>451</v>
      </c>
      <c r="Z76" s="5215">
        <v>0.43</v>
      </c>
      <c r="AA76" s="5215">
        <v>0.21</v>
      </c>
      <c r="AB76" s="5205">
        <v>0.53469999999999995</v>
      </c>
      <c r="AC76" s="4224">
        <v>3253526</v>
      </c>
      <c r="AD76" s="4224"/>
      <c r="AE76" s="4224">
        <v>3622985</v>
      </c>
      <c r="AF76" s="4225">
        <v>6416.6</v>
      </c>
      <c r="AG76" s="4225">
        <v>6420.7</v>
      </c>
      <c r="AH76" s="4225">
        <v>375.6</v>
      </c>
      <c r="AI76" s="4225">
        <v>0</v>
      </c>
      <c r="AJ76" s="4225">
        <v>0</v>
      </c>
      <c r="AK76" s="4225">
        <v>0</v>
      </c>
      <c r="AL76" s="4225">
        <v>0</v>
      </c>
      <c r="AM76" s="4227">
        <v>1.15E-2</v>
      </c>
      <c r="AN76" s="4226">
        <v>0</v>
      </c>
      <c r="AO76" s="4224"/>
      <c r="AP76" s="4224"/>
      <c r="AQ76" s="4224">
        <v>32235932</v>
      </c>
      <c r="AR76" s="4221">
        <v>0.3</v>
      </c>
      <c r="AS76" s="4217">
        <v>41674866</v>
      </c>
      <c r="AT76" s="5216">
        <v>0</v>
      </c>
      <c r="AU76" s="5216">
        <v>0</v>
      </c>
      <c r="AV76" s="4220">
        <v>32235932</v>
      </c>
      <c r="AW76" s="5243">
        <v>685056</v>
      </c>
      <c r="AX76" s="4224"/>
      <c r="AY76" s="5217">
        <v>6483838</v>
      </c>
      <c r="AZ76" s="4224"/>
      <c r="BA76" s="4224">
        <v>2784400</v>
      </c>
      <c r="BB76" s="4224">
        <v>685056</v>
      </c>
      <c r="BC76" s="5218"/>
      <c r="BD76" s="4217">
        <v>0</v>
      </c>
      <c r="BE76" s="4224">
        <v>32321731</v>
      </c>
    </row>
    <row r="77" spans="1:57">
      <c r="A77" s="3810">
        <v>267</v>
      </c>
      <c r="B77" s="4210" t="s">
        <v>471</v>
      </c>
      <c r="C77" s="4211" t="s">
        <v>198</v>
      </c>
      <c r="D77" s="4212">
        <v>109812186</v>
      </c>
      <c r="E77" s="4213">
        <v>102693373</v>
      </c>
      <c r="F77" s="4224">
        <v>115190237</v>
      </c>
      <c r="G77" s="4224">
        <v>107973376</v>
      </c>
      <c r="H77" s="4214">
        <v>1874</v>
      </c>
      <c r="I77" s="4215">
        <v>1827</v>
      </c>
      <c r="J77" s="4216">
        <v>210</v>
      </c>
      <c r="K77" s="4217">
        <v>13084981</v>
      </c>
      <c r="L77" s="4225">
        <v>1855.5</v>
      </c>
      <c r="M77" s="4225">
        <v>1845</v>
      </c>
      <c r="N77" s="4225">
        <v>1874</v>
      </c>
      <c r="O77" s="4225">
        <v>1827</v>
      </c>
      <c r="P77" s="4218">
        <v>1664783</v>
      </c>
      <c r="Q77" s="4218">
        <v>1685674</v>
      </c>
      <c r="R77" s="4220">
        <v>1835111</v>
      </c>
      <c r="S77" s="4220"/>
      <c r="T77" s="4219">
        <v>0</v>
      </c>
      <c r="U77" s="5214">
        <v>0</v>
      </c>
      <c r="V77" s="4222"/>
      <c r="W77" s="4224">
        <v>0</v>
      </c>
      <c r="X77" s="4217">
        <v>206</v>
      </c>
      <c r="Y77" s="4223">
        <v>135</v>
      </c>
      <c r="Z77" s="5215">
        <v>0.35</v>
      </c>
      <c r="AA77" s="5215">
        <v>0.14000000000000001</v>
      </c>
      <c r="AB77" s="5205">
        <v>0.47399999999999998</v>
      </c>
      <c r="AC77" s="4224">
        <v>866752</v>
      </c>
      <c r="AD77" s="4224"/>
      <c r="AE77" s="4224">
        <v>951475</v>
      </c>
      <c r="AF77" s="4225">
        <v>1855.5</v>
      </c>
      <c r="AG77" s="4225">
        <v>1845</v>
      </c>
      <c r="AH77" s="4225">
        <v>0</v>
      </c>
      <c r="AI77" s="4225">
        <v>0</v>
      </c>
      <c r="AJ77" s="4225">
        <v>0</v>
      </c>
      <c r="AK77" s="4225">
        <v>0</v>
      </c>
      <c r="AL77" s="4225">
        <v>0</v>
      </c>
      <c r="AM77" s="4221">
        <v>0</v>
      </c>
      <c r="AN77" s="4226">
        <v>0</v>
      </c>
      <c r="AO77" s="4224"/>
      <c r="AP77" s="4224"/>
      <c r="AQ77" s="4224">
        <v>8708268</v>
      </c>
      <c r="AR77" s="4221">
        <v>0.31</v>
      </c>
      <c r="AS77" s="4217">
        <v>11819518</v>
      </c>
      <c r="AT77" s="5216">
        <v>0</v>
      </c>
      <c r="AU77" s="5216">
        <v>0</v>
      </c>
      <c r="AV77" s="4220">
        <v>8708268</v>
      </c>
      <c r="AW77" s="5243">
        <v>166873</v>
      </c>
      <c r="AX77" s="4224"/>
      <c r="AY77" s="5217">
        <v>1835111</v>
      </c>
      <c r="AZ77" s="4224"/>
      <c r="BA77" s="4224">
        <v>719304</v>
      </c>
      <c r="BB77" s="4224">
        <v>166873</v>
      </c>
      <c r="BC77" s="5218"/>
      <c r="BD77" s="4217">
        <v>0</v>
      </c>
      <c r="BE77" s="4224">
        <v>8673435</v>
      </c>
    </row>
    <row r="78" spans="1:57">
      <c r="A78" s="3810">
        <v>268</v>
      </c>
      <c r="B78" s="4210" t="s">
        <v>472</v>
      </c>
      <c r="C78" s="4211" t="s">
        <v>198</v>
      </c>
      <c r="D78" s="4212">
        <v>30856943</v>
      </c>
      <c r="E78" s="4213">
        <v>27704914</v>
      </c>
      <c r="F78" s="4224">
        <v>31084434</v>
      </c>
      <c r="G78" s="4224">
        <v>27929494</v>
      </c>
      <c r="H78" s="4214">
        <v>750.6</v>
      </c>
      <c r="I78" s="4215">
        <v>727.7</v>
      </c>
      <c r="J78" s="4216">
        <v>126</v>
      </c>
      <c r="K78" s="4217">
        <v>6862133</v>
      </c>
      <c r="L78" s="4225">
        <v>754.8</v>
      </c>
      <c r="M78" s="4225">
        <v>754.6</v>
      </c>
      <c r="N78" s="4225">
        <v>760.1</v>
      </c>
      <c r="O78" s="4225">
        <v>737.7</v>
      </c>
      <c r="P78" s="4218">
        <v>697295</v>
      </c>
      <c r="Q78" s="4218">
        <v>709621</v>
      </c>
      <c r="R78" s="4220">
        <v>1114794</v>
      </c>
      <c r="S78" s="4220"/>
      <c r="T78" s="4219">
        <v>0</v>
      </c>
      <c r="U78" s="5214">
        <v>0</v>
      </c>
      <c r="V78" s="4222"/>
      <c r="W78" s="4224">
        <v>0</v>
      </c>
      <c r="X78" s="4217">
        <v>181</v>
      </c>
      <c r="Y78" s="4223">
        <v>69</v>
      </c>
      <c r="Z78" s="5215">
        <v>0.56000000000000005</v>
      </c>
      <c r="AA78" s="5215">
        <v>0.35</v>
      </c>
      <c r="AB78" s="5205">
        <v>0.65080000000000005</v>
      </c>
      <c r="AC78" s="4224">
        <v>457964</v>
      </c>
      <c r="AD78" s="4224"/>
      <c r="AE78" s="4224">
        <v>499112</v>
      </c>
      <c r="AF78" s="4225">
        <v>744.8</v>
      </c>
      <c r="AG78" s="4225">
        <v>744.6</v>
      </c>
      <c r="AH78" s="4225">
        <v>0</v>
      </c>
      <c r="AI78" s="4225">
        <v>0</v>
      </c>
      <c r="AJ78" s="4225">
        <v>0</v>
      </c>
      <c r="AK78" s="4225">
        <v>0</v>
      </c>
      <c r="AL78" s="4225">
        <v>0</v>
      </c>
      <c r="AM78" s="4221">
        <v>0</v>
      </c>
      <c r="AN78" s="4226">
        <v>0</v>
      </c>
      <c r="AO78" s="4224"/>
      <c r="AP78" s="4224"/>
      <c r="AQ78" s="4224">
        <v>4435754</v>
      </c>
      <c r="AR78" s="4221">
        <v>0.3</v>
      </c>
      <c r="AS78" s="4217">
        <v>5871122</v>
      </c>
      <c r="AT78" s="5216">
        <v>0</v>
      </c>
      <c r="AU78" s="5216">
        <v>0</v>
      </c>
      <c r="AV78" s="4220">
        <v>4435754</v>
      </c>
      <c r="AW78" s="5243">
        <v>88176</v>
      </c>
      <c r="AX78" s="4224"/>
      <c r="AY78" s="5217">
        <v>1114794</v>
      </c>
      <c r="AZ78" s="4224"/>
      <c r="BA78" s="4224">
        <v>380892</v>
      </c>
      <c r="BB78" s="4224">
        <v>88176</v>
      </c>
      <c r="BC78" s="5218"/>
      <c r="BD78" s="4217">
        <v>0</v>
      </c>
      <c r="BE78" s="4224">
        <v>4567083</v>
      </c>
    </row>
    <row r="79" spans="1:57">
      <c r="A79" s="3810">
        <v>269</v>
      </c>
      <c r="B79" s="4210" t="s">
        <v>473</v>
      </c>
      <c r="C79" s="4211" t="s">
        <v>199</v>
      </c>
      <c r="D79" s="4212">
        <v>43306766</v>
      </c>
      <c r="E79" s="4213">
        <v>42422785</v>
      </c>
      <c r="F79" s="4224">
        <v>21844006</v>
      </c>
      <c r="G79" s="4224">
        <v>20944624</v>
      </c>
      <c r="H79" s="4214">
        <v>101</v>
      </c>
      <c r="I79" s="4215">
        <v>104</v>
      </c>
      <c r="J79" s="4216">
        <v>248.6</v>
      </c>
      <c r="K79" s="4217">
        <v>1259869</v>
      </c>
      <c r="L79" s="4225">
        <v>113.5</v>
      </c>
      <c r="M79" s="4225">
        <v>127</v>
      </c>
      <c r="N79" s="4225">
        <v>108.1</v>
      </c>
      <c r="O79" s="4225">
        <v>104.5</v>
      </c>
      <c r="P79" s="4218">
        <v>142405</v>
      </c>
      <c r="Q79" s="4218">
        <v>121060</v>
      </c>
      <c r="R79" s="4220">
        <v>0</v>
      </c>
      <c r="S79" s="4220"/>
      <c r="T79" s="4219">
        <v>0</v>
      </c>
      <c r="U79" s="5214">
        <v>0</v>
      </c>
      <c r="V79" s="4222"/>
      <c r="W79" s="4224">
        <v>0</v>
      </c>
      <c r="X79" s="4217">
        <v>40</v>
      </c>
      <c r="Y79" s="4223">
        <v>20</v>
      </c>
      <c r="Z79" s="5215">
        <v>0</v>
      </c>
      <c r="AA79" s="5215">
        <v>0</v>
      </c>
      <c r="AB79" s="5205">
        <v>0</v>
      </c>
      <c r="AC79" s="4224">
        <v>82573</v>
      </c>
      <c r="AD79" s="4224"/>
      <c r="AE79" s="4224">
        <v>85513</v>
      </c>
      <c r="AF79" s="4225">
        <v>113</v>
      </c>
      <c r="AG79" s="4225">
        <v>124.5</v>
      </c>
      <c r="AH79" s="4225">
        <v>4.8</v>
      </c>
      <c r="AI79" s="4225">
        <v>0</v>
      </c>
      <c r="AJ79" s="4225">
        <v>0</v>
      </c>
      <c r="AK79" s="4225">
        <v>0</v>
      </c>
      <c r="AL79" s="4225">
        <v>0</v>
      </c>
      <c r="AM79" s="4221">
        <v>0</v>
      </c>
      <c r="AN79" s="4226">
        <v>0</v>
      </c>
      <c r="AO79" s="4224"/>
      <c r="AP79" s="4224"/>
      <c r="AQ79" s="4224">
        <v>1086105</v>
      </c>
      <c r="AR79" s="4221">
        <v>0.3</v>
      </c>
      <c r="AS79" s="4217">
        <v>1517118</v>
      </c>
      <c r="AT79" s="5216">
        <v>0</v>
      </c>
      <c r="AU79" s="5216">
        <v>0</v>
      </c>
      <c r="AV79" s="4220">
        <v>1086105</v>
      </c>
      <c r="AW79" s="5243">
        <v>0</v>
      </c>
      <c r="AX79" s="4224"/>
      <c r="AY79" s="5217">
        <v>0</v>
      </c>
      <c r="AZ79" s="4224"/>
      <c r="BA79" s="4224">
        <v>65980</v>
      </c>
      <c r="BB79" s="4224">
        <v>0</v>
      </c>
      <c r="BC79" s="5218"/>
      <c r="BD79" s="4217">
        <v>212342</v>
      </c>
      <c r="BE79" s="4224">
        <v>1063341</v>
      </c>
    </row>
    <row r="80" spans="1:57">
      <c r="A80" s="3810">
        <v>270</v>
      </c>
      <c r="B80" s="4210" t="s">
        <v>474</v>
      </c>
      <c r="C80" s="4211" t="s">
        <v>199</v>
      </c>
      <c r="D80" s="4212">
        <v>67654713</v>
      </c>
      <c r="E80" s="4213">
        <v>65214308</v>
      </c>
      <c r="F80" s="4224">
        <v>34939439</v>
      </c>
      <c r="G80" s="4224">
        <v>32487106</v>
      </c>
      <c r="H80" s="4214">
        <v>369.5</v>
      </c>
      <c r="I80" s="4215">
        <v>334.8</v>
      </c>
      <c r="J80" s="4216">
        <v>275.8</v>
      </c>
      <c r="K80" s="4217">
        <v>2971080</v>
      </c>
      <c r="L80" s="4225">
        <v>375.4</v>
      </c>
      <c r="M80" s="4225">
        <v>365.3</v>
      </c>
      <c r="N80" s="4225">
        <v>369.5</v>
      </c>
      <c r="O80" s="4225">
        <v>334.8</v>
      </c>
      <c r="P80" s="4218">
        <v>425767</v>
      </c>
      <c r="Q80" s="4218">
        <v>439218</v>
      </c>
      <c r="R80" s="4220">
        <v>0</v>
      </c>
      <c r="S80" s="4220"/>
      <c r="T80" s="4219">
        <v>0</v>
      </c>
      <c r="U80" s="5214">
        <v>0</v>
      </c>
      <c r="V80" s="4222"/>
      <c r="W80" s="4224">
        <v>0</v>
      </c>
      <c r="X80" s="4217">
        <v>91</v>
      </c>
      <c r="Y80" s="4223">
        <v>45</v>
      </c>
      <c r="Z80" s="5215">
        <v>0</v>
      </c>
      <c r="AA80" s="5215">
        <v>0</v>
      </c>
      <c r="AB80" s="5205">
        <v>0.15620000000000001</v>
      </c>
      <c r="AC80" s="4224">
        <v>231281</v>
      </c>
      <c r="AD80" s="4224"/>
      <c r="AE80" s="4224">
        <v>251318</v>
      </c>
      <c r="AF80" s="4225">
        <v>375.4</v>
      </c>
      <c r="AG80" s="4225">
        <v>365.3</v>
      </c>
      <c r="AH80" s="4225">
        <v>0</v>
      </c>
      <c r="AI80" s="4225">
        <v>0</v>
      </c>
      <c r="AJ80" s="4225">
        <v>0</v>
      </c>
      <c r="AK80" s="4225">
        <v>0</v>
      </c>
      <c r="AL80" s="4225">
        <v>0</v>
      </c>
      <c r="AM80" s="4221">
        <v>0</v>
      </c>
      <c r="AN80" s="4226">
        <v>0</v>
      </c>
      <c r="AO80" s="4224"/>
      <c r="AP80" s="4224"/>
      <c r="AQ80" s="4224">
        <v>2331801</v>
      </c>
      <c r="AR80" s="4221">
        <v>0.3</v>
      </c>
      <c r="AS80" s="4217">
        <v>3206748</v>
      </c>
      <c r="AT80" s="5216">
        <v>0</v>
      </c>
      <c r="AU80" s="5216">
        <v>0</v>
      </c>
      <c r="AV80" s="4220">
        <v>2331801</v>
      </c>
      <c r="AW80" s="5243">
        <v>0</v>
      </c>
      <c r="AX80" s="4224"/>
      <c r="AY80" s="5217">
        <v>0</v>
      </c>
      <c r="AZ80" s="4224"/>
      <c r="BA80" s="4224">
        <v>193062</v>
      </c>
      <c r="BB80" s="4224">
        <v>0</v>
      </c>
      <c r="BC80" s="5218"/>
      <c r="BD80" s="4217">
        <v>417202</v>
      </c>
      <c r="BE80" s="4224">
        <v>2316417</v>
      </c>
    </row>
    <row r="81" spans="1:57">
      <c r="A81" s="3810">
        <v>271</v>
      </c>
      <c r="B81" s="4210" t="s">
        <v>475</v>
      </c>
      <c r="C81" s="4211" t="s">
        <v>199</v>
      </c>
      <c r="D81" s="4212">
        <v>30623842</v>
      </c>
      <c r="E81" s="4213">
        <v>28502109</v>
      </c>
      <c r="F81" s="4224">
        <v>32046416</v>
      </c>
      <c r="G81" s="4224">
        <v>29891419</v>
      </c>
      <c r="H81" s="4214">
        <v>289</v>
      </c>
      <c r="I81" s="4215">
        <v>297.5</v>
      </c>
      <c r="J81" s="4216">
        <v>444.8</v>
      </c>
      <c r="K81" s="4217">
        <v>2615553</v>
      </c>
      <c r="L81" s="4225">
        <v>275.60000000000002</v>
      </c>
      <c r="M81" s="4225">
        <v>293.10000000000002</v>
      </c>
      <c r="N81" s="4225">
        <v>292.5</v>
      </c>
      <c r="O81" s="4225">
        <v>301.5</v>
      </c>
      <c r="P81" s="4218">
        <v>338181</v>
      </c>
      <c r="Q81" s="4218">
        <v>348553</v>
      </c>
      <c r="R81" s="4220">
        <v>90587</v>
      </c>
      <c r="S81" s="4220"/>
      <c r="T81" s="4219">
        <v>0</v>
      </c>
      <c r="U81" s="5214">
        <v>0</v>
      </c>
      <c r="V81" s="4222"/>
      <c r="W81" s="4224">
        <v>0</v>
      </c>
      <c r="X81" s="4217">
        <v>138</v>
      </c>
      <c r="Y81" s="4223">
        <v>37</v>
      </c>
      <c r="Z81" s="5215">
        <v>0</v>
      </c>
      <c r="AA81" s="5215">
        <v>0</v>
      </c>
      <c r="AB81" s="5205">
        <v>0.13350000000000001</v>
      </c>
      <c r="AC81" s="4224">
        <v>165162</v>
      </c>
      <c r="AD81" s="4224"/>
      <c r="AE81" s="4224">
        <v>185914</v>
      </c>
      <c r="AF81" s="4225">
        <v>272.60000000000002</v>
      </c>
      <c r="AG81" s="4225">
        <v>290.10000000000002</v>
      </c>
      <c r="AH81" s="4225">
        <v>0</v>
      </c>
      <c r="AI81" s="4225">
        <v>0</v>
      </c>
      <c r="AJ81" s="4225">
        <v>0</v>
      </c>
      <c r="AK81" s="4225">
        <v>0</v>
      </c>
      <c r="AL81" s="4225">
        <v>0</v>
      </c>
      <c r="AM81" s="4221">
        <v>0</v>
      </c>
      <c r="AN81" s="4226">
        <v>0</v>
      </c>
      <c r="AO81" s="4224"/>
      <c r="AP81" s="4224"/>
      <c r="AQ81" s="4224">
        <v>2048575</v>
      </c>
      <c r="AR81" s="4221">
        <v>0.3</v>
      </c>
      <c r="AS81" s="4217">
        <v>2781759</v>
      </c>
      <c r="AT81" s="5216">
        <v>0</v>
      </c>
      <c r="AU81" s="5216">
        <v>0</v>
      </c>
      <c r="AV81" s="4220">
        <v>2048575</v>
      </c>
      <c r="AW81" s="5243">
        <v>0</v>
      </c>
      <c r="AX81" s="4224"/>
      <c r="AY81" s="5217">
        <v>79914</v>
      </c>
      <c r="AZ81" s="4224"/>
      <c r="BA81" s="4224">
        <v>141776</v>
      </c>
      <c r="BB81" s="4224">
        <v>0</v>
      </c>
      <c r="BC81" s="5218"/>
      <c r="BD81" s="4217">
        <v>0</v>
      </c>
      <c r="BE81" s="4224">
        <v>2040381</v>
      </c>
    </row>
    <row r="82" spans="1:57">
      <c r="A82" s="3810">
        <v>272</v>
      </c>
      <c r="B82" s="4210" t="s">
        <v>476</v>
      </c>
      <c r="C82" s="4211" t="s">
        <v>200</v>
      </c>
      <c r="D82" s="4212">
        <v>27633538</v>
      </c>
      <c r="E82" s="4213">
        <v>24712670</v>
      </c>
      <c r="F82" s="4224">
        <v>30550411</v>
      </c>
      <c r="G82" s="4224">
        <v>27556558</v>
      </c>
      <c r="H82" s="4214">
        <v>294</v>
      </c>
      <c r="I82" s="4215">
        <v>288</v>
      </c>
      <c r="J82" s="4216">
        <v>411.3</v>
      </c>
      <c r="K82" s="4217">
        <v>2818554</v>
      </c>
      <c r="L82" s="4225">
        <v>322.8</v>
      </c>
      <c r="M82" s="4225">
        <v>309.3</v>
      </c>
      <c r="N82" s="4225">
        <v>297</v>
      </c>
      <c r="O82" s="4225">
        <v>292.5</v>
      </c>
      <c r="P82" s="4218">
        <v>362527</v>
      </c>
      <c r="Q82" s="4218">
        <v>333466</v>
      </c>
      <c r="R82" s="4220">
        <v>196227</v>
      </c>
      <c r="S82" s="4220"/>
      <c r="T82" s="4219">
        <v>0</v>
      </c>
      <c r="U82" s="5214">
        <v>0</v>
      </c>
      <c r="V82" s="4222"/>
      <c r="W82" s="4224">
        <v>0</v>
      </c>
      <c r="X82" s="4217">
        <v>108</v>
      </c>
      <c r="Y82" s="4223">
        <v>41</v>
      </c>
      <c r="Z82" s="5215">
        <v>0</v>
      </c>
      <c r="AA82" s="5215">
        <v>0</v>
      </c>
      <c r="AB82" s="5205">
        <v>0.16980000000000001</v>
      </c>
      <c r="AC82" s="4224">
        <v>171646</v>
      </c>
      <c r="AD82" s="4224"/>
      <c r="AE82" s="4224">
        <v>164211</v>
      </c>
      <c r="AF82" s="4225">
        <v>316.3</v>
      </c>
      <c r="AG82" s="4225">
        <v>302.8</v>
      </c>
      <c r="AH82" s="4225">
        <v>0</v>
      </c>
      <c r="AI82" s="4225">
        <v>0</v>
      </c>
      <c r="AJ82" s="4225">
        <v>0</v>
      </c>
      <c r="AK82" s="4225">
        <v>0</v>
      </c>
      <c r="AL82" s="4225">
        <v>0</v>
      </c>
      <c r="AM82" s="4221">
        <v>0</v>
      </c>
      <c r="AN82" s="4226">
        <v>38348</v>
      </c>
      <c r="AO82" s="4224"/>
      <c r="AP82" s="4224"/>
      <c r="AQ82" s="4224">
        <v>2122556</v>
      </c>
      <c r="AR82" s="4221">
        <v>0.3</v>
      </c>
      <c r="AS82" s="4217">
        <v>2896411</v>
      </c>
      <c r="AT82" s="5216">
        <v>0</v>
      </c>
      <c r="AU82" s="5216">
        <v>0</v>
      </c>
      <c r="AV82" s="4220">
        <v>2122556</v>
      </c>
      <c r="AW82" s="5243">
        <v>7873</v>
      </c>
      <c r="AX82" s="4224"/>
      <c r="AY82" s="5217">
        <v>196227</v>
      </c>
      <c r="AZ82" s="4224"/>
      <c r="BA82" s="4224">
        <v>127486</v>
      </c>
      <c r="BB82" s="4224">
        <v>0</v>
      </c>
      <c r="BC82" s="5218"/>
      <c r="BD82" s="4217">
        <v>0</v>
      </c>
      <c r="BE82" s="4224">
        <v>2123015</v>
      </c>
    </row>
    <row r="83" spans="1:57">
      <c r="A83" s="3810">
        <v>273</v>
      </c>
      <c r="B83" s="4210" t="s">
        <v>477</v>
      </c>
      <c r="C83" s="4211" t="s">
        <v>200</v>
      </c>
      <c r="D83" s="4212">
        <v>56254121</v>
      </c>
      <c r="E83" s="4213">
        <v>51413696</v>
      </c>
      <c r="F83" s="4224">
        <v>61028865</v>
      </c>
      <c r="G83" s="4224">
        <v>56112025</v>
      </c>
      <c r="H83" s="4214">
        <v>750</v>
      </c>
      <c r="I83" s="4215">
        <v>754.5</v>
      </c>
      <c r="J83" s="4216">
        <v>565</v>
      </c>
      <c r="K83" s="4217">
        <v>6795137</v>
      </c>
      <c r="L83" s="4225">
        <v>743.2</v>
      </c>
      <c r="M83" s="4225">
        <v>749</v>
      </c>
      <c r="N83" s="4225">
        <v>768</v>
      </c>
      <c r="O83" s="4225">
        <v>767.5</v>
      </c>
      <c r="P83" s="4218">
        <v>942758</v>
      </c>
      <c r="Q83" s="4218">
        <v>923542</v>
      </c>
      <c r="R83" s="4220">
        <v>627276</v>
      </c>
      <c r="S83" s="4220"/>
      <c r="T83" s="4219">
        <v>0</v>
      </c>
      <c r="U83" s="5214">
        <v>0</v>
      </c>
      <c r="V83" s="4222"/>
      <c r="W83" s="4224">
        <v>0</v>
      </c>
      <c r="X83" s="4217">
        <v>237</v>
      </c>
      <c r="Y83" s="4223">
        <v>100</v>
      </c>
      <c r="Z83" s="5215">
        <v>0.23</v>
      </c>
      <c r="AA83" s="5215">
        <v>0.01</v>
      </c>
      <c r="AB83" s="5205">
        <v>0.36980000000000002</v>
      </c>
      <c r="AC83" s="4224">
        <v>824106</v>
      </c>
      <c r="AD83" s="4224"/>
      <c r="AE83" s="4224">
        <v>920808</v>
      </c>
      <c r="AF83" s="4225">
        <v>730.7</v>
      </c>
      <c r="AG83" s="4225">
        <v>736.5</v>
      </c>
      <c r="AH83" s="4225">
        <v>4.2</v>
      </c>
      <c r="AI83" s="4225">
        <v>0</v>
      </c>
      <c r="AJ83" s="4225">
        <v>0</v>
      </c>
      <c r="AK83" s="4225">
        <v>0</v>
      </c>
      <c r="AL83" s="4225">
        <v>0</v>
      </c>
      <c r="AM83" s="4221">
        <v>0</v>
      </c>
      <c r="AN83" s="4226">
        <v>0</v>
      </c>
      <c r="AO83" s="4224"/>
      <c r="AP83" s="4224"/>
      <c r="AQ83" s="4224">
        <v>4547748</v>
      </c>
      <c r="AR83" s="4221">
        <v>0.3</v>
      </c>
      <c r="AS83" s="4217">
        <v>6228386</v>
      </c>
      <c r="AT83" s="5216">
        <v>0</v>
      </c>
      <c r="AU83" s="5216">
        <v>0</v>
      </c>
      <c r="AV83" s="4220">
        <v>4547748</v>
      </c>
      <c r="AW83" s="5243">
        <v>51760</v>
      </c>
      <c r="AX83" s="4224"/>
      <c r="AY83" s="5217">
        <v>627276</v>
      </c>
      <c r="AZ83" s="4224"/>
      <c r="BA83" s="4224">
        <v>701172</v>
      </c>
      <c r="BB83" s="4224">
        <v>29703</v>
      </c>
      <c r="BC83" s="5218"/>
      <c r="BD83" s="4217">
        <v>0</v>
      </c>
      <c r="BE83" s="4224">
        <v>4513043</v>
      </c>
    </row>
    <row r="84" spans="1:57">
      <c r="A84" s="3810">
        <v>274</v>
      </c>
      <c r="B84" s="4210" t="s">
        <v>478</v>
      </c>
      <c r="C84" s="4211" t="s">
        <v>201</v>
      </c>
      <c r="D84" s="4212">
        <v>67911950</v>
      </c>
      <c r="E84" s="4213">
        <v>65312940</v>
      </c>
      <c r="F84" s="4224">
        <v>52446484</v>
      </c>
      <c r="G84" s="4224">
        <v>49828073</v>
      </c>
      <c r="H84" s="4214">
        <v>366.1</v>
      </c>
      <c r="I84" s="4215">
        <v>387.8</v>
      </c>
      <c r="J84" s="4216">
        <v>637</v>
      </c>
      <c r="K84" s="4217">
        <v>2998658</v>
      </c>
      <c r="L84" s="4225">
        <v>389.8</v>
      </c>
      <c r="M84" s="4225">
        <v>375.2</v>
      </c>
      <c r="N84" s="4225">
        <v>366.1</v>
      </c>
      <c r="O84" s="4225">
        <v>387.8</v>
      </c>
      <c r="P84" s="4218">
        <v>324414</v>
      </c>
      <c r="Q84" s="4218">
        <v>349089</v>
      </c>
      <c r="R84" s="4220">
        <v>0</v>
      </c>
      <c r="S84" s="4220"/>
      <c r="T84" s="4219">
        <v>0</v>
      </c>
      <c r="U84" s="5214">
        <v>0</v>
      </c>
      <c r="V84" s="4222"/>
      <c r="W84" s="4224">
        <v>18262</v>
      </c>
      <c r="X84" s="4217">
        <v>162</v>
      </c>
      <c r="Y84" s="4223">
        <v>47</v>
      </c>
      <c r="Z84" s="5215">
        <v>0</v>
      </c>
      <c r="AA84" s="5215">
        <v>0</v>
      </c>
      <c r="AB84" s="5205">
        <v>0</v>
      </c>
      <c r="AC84" s="4224">
        <v>251790</v>
      </c>
      <c r="AD84" s="4224"/>
      <c r="AE84" s="4224">
        <v>276312</v>
      </c>
      <c r="AF84" s="4225">
        <v>389.8</v>
      </c>
      <c r="AG84" s="4225">
        <v>375.2</v>
      </c>
      <c r="AH84" s="4225">
        <v>0</v>
      </c>
      <c r="AI84" s="4225">
        <v>0</v>
      </c>
      <c r="AJ84" s="4225">
        <v>0</v>
      </c>
      <c r="AK84" s="4225">
        <v>0</v>
      </c>
      <c r="AL84" s="4225">
        <v>0</v>
      </c>
      <c r="AM84" s="4221">
        <v>0</v>
      </c>
      <c r="AN84" s="4226">
        <v>0</v>
      </c>
      <c r="AO84" s="4224"/>
      <c r="AP84" s="4224"/>
      <c r="AQ84" s="4224">
        <v>2391026</v>
      </c>
      <c r="AR84" s="4221">
        <v>0.3</v>
      </c>
      <c r="AS84" s="4217">
        <v>3406469</v>
      </c>
      <c r="AT84" s="5216">
        <v>0</v>
      </c>
      <c r="AU84" s="5216">
        <v>0</v>
      </c>
      <c r="AV84" s="4220">
        <v>2391026</v>
      </c>
      <c r="AW84" s="5243">
        <v>0</v>
      </c>
      <c r="AX84" s="4224"/>
      <c r="AY84" s="5217">
        <v>0</v>
      </c>
      <c r="AZ84" s="4224"/>
      <c r="BA84" s="4224">
        <v>210284</v>
      </c>
      <c r="BB84" s="4224">
        <v>0</v>
      </c>
      <c r="BC84" s="5218"/>
      <c r="BD84" s="4217">
        <v>157787</v>
      </c>
      <c r="BE84" s="4224">
        <v>2381396</v>
      </c>
    </row>
    <row r="85" spans="1:57">
      <c r="A85" s="3810">
        <v>275</v>
      </c>
      <c r="B85" s="4210" t="s">
        <v>479</v>
      </c>
      <c r="C85" s="4211" t="s">
        <v>201</v>
      </c>
      <c r="D85" s="4212">
        <v>23490334</v>
      </c>
      <c r="E85" s="4213">
        <v>23013421</v>
      </c>
      <c r="F85" s="4224">
        <v>26130290</v>
      </c>
      <c r="G85" s="4224">
        <v>25656621</v>
      </c>
      <c r="H85" s="4214">
        <v>68</v>
      </c>
      <c r="I85" s="4215">
        <v>69.5</v>
      </c>
      <c r="J85" s="4216">
        <v>662</v>
      </c>
      <c r="K85" s="4217">
        <v>825259</v>
      </c>
      <c r="L85" s="4225">
        <v>97.5</v>
      </c>
      <c r="M85" s="4225">
        <v>78.5</v>
      </c>
      <c r="N85" s="4225">
        <v>68</v>
      </c>
      <c r="O85" s="4225">
        <v>69.5</v>
      </c>
      <c r="P85" s="4218">
        <v>101744</v>
      </c>
      <c r="Q85" s="4218">
        <v>98567</v>
      </c>
      <c r="R85" s="4220">
        <v>0</v>
      </c>
      <c r="S85" s="4220"/>
      <c r="T85" s="4219">
        <v>0</v>
      </c>
      <c r="U85" s="5214">
        <v>0</v>
      </c>
      <c r="V85" s="4222"/>
      <c r="W85" s="4224">
        <v>0</v>
      </c>
      <c r="X85" s="4217">
        <v>25</v>
      </c>
      <c r="Y85" s="4223">
        <v>5</v>
      </c>
      <c r="Z85" s="5215">
        <v>0</v>
      </c>
      <c r="AA85" s="5215">
        <v>0</v>
      </c>
      <c r="AB85" s="5205">
        <v>0</v>
      </c>
      <c r="AC85" s="4224">
        <v>68554</v>
      </c>
      <c r="AD85" s="4224"/>
      <c r="AE85" s="4224">
        <v>69284</v>
      </c>
      <c r="AF85" s="4225">
        <v>97.5</v>
      </c>
      <c r="AG85" s="4225">
        <v>78.5</v>
      </c>
      <c r="AH85" s="4225">
        <v>0</v>
      </c>
      <c r="AI85" s="4225">
        <v>0</v>
      </c>
      <c r="AJ85" s="4225">
        <v>0</v>
      </c>
      <c r="AK85" s="4225">
        <v>0</v>
      </c>
      <c r="AL85" s="4225">
        <v>0</v>
      </c>
      <c r="AM85" s="4221">
        <v>0</v>
      </c>
      <c r="AN85" s="4226">
        <v>0</v>
      </c>
      <c r="AO85" s="4224"/>
      <c r="AP85" s="4224"/>
      <c r="AQ85" s="5219">
        <v>647022</v>
      </c>
      <c r="AR85" s="4221">
        <v>0.3</v>
      </c>
      <c r="AS85" s="4217">
        <v>981761</v>
      </c>
      <c r="AT85" s="5216">
        <v>0</v>
      </c>
      <c r="AU85" s="5216">
        <v>0</v>
      </c>
      <c r="AV85" s="4220">
        <v>647022</v>
      </c>
      <c r="AW85" s="5243">
        <v>0</v>
      </c>
      <c r="AX85" s="4224"/>
      <c r="AY85" s="5217">
        <v>0</v>
      </c>
      <c r="AZ85" s="4224"/>
      <c r="BA85" s="4224">
        <v>53083</v>
      </c>
      <c r="BB85" s="4224">
        <v>0</v>
      </c>
      <c r="BC85" s="5218"/>
      <c r="BD85" s="4217">
        <v>0</v>
      </c>
      <c r="BE85" s="4224">
        <v>644434</v>
      </c>
    </row>
    <row r="86" spans="1:57">
      <c r="A86" s="3810">
        <v>281</v>
      </c>
      <c r="B86" s="4210" t="s">
        <v>63</v>
      </c>
      <c r="C86" s="4211" t="s">
        <v>202</v>
      </c>
      <c r="D86" s="4212">
        <v>55014839</v>
      </c>
      <c r="E86" s="4213">
        <v>52294407</v>
      </c>
      <c r="F86" s="4224">
        <v>44093949</v>
      </c>
      <c r="G86" s="4224">
        <v>41361882</v>
      </c>
      <c r="H86" s="4214">
        <v>366.1</v>
      </c>
      <c r="I86" s="4215">
        <v>359.8</v>
      </c>
      <c r="J86" s="4216">
        <v>728.3</v>
      </c>
      <c r="K86" s="4217">
        <v>2949819</v>
      </c>
      <c r="L86" s="4225">
        <v>382.6</v>
      </c>
      <c r="M86" s="4225">
        <v>378.6</v>
      </c>
      <c r="N86" s="4225">
        <v>391.2</v>
      </c>
      <c r="O86" s="4225">
        <v>359.8</v>
      </c>
      <c r="P86" s="4218">
        <v>298296</v>
      </c>
      <c r="Q86" s="4218">
        <v>307298</v>
      </c>
      <c r="R86" s="4220">
        <v>0</v>
      </c>
      <c r="S86" s="4220"/>
      <c r="T86" s="4219">
        <v>0</v>
      </c>
      <c r="U86" s="5214">
        <v>0</v>
      </c>
      <c r="V86" s="4222"/>
      <c r="W86" s="4224">
        <v>0</v>
      </c>
      <c r="X86" s="4217">
        <v>133</v>
      </c>
      <c r="Y86" s="4223">
        <v>54</v>
      </c>
      <c r="Z86" s="5215">
        <v>0</v>
      </c>
      <c r="AA86" s="5215">
        <v>0</v>
      </c>
      <c r="AB86" s="5205">
        <v>0</v>
      </c>
      <c r="AC86" s="4224">
        <v>231955</v>
      </c>
      <c r="AD86" s="4224"/>
      <c r="AE86" s="4224">
        <v>266852</v>
      </c>
      <c r="AF86" s="4225">
        <v>357.5</v>
      </c>
      <c r="AG86" s="4225">
        <v>353.9</v>
      </c>
      <c r="AH86" s="4225">
        <v>26.4</v>
      </c>
      <c r="AI86" s="4225">
        <v>0</v>
      </c>
      <c r="AJ86" s="4225">
        <v>0</v>
      </c>
      <c r="AK86" s="4225">
        <v>0</v>
      </c>
      <c r="AL86" s="4225">
        <v>0</v>
      </c>
      <c r="AM86" s="4221">
        <v>0</v>
      </c>
      <c r="AN86" s="4226">
        <v>0</v>
      </c>
      <c r="AO86" s="4224"/>
      <c r="AP86" s="4224"/>
      <c r="AQ86" s="4224">
        <v>2550406</v>
      </c>
      <c r="AR86" s="4221">
        <v>0.3</v>
      </c>
      <c r="AS86" s="4217">
        <v>3350176</v>
      </c>
      <c r="AT86" s="5216">
        <v>0</v>
      </c>
      <c r="AU86" s="5216">
        <v>0</v>
      </c>
      <c r="AV86" s="4220">
        <v>2550406</v>
      </c>
      <c r="AW86" s="5243">
        <v>0</v>
      </c>
      <c r="AX86" s="4224"/>
      <c r="AY86" s="5217">
        <v>0</v>
      </c>
      <c r="AZ86" s="4224"/>
      <c r="BA86" s="4224">
        <v>203512</v>
      </c>
      <c r="BB86" s="4224">
        <v>0</v>
      </c>
      <c r="BC86" s="5218"/>
      <c r="BD86" s="4217">
        <v>151190</v>
      </c>
      <c r="BE86" s="4224">
        <v>2438918</v>
      </c>
    </row>
    <row r="87" spans="1:57">
      <c r="A87" s="3810">
        <v>282</v>
      </c>
      <c r="B87" s="4210" t="s">
        <v>480</v>
      </c>
      <c r="C87" s="4211" t="s">
        <v>203</v>
      </c>
      <c r="D87" s="4212">
        <v>19908229</v>
      </c>
      <c r="E87" s="4213">
        <v>16915959</v>
      </c>
      <c r="F87" s="4224">
        <v>20060833</v>
      </c>
      <c r="G87" s="4224">
        <v>17061398</v>
      </c>
      <c r="H87" s="4214">
        <v>311.5</v>
      </c>
      <c r="I87" s="4215">
        <v>326.5</v>
      </c>
      <c r="J87" s="4216">
        <v>541</v>
      </c>
      <c r="K87" s="4217">
        <v>3753139</v>
      </c>
      <c r="L87" s="4225">
        <v>295.5</v>
      </c>
      <c r="M87" s="4225">
        <v>315.8</v>
      </c>
      <c r="N87" s="4225">
        <v>317.5</v>
      </c>
      <c r="O87" s="4225">
        <v>338</v>
      </c>
      <c r="P87" s="4218">
        <v>605830</v>
      </c>
      <c r="Q87" s="4218">
        <v>533035</v>
      </c>
      <c r="R87" s="4220">
        <v>435950</v>
      </c>
      <c r="S87" s="4220"/>
      <c r="T87" s="4219">
        <v>0</v>
      </c>
      <c r="U87" s="5214">
        <v>0</v>
      </c>
      <c r="V87" s="4222"/>
      <c r="W87" s="4224">
        <v>0</v>
      </c>
      <c r="X87" s="4217">
        <v>157</v>
      </c>
      <c r="Y87" s="4223">
        <v>56</v>
      </c>
      <c r="Z87" s="5215">
        <v>0.39</v>
      </c>
      <c r="AA87" s="5215">
        <v>0.17</v>
      </c>
      <c r="AB87" s="5205">
        <v>0.50470000000000004</v>
      </c>
      <c r="AC87" s="4224">
        <v>372299</v>
      </c>
      <c r="AD87" s="4224"/>
      <c r="AE87" s="4224">
        <v>413211</v>
      </c>
      <c r="AF87" s="4225">
        <v>290</v>
      </c>
      <c r="AG87" s="4225">
        <v>312.8</v>
      </c>
      <c r="AH87" s="4225">
        <v>0</v>
      </c>
      <c r="AI87" s="4225">
        <v>0</v>
      </c>
      <c r="AJ87" s="4225">
        <v>0</v>
      </c>
      <c r="AK87" s="4225">
        <v>0</v>
      </c>
      <c r="AL87" s="4225">
        <v>0</v>
      </c>
      <c r="AM87" s="4221">
        <v>0</v>
      </c>
      <c r="AN87" s="4226">
        <v>0</v>
      </c>
      <c r="AO87" s="4224"/>
      <c r="AP87" s="4224"/>
      <c r="AQ87" s="4224">
        <v>2436121</v>
      </c>
      <c r="AR87" s="4221">
        <v>0.3</v>
      </c>
      <c r="AS87" s="4217">
        <v>3448000</v>
      </c>
      <c r="AT87" s="5216">
        <v>0</v>
      </c>
      <c r="AU87" s="5216">
        <v>0</v>
      </c>
      <c r="AV87" s="4220">
        <v>2436121</v>
      </c>
      <c r="AW87" s="5243">
        <v>12249</v>
      </c>
      <c r="AX87" s="4224"/>
      <c r="AY87" s="5217">
        <v>435950</v>
      </c>
      <c r="AZ87" s="4224"/>
      <c r="BA87" s="4224">
        <v>318233</v>
      </c>
      <c r="BB87" s="4224">
        <v>10256</v>
      </c>
      <c r="BC87" s="5218"/>
      <c r="BD87" s="4217">
        <v>0</v>
      </c>
      <c r="BE87" s="4224">
        <v>2453243</v>
      </c>
    </row>
    <row r="88" spans="1:57">
      <c r="A88" s="3810">
        <v>283</v>
      </c>
      <c r="B88" s="4210" t="s">
        <v>481</v>
      </c>
      <c r="C88" s="4211" t="s">
        <v>203</v>
      </c>
      <c r="D88" s="4212">
        <v>12236498</v>
      </c>
      <c r="E88" s="4213">
        <v>11437006</v>
      </c>
      <c r="F88" s="4224">
        <v>13169731</v>
      </c>
      <c r="G88" s="4224">
        <v>12369893</v>
      </c>
      <c r="H88" s="4214">
        <v>137</v>
      </c>
      <c r="I88" s="4215">
        <v>107.5</v>
      </c>
      <c r="J88" s="4216">
        <v>160</v>
      </c>
      <c r="K88" s="4217">
        <v>1850946</v>
      </c>
      <c r="L88" s="4225">
        <v>156.5</v>
      </c>
      <c r="M88" s="4225">
        <v>137</v>
      </c>
      <c r="N88" s="4225">
        <v>140</v>
      </c>
      <c r="O88" s="4225">
        <v>113.5</v>
      </c>
      <c r="P88" s="4218">
        <v>245538</v>
      </c>
      <c r="Q88" s="4218">
        <v>234388</v>
      </c>
      <c r="R88" s="4220">
        <v>154794</v>
      </c>
      <c r="S88" s="4220"/>
      <c r="T88" s="4219">
        <v>0</v>
      </c>
      <c r="U88" s="5214">
        <v>0</v>
      </c>
      <c r="V88" s="4222"/>
      <c r="W88" s="4224">
        <v>0</v>
      </c>
      <c r="X88" s="4217">
        <v>74</v>
      </c>
      <c r="Y88" s="4223">
        <v>10</v>
      </c>
      <c r="Z88" s="5215">
        <v>0</v>
      </c>
      <c r="AA88" s="5215">
        <v>0</v>
      </c>
      <c r="AB88" s="5205">
        <v>3.1800000000000002E-2</v>
      </c>
      <c r="AC88" s="4224">
        <v>81593</v>
      </c>
      <c r="AD88" s="4224"/>
      <c r="AE88" s="4224">
        <v>82798</v>
      </c>
      <c r="AF88" s="4225">
        <v>151.5</v>
      </c>
      <c r="AG88" s="4225">
        <v>134.5</v>
      </c>
      <c r="AH88" s="4225">
        <v>0</v>
      </c>
      <c r="AI88" s="4225">
        <v>0</v>
      </c>
      <c r="AJ88" s="4225">
        <v>0</v>
      </c>
      <c r="AK88" s="4225">
        <v>0</v>
      </c>
      <c r="AL88" s="4225">
        <v>0</v>
      </c>
      <c r="AM88" s="4221">
        <v>0</v>
      </c>
      <c r="AN88" s="4226">
        <v>0</v>
      </c>
      <c r="AO88" s="4224"/>
      <c r="AP88" s="4224"/>
      <c r="AQ88" s="4224">
        <v>1379575</v>
      </c>
      <c r="AR88" s="4221">
        <v>0.2777</v>
      </c>
      <c r="AS88" s="4217">
        <v>1909577</v>
      </c>
      <c r="AT88" s="5216">
        <v>0</v>
      </c>
      <c r="AU88" s="5216">
        <v>0</v>
      </c>
      <c r="AV88" s="4220">
        <v>1379575</v>
      </c>
      <c r="AW88" s="5243">
        <v>0</v>
      </c>
      <c r="AX88" s="4224"/>
      <c r="AY88" s="5217">
        <v>154794</v>
      </c>
      <c r="AZ88" s="4224"/>
      <c r="BA88" s="4224">
        <v>63427</v>
      </c>
      <c r="BB88" s="4224">
        <v>0</v>
      </c>
      <c r="BC88" s="5218"/>
      <c r="BD88" s="4217">
        <v>0</v>
      </c>
      <c r="BE88" s="4224">
        <v>1397789</v>
      </c>
    </row>
    <row r="89" spans="1:57">
      <c r="A89" s="3810">
        <v>284</v>
      </c>
      <c r="B89" s="4210" t="s">
        <v>482</v>
      </c>
      <c r="C89" s="4211" t="s">
        <v>204</v>
      </c>
      <c r="D89" s="4212">
        <v>43837231</v>
      </c>
      <c r="E89" s="4213">
        <v>40782847</v>
      </c>
      <c r="F89" s="4224">
        <v>47221380</v>
      </c>
      <c r="G89" s="4224">
        <v>44173396</v>
      </c>
      <c r="H89" s="4214">
        <v>344.5</v>
      </c>
      <c r="I89" s="4215">
        <v>341.5</v>
      </c>
      <c r="J89" s="4216">
        <v>780</v>
      </c>
      <c r="K89" s="4217">
        <v>3102917</v>
      </c>
      <c r="L89" s="4225">
        <v>349</v>
      </c>
      <c r="M89" s="4225">
        <v>364.5</v>
      </c>
      <c r="N89" s="4225">
        <v>344.5</v>
      </c>
      <c r="O89" s="4225">
        <v>341.5</v>
      </c>
      <c r="P89" s="4218">
        <v>366579</v>
      </c>
      <c r="Q89" s="4218">
        <v>375511</v>
      </c>
      <c r="R89" s="4220">
        <v>5124</v>
      </c>
      <c r="S89" s="4220"/>
      <c r="T89" s="4219">
        <v>0</v>
      </c>
      <c r="U89" s="5214">
        <v>0</v>
      </c>
      <c r="V89" s="4222"/>
      <c r="W89" s="4224">
        <v>0</v>
      </c>
      <c r="X89" s="4217">
        <v>99</v>
      </c>
      <c r="Y89" s="4223">
        <v>25</v>
      </c>
      <c r="Z89" s="5215">
        <v>0</v>
      </c>
      <c r="AA89" s="5215">
        <v>0</v>
      </c>
      <c r="AB89" s="5205">
        <v>0</v>
      </c>
      <c r="AC89" s="4224">
        <v>235933</v>
      </c>
      <c r="AD89" s="4224"/>
      <c r="AE89" s="4224">
        <v>270035</v>
      </c>
      <c r="AF89" s="4225">
        <v>347</v>
      </c>
      <c r="AG89" s="4225">
        <v>364.5</v>
      </c>
      <c r="AH89" s="4225">
        <v>0</v>
      </c>
      <c r="AI89" s="4225">
        <v>0</v>
      </c>
      <c r="AJ89" s="4225">
        <v>0</v>
      </c>
      <c r="AK89" s="4225">
        <v>0</v>
      </c>
      <c r="AL89" s="4225">
        <v>0</v>
      </c>
      <c r="AM89" s="4221">
        <v>0</v>
      </c>
      <c r="AN89" s="4226">
        <v>0</v>
      </c>
      <c r="AO89" s="4224"/>
      <c r="AP89" s="4224"/>
      <c r="AQ89" s="4224">
        <v>2523202</v>
      </c>
      <c r="AR89" s="4221">
        <v>0.3</v>
      </c>
      <c r="AS89" s="4217">
        <v>3384905</v>
      </c>
      <c r="AT89" s="5216">
        <v>0</v>
      </c>
      <c r="AU89" s="5216">
        <v>0</v>
      </c>
      <c r="AV89" s="4220">
        <v>2523202</v>
      </c>
      <c r="AW89" s="5243">
        <v>0</v>
      </c>
      <c r="AX89" s="4224"/>
      <c r="AY89" s="5217">
        <v>4606</v>
      </c>
      <c r="AZ89" s="4224"/>
      <c r="BA89" s="4224">
        <v>209099</v>
      </c>
      <c r="BB89" s="4224">
        <v>0</v>
      </c>
      <c r="BC89" s="5218"/>
      <c r="BD89" s="4217">
        <v>0</v>
      </c>
      <c r="BE89" s="4224">
        <v>2513109</v>
      </c>
    </row>
    <row r="90" spans="1:57">
      <c r="A90" s="3810">
        <v>285</v>
      </c>
      <c r="B90" s="4210" t="s">
        <v>483</v>
      </c>
      <c r="C90" s="4211" t="s">
        <v>205</v>
      </c>
      <c r="D90" s="4212">
        <v>7748782</v>
      </c>
      <c r="E90" s="4213">
        <v>6872651</v>
      </c>
      <c r="F90" s="4224">
        <v>8340292</v>
      </c>
      <c r="G90" s="4224">
        <v>7447401</v>
      </c>
      <c r="H90" s="4214">
        <v>163.6</v>
      </c>
      <c r="I90" s="4215">
        <v>172</v>
      </c>
      <c r="J90" s="4216">
        <v>259</v>
      </c>
      <c r="K90" s="4217">
        <v>1864813</v>
      </c>
      <c r="L90" s="4225">
        <v>168.2</v>
      </c>
      <c r="M90" s="4225">
        <v>163.19999999999999</v>
      </c>
      <c r="N90" s="4225">
        <v>163.6</v>
      </c>
      <c r="O90" s="4225">
        <v>172</v>
      </c>
      <c r="P90" s="4218">
        <v>169718</v>
      </c>
      <c r="Q90" s="4218">
        <v>173341</v>
      </c>
      <c r="R90" s="4220">
        <v>182142</v>
      </c>
      <c r="S90" s="4220"/>
      <c r="T90" s="4219">
        <v>4109</v>
      </c>
      <c r="U90" s="5214">
        <v>4220</v>
      </c>
      <c r="V90" s="4222"/>
      <c r="W90" s="4224">
        <v>0</v>
      </c>
      <c r="X90" s="4217">
        <v>101</v>
      </c>
      <c r="Y90" s="4223">
        <v>28</v>
      </c>
      <c r="Z90" s="5215">
        <v>0.5</v>
      </c>
      <c r="AA90" s="5215">
        <v>0.28000000000000003</v>
      </c>
      <c r="AB90" s="5205">
        <v>0.59540000000000004</v>
      </c>
      <c r="AC90" s="4224">
        <v>96566</v>
      </c>
      <c r="AD90" s="4224"/>
      <c r="AE90" s="4224">
        <v>120773</v>
      </c>
      <c r="AF90" s="4225">
        <v>168.2</v>
      </c>
      <c r="AG90" s="4225">
        <v>163.19999999999999</v>
      </c>
      <c r="AH90" s="4225">
        <v>0</v>
      </c>
      <c r="AI90" s="4225">
        <v>0</v>
      </c>
      <c r="AJ90" s="4225">
        <v>0</v>
      </c>
      <c r="AK90" s="4225">
        <v>0</v>
      </c>
      <c r="AL90" s="4225">
        <v>0</v>
      </c>
      <c r="AM90" s="4221">
        <v>0</v>
      </c>
      <c r="AN90" s="4226">
        <v>0</v>
      </c>
      <c r="AO90" s="4224"/>
      <c r="AP90" s="4224"/>
      <c r="AQ90" s="4224">
        <v>1420805</v>
      </c>
      <c r="AR90" s="4221">
        <v>0.20799999999999999</v>
      </c>
      <c r="AS90" s="4217">
        <v>1826528</v>
      </c>
      <c r="AT90" s="5216">
        <v>0</v>
      </c>
      <c r="AU90" s="5216">
        <v>0</v>
      </c>
      <c r="AV90" s="4220">
        <v>1420805</v>
      </c>
      <c r="AW90" s="5243">
        <v>0</v>
      </c>
      <c r="AX90" s="4224"/>
      <c r="AY90" s="5221">
        <v>182074</v>
      </c>
      <c r="AZ90" s="4224"/>
      <c r="BA90" s="4224">
        <v>92323</v>
      </c>
      <c r="BB90" s="4224">
        <v>0</v>
      </c>
      <c r="BC90" s="5218"/>
      <c r="BD90" s="4217">
        <v>0</v>
      </c>
      <c r="BE90" s="4224">
        <v>1415122</v>
      </c>
    </row>
    <row r="91" spans="1:57">
      <c r="A91" s="3810">
        <v>286</v>
      </c>
      <c r="B91" s="4210" t="s">
        <v>484</v>
      </c>
      <c r="C91" s="4211" t="s">
        <v>205</v>
      </c>
      <c r="D91" s="4212">
        <v>22985886</v>
      </c>
      <c r="E91" s="4213">
        <v>20292771</v>
      </c>
      <c r="F91" s="4224">
        <v>19038666</v>
      </c>
      <c r="G91" s="4224">
        <v>16321869</v>
      </c>
      <c r="H91" s="4214">
        <v>353.2</v>
      </c>
      <c r="I91" s="4215">
        <v>360.9</v>
      </c>
      <c r="J91" s="4216">
        <v>382.5</v>
      </c>
      <c r="K91" s="4217">
        <v>3651845</v>
      </c>
      <c r="L91" s="4225">
        <v>327.5</v>
      </c>
      <c r="M91" s="4225">
        <v>339.7</v>
      </c>
      <c r="N91" s="4225">
        <v>358.7</v>
      </c>
      <c r="O91" s="4225">
        <v>368.4</v>
      </c>
      <c r="P91" s="4218">
        <v>415402</v>
      </c>
      <c r="Q91" s="4218">
        <v>394110</v>
      </c>
      <c r="R91" s="4220">
        <v>422681</v>
      </c>
      <c r="S91" s="4220"/>
      <c r="T91" s="4219">
        <v>0</v>
      </c>
      <c r="U91" s="5214">
        <v>0</v>
      </c>
      <c r="V91" s="4222"/>
      <c r="W91" s="4224">
        <v>0</v>
      </c>
      <c r="X91" s="4217">
        <v>195</v>
      </c>
      <c r="Y91" s="4223">
        <v>27</v>
      </c>
      <c r="Z91" s="5215">
        <v>0.47</v>
      </c>
      <c r="AA91" s="5215">
        <v>0.25</v>
      </c>
      <c r="AB91" s="5205">
        <v>0.56879999999999997</v>
      </c>
      <c r="AC91" s="4224">
        <v>222213</v>
      </c>
      <c r="AD91" s="4224"/>
      <c r="AE91" s="4224">
        <v>244355</v>
      </c>
      <c r="AF91" s="4225">
        <v>322</v>
      </c>
      <c r="AG91" s="4225">
        <v>334.2</v>
      </c>
      <c r="AH91" s="4225">
        <v>0</v>
      </c>
      <c r="AI91" s="4225">
        <v>0</v>
      </c>
      <c r="AJ91" s="4225">
        <v>0</v>
      </c>
      <c r="AK91" s="4225">
        <v>0</v>
      </c>
      <c r="AL91" s="4225">
        <v>0</v>
      </c>
      <c r="AM91" s="4221">
        <v>0</v>
      </c>
      <c r="AN91" s="4226">
        <v>0</v>
      </c>
      <c r="AO91" s="4224"/>
      <c r="AP91" s="4224"/>
      <c r="AQ91" s="4224">
        <v>2630159</v>
      </c>
      <c r="AR91" s="4221">
        <v>0.3</v>
      </c>
      <c r="AS91" s="4217">
        <v>3574400</v>
      </c>
      <c r="AT91" s="5216">
        <v>0</v>
      </c>
      <c r="AU91" s="5216">
        <v>0</v>
      </c>
      <c r="AV91" s="4220">
        <v>2630159</v>
      </c>
      <c r="AW91" s="5243">
        <v>3320</v>
      </c>
      <c r="AX91" s="4224"/>
      <c r="AY91" s="5217">
        <v>422681</v>
      </c>
      <c r="AZ91" s="4224"/>
      <c r="BA91" s="4224">
        <v>189639</v>
      </c>
      <c r="BB91" s="4224">
        <v>2534</v>
      </c>
      <c r="BC91" s="5218"/>
      <c r="BD91" s="4217">
        <v>0</v>
      </c>
      <c r="BE91" s="4224">
        <v>2639638</v>
      </c>
    </row>
    <row r="92" spans="1:57">
      <c r="A92" s="3810">
        <v>287</v>
      </c>
      <c r="B92" s="4210" t="s">
        <v>485</v>
      </c>
      <c r="C92" s="4211" t="s">
        <v>206</v>
      </c>
      <c r="D92" s="4212">
        <v>38684809</v>
      </c>
      <c r="E92" s="4213">
        <v>33893766</v>
      </c>
      <c r="F92" s="4224">
        <v>40662285</v>
      </c>
      <c r="G92" s="4224">
        <v>35867398</v>
      </c>
      <c r="H92" s="4214">
        <v>553.5</v>
      </c>
      <c r="I92" s="4215">
        <v>566.5</v>
      </c>
      <c r="J92" s="4216">
        <v>227</v>
      </c>
      <c r="K92" s="4217">
        <v>5734092</v>
      </c>
      <c r="L92" s="4225">
        <v>599</v>
      </c>
      <c r="M92" s="4225">
        <v>582</v>
      </c>
      <c r="N92" s="4225">
        <v>553.5</v>
      </c>
      <c r="O92" s="4225">
        <v>566.5</v>
      </c>
      <c r="P92" s="4218">
        <v>743270</v>
      </c>
      <c r="Q92" s="4218">
        <v>737430</v>
      </c>
      <c r="R92" s="4220">
        <v>599527</v>
      </c>
      <c r="S92" s="4220"/>
      <c r="T92" s="4219">
        <v>1062</v>
      </c>
      <c r="U92" s="5214">
        <v>0</v>
      </c>
      <c r="V92" s="4222"/>
      <c r="W92" s="4224">
        <v>0</v>
      </c>
      <c r="X92" s="4217">
        <v>278</v>
      </c>
      <c r="Y92" s="4223">
        <v>66</v>
      </c>
      <c r="Z92" s="5215">
        <v>0.27</v>
      </c>
      <c r="AA92" s="5215">
        <v>0.05</v>
      </c>
      <c r="AB92" s="5205">
        <v>0.40110000000000001</v>
      </c>
      <c r="AC92" s="4224">
        <v>374621</v>
      </c>
      <c r="AD92" s="4224"/>
      <c r="AE92" s="4224">
        <v>427651</v>
      </c>
      <c r="AF92" s="4225">
        <v>597</v>
      </c>
      <c r="AG92" s="4225">
        <v>582</v>
      </c>
      <c r="AH92" s="4225">
        <v>0</v>
      </c>
      <c r="AI92" s="4225">
        <v>0</v>
      </c>
      <c r="AJ92" s="4225">
        <v>0</v>
      </c>
      <c r="AK92" s="4225">
        <v>0</v>
      </c>
      <c r="AL92" s="4225">
        <v>0</v>
      </c>
      <c r="AM92" s="4221">
        <v>0</v>
      </c>
      <c r="AN92" s="4226">
        <v>8550</v>
      </c>
      <c r="AO92" s="4224"/>
      <c r="AP92" s="4224"/>
      <c r="AQ92" s="4224">
        <v>4038053</v>
      </c>
      <c r="AR92" s="4221">
        <v>0.3</v>
      </c>
      <c r="AS92" s="4217">
        <v>5646665</v>
      </c>
      <c r="AT92" s="5216">
        <v>0</v>
      </c>
      <c r="AU92" s="5216">
        <v>0</v>
      </c>
      <c r="AV92" s="4220">
        <v>4038053</v>
      </c>
      <c r="AW92" s="5243">
        <v>42668</v>
      </c>
      <c r="AX92" s="4224"/>
      <c r="AY92" s="5217">
        <v>599527</v>
      </c>
      <c r="AZ92" s="4224"/>
      <c r="BA92" s="4224">
        <v>327355</v>
      </c>
      <c r="BB92" s="4224">
        <v>30782</v>
      </c>
      <c r="BC92" s="5218"/>
      <c r="BD92" s="4217">
        <v>0</v>
      </c>
      <c r="BE92" s="4224">
        <v>4030451</v>
      </c>
    </row>
    <row r="93" spans="1:57">
      <c r="A93" s="3810">
        <v>288</v>
      </c>
      <c r="B93" s="4210" t="s">
        <v>486</v>
      </c>
      <c r="C93" s="4211" t="s">
        <v>206</v>
      </c>
      <c r="D93" s="4212">
        <v>24526777</v>
      </c>
      <c r="E93" s="4213">
        <v>21703656</v>
      </c>
      <c r="F93" s="4224">
        <v>25126709</v>
      </c>
      <c r="G93" s="4224">
        <v>22296767</v>
      </c>
      <c r="H93" s="4214">
        <v>555</v>
      </c>
      <c r="I93" s="4215">
        <v>533</v>
      </c>
      <c r="J93" s="4216">
        <v>142.1</v>
      </c>
      <c r="K93" s="4217">
        <v>5783140</v>
      </c>
      <c r="L93" s="4225">
        <v>537</v>
      </c>
      <c r="M93" s="4225">
        <v>551.5</v>
      </c>
      <c r="N93" s="4225">
        <v>560</v>
      </c>
      <c r="O93" s="4225">
        <v>538</v>
      </c>
      <c r="P93" s="4218">
        <v>425799</v>
      </c>
      <c r="Q93" s="4218">
        <v>443541</v>
      </c>
      <c r="R93" s="4220">
        <v>950533</v>
      </c>
      <c r="S93" s="4220"/>
      <c r="T93" s="4219">
        <v>0</v>
      </c>
      <c r="U93" s="5214">
        <v>1303</v>
      </c>
      <c r="V93" s="4222"/>
      <c r="W93" s="4224">
        <v>0</v>
      </c>
      <c r="X93" s="4217">
        <v>281</v>
      </c>
      <c r="Y93" s="4223">
        <v>64</v>
      </c>
      <c r="Z93" s="5215">
        <v>0.52</v>
      </c>
      <c r="AA93" s="5215">
        <v>0.3</v>
      </c>
      <c r="AB93" s="5205">
        <v>0.61029999999999995</v>
      </c>
      <c r="AC93" s="4224">
        <v>320271</v>
      </c>
      <c r="AD93" s="4224"/>
      <c r="AE93" s="4224">
        <v>339372</v>
      </c>
      <c r="AF93" s="4225">
        <v>532</v>
      </c>
      <c r="AG93" s="4225">
        <v>546.5</v>
      </c>
      <c r="AH93" s="4225">
        <v>0</v>
      </c>
      <c r="AI93" s="4225">
        <v>0</v>
      </c>
      <c r="AJ93" s="4225">
        <v>0</v>
      </c>
      <c r="AK93" s="4225">
        <v>0</v>
      </c>
      <c r="AL93" s="4225">
        <v>5.3</v>
      </c>
      <c r="AM93" s="4221">
        <v>0</v>
      </c>
      <c r="AN93" s="4226">
        <v>0</v>
      </c>
      <c r="AO93" s="4224"/>
      <c r="AP93" s="4224"/>
      <c r="AQ93" s="4224">
        <v>4135298</v>
      </c>
      <c r="AR93" s="4221">
        <v>0.3</v>
      </c>
      <c r="AS93" s="4217">
        <v>5309988</v>
      </c>
      <c r="AT93" s="5216">
        <v>0</v>
      </c>
      <c r="AU93" s="5216">
        <v>0</v>
      </c>
      <c r="AV93" s="4220">
        <v>4135298</v>
      </c>
      <c r="AW93" s="5243">
        <v>0</v>
      </c>
      <c r="AX93" s="4224"/>
      <c r="AY93" s="5217">
        <v>950533</v>
      </c>
      <c r="AZ93" s="4224"/>
      <c r="BA93" s="4224">
        <v>269154</v>
      </c>
      <c r="BB93" s="4224">
        <v>0</v>
      </c>
      <c r="BC93" s="5218"/>
      <c r="BD93" s="4217">
        <v>0</v>
      </c>
      <c r="BE93" s="4224">
        <v>4119912</v>
      </c>
    </row>
    <row r="94" spans="1:57">
      <c r="A94" s="3810">
        <v>289</v>
      </c>
      <c r="B94" s="4210" t="s">
        <v>487</v>
      </c>
      <c r="C94" s="4211" t="s">
        <v>206</v>
      </c>
      <c r="D94" s="4212">
        <v>48307306</v>
      </c>
      <c r="E94" s="4213">
        <v>44089712</v>
      </c>
      <c r="F94" s="4224">
        <v>49302033</v>
      </c>
      <c r="G94" s="4224">
        <v>45070856</v>
      </c>
      <c r="H94" s="4214">
        <v>765</v>
      </c>
      <c r="I94" s="4215">
        <v>753</v>
      </c>
      <c r="J94" s="4216">
        <v>130</v>
      </c>
      <c r="K94" s="4217">
        <v>6539221</v>
      </c>
      <c r="L94" s="4225">
        <v>776</v>
      </c>
      <c r="M94" s="4225">
        <v>768.4</v>
      </c>
      <c r="N94" s="4225">
        <v>767</v>
      </c>
      <c r="O94" s="4225">
        <v>753</v>
      </c>
      <c r="P94" s="4218">
        <v>794521</v>
      </c>
      <c r="Q94" s="4218">
        <v>767635</v>
      </c>
      <c r="R94" s="4220">
        <v>804661</v>
      </c>
      <c r="S94" s="4220"/>
      <c r="T94" s="4219">
        <v>5906</v>
      </c>
      <c r="U94" s="5214">
        <v>3024</v>
      </c>
      <c r="V94" s="4222"/>
      <c r="W94" s="4224">
        <v>0</v>
      </c>
      <c r="X94" s="4217">
        <v>199</v>
      </c>
      <c r="Y94" s="4223">
        <v>43</v>
      </c>
      <c r="Z94" s="5215">
        <v>0.33</v>
      </c>
      <c r="AA94" s="5215">
        <v>0.11</v>
      </c>
      <c r="AB94" s="5205">
        <v>0.45369999999999999</v>
      </c>
      <c r="AC94" s="4224">
        <v>438684</v>
      </c>
      <c r="AD94" s="4224"/>
      <c r="AE94" s="4224">
        <v>480311</v>
      </c>
      <c r="AF94" s="4225">
        <v>776</v>
      </c>
      <c r="AG94" s="4225">
        <v>762.4</v>
      </c>
      <c r="AH94" s="4225">
        <v>2.1</v>
      </c>
      <c r="AI94" s="4225">
        <v>0</v>
      </c>
      <c r="AJ94" s="4225">
        <v>0</v>
      </c>
      <c r="AK94" s="4225">
        <v>0</v>
      </c>
      <c r="AL94" s="4225">
        <v>0</v>
      </c>
      <c r="AM94" s="4221">
        <v>0</v>
      </c>
      <c r="AN94" s="4226">
        <v>0</v>
      </c>
      <c r="AO94" s="4224"/>
      <c r="AP94" s="4224"/>
      <c r="AQ94" s="4224">
        <v>4568180</v>
      </c>
      <c r="AR94" s="4221">
        <v>0.3</v>
      </c>
      <c r="AS94" s="4217">
        <v>6112028</v>
      </c>
      <c r="AT94" s="5216">
        <v>0</v>
      </c>
      <c r="AU94" s="5216">
        <v>0</v>
      </c>
      <c r="AV94" s="4220">
        <v>4568180</v>
      </c>
      <c r="AW94" s="5243">
        <v>63986</v>
      </c>
      <c r="AX94" s="4224"/>
      <c r="AY94" s="5221">
        <v>804628</v>
      </c>
      <c r="AZ94" s="4224"/>
      <c r="BA94" s="4224">
        <v>367406</v>
      </c>
      <c r="BB94" s="4224">
        <v>57701</v>
      </c>
      <c r="BC94" s="5218"/>
      <c r="BD94" s="4217">
        <v>0</v>
      </c>
      <c r="BE94" s="4224">
        <v>4541588</v>
      </c>
    </row>
    <row r="95" spans="1:57">
      <c r="A95" s="3810">
        <v>290</v>
      </c>
      <c r="B95" s="4210" t="s">
        <v>488</v>
      </c>
      <c r="C95" s="4211" t="s">
        <v>206</v>
      </c>
      <c r="D95" s="4212">
        <v>119197290</v>
      </c>
      <c r="E95" s="4213">
        <v>107448128</v>
      </c>
      <c r="F95" s="4224">
        <v>120505388</v>
      </c>
      <c r="G95" s="4224">
        <v>108791195</v>
      </c>
      <c r="H95" s="4214">
        <v>2375.4</v>
      </c>
      <c r="I95" s="4215">
        <v>2294.3000000000002</v>
      </c>
      <c r="J95" s="4216">
        <v>115.9</v>
      </c>
      <c r="K95" s="4217">
        <v>19467320</v>
      </c>
      <c r="L95" s="4225">
        <v>2409.4</v>
      </c>
      <c r="M95" s="4225">
        <v>2392.4</v>
      </c>
      <c r="N95" s="4225">
        <v>2405.4</v>
      </c>
      <c r="O95" s="4225">
        <v>2337.1999999999998</v>
      </c>
      <c r="P95" s="4218">
        <v>2059065</v>
      </c>
      <c r="Q95" s="4218">
        <v>2238936</v>
      </c>
      <c r="R95" s="4220">
        <v>2790842</v>
      </c>
      <c r="S95" s="4220"/>
      <c r="T95" s="4219">
        <v>4170</v>
      </c>
      <c r="U95" s="5214">
        <v>3119</v>
      </c>
      <c r="V95" s="4222"/>
      <c r="W95" s="4224">
        <v>0</v>
      </c>
      <c r="X95" s="4217">
        <v>1179</v>
      </c>
      <c r="Y95" s="4223">
        <v>244</v>
      </c>
      <c r="Z95" s="5215">
        <v>0.48</v>
      </c>
      <c r="AA95" s="5215">
        <v>0.26</v>
      </c>
      <c r="AB95" s="5205">
        <v>0.57750000000000001</v>
      </c>
      <c r="AC95" s="4224">
        <v>1550857</v>
      </c>
      <c r="AD95" s="4224"/>
      <c r="AE95" s="4224">
        <v>1755899</v>
      </c>
      <c r="AF95" s="4225">
        <v>2371.6999999999998</v>
      </c>
      <c r="AG95" s="4225">
        <v>2355.6</v>
      </c>
      <c r="AH95" s="4225">
        <v>12.6</v>
      </c>
      <c r="AI95" s="4225">
        <v>0</v>
      </c>
      <c r="AJ95" s="4225">
        <v>0</v>
      </c>
      <c r="AK95" s="4225">
        <v>0</v>
      </c>
      <c r="AL95" s="4225">
        <v>0</v>
      </c>
      <c r="AM95" s="4221">
        <v>0</v>
      </c>
      <c r="AN95" s="4226">
        <v>0</v>
      </c>
      <c r="AO95" s="4224"/>
      <c r="AP95" s="4224"/>
      <c r="AQ95" s="4224">
        <v>12778839</v>
      </c>
      <c r="AR95" s="4221">
        <v>0.3</v>
      </c>
      <c r="AS95" s="4217">
        <v>16898066</v>
      </c>
      <c r="AT95" s="5216">
        <v>0</v>
      </c>
      <c r="AU95" s="5216">
        <v>0</v>
      </c>
      <c r="AV95" s="4220">
        <v>12778839</v>
      </c>
      <c r="AW95" s="5243">
        <v>252929</v>
      </c>
      <c r="AX95" s="4224"/>
      <c r="AY95" s="5217">
        <v>2790842</v>
      </c>
      <c r="AZ95" s="4224"/>
      <c r="BA95" s="4224">
        <v>1333298</v>
      </c>
      <c r="BB95" s="4224">
        <v>252929</v>
      </c>
      <c r="BC95" s="5218"/>
      <c r="BD95" s="4217">
        <v>0</v>
      </c>
      <c r="BE95" s="4224">
        <v>12809956</v>
      </c>
    </row>
    <row r="96" spans="1:57">
      <c r="A96" s="3810">
        <v>291</v>
      </c>
      <c r="B96" s="4210" t="s">
        <v>489</v>
      </c>
      <c r="C96" s="4211" t="s">
        <v>207</v>
      </c>
      <c r="D96" s="4212">
        <v>26384515</v>
      </c>
      <c r="E96" s="4213">
        <v>25750953</v>
      </c>
      <c r="F96" s="4224">
        <v>21555308</v>
      </c>
      <c r="G96" s="4224">
        <v>20923132</v>
      </c>
      <c r="H96" s="4214">
        <v>82.5</v>
      </c>
      <c r="I96" s="4215">
        <v>85.5</v>
      </c>
      <c r="J96" s="4216">
        <v>267.8</v>
      </c>
      <c r="K96" s="4217">
        <v>944300</v>
      </c>
      <c r="L96" s="4225">
        <v>81</v>
      </c>
      <c r="M96" s="4225">
        <v>91</v>
      </c>
      <c r="N96" s="4225">
        <v>82.5</v>
      </c>
      <c r="O96" s="4225">
        <v>85.5</v>
      </c>
      <c r="P96" s="4218">
        <v>98288</v>
      </c>
      <c r="Q96" s="4218">
        <v>95876</v>
      </c>
      <c r="R96" s="4220">
        <v>0</v>
      </c>
      <c r="S96" s="4220"/>
      <c r="T96" s="4219">
        <v>0</v>
      </c>
      <c r="U96" s="5214">
        <v>0</v>
      </c>
      <c r="V96" s="4222"/>
      <c r="W96" s="4224">
        <v>0</v>
      </c>
      <c r="X96" s="4217">
        <v>24</v>
      </c>
      <c r="Y96" s="4223">
        <v>9</v>
      </c>
      <c r="Z96" s="5215">
        <v>0</v>
      </c>
      <c r="AA96" s="5215">
        <v>0</v>
      </c>
      <c r="AB96" s="5205">
        <v>0</v>
      </c>
      <c r="AC96" s="4224">
        <v>60219</v>
      </c>
      <c r="AD96" s="4224"/>
      <c r="AE96" s="4224">
        <v>73018</v>
      </c>
      <c r="AF96" s="4225">
        <v>79.5</v>
      </c>
      <c r="AG96" s="4225">
        <v>90</v>
      </c>
      <c r="AH96" s="4225">
        <v>0</v>
      </c>
      <c r="AI96" s="4225">
        <v>0</v>
      </c>
      <c r="AJ96" s="4225">
        <v>0</v>
      </c>
      <c r="AK96" s="4225">
        <v>0</v>
      </c>
      <c r="AL96" s="4225">
        <v>0</v>
      </c>
      <c r="AM96" s="4221">
        <v>0</v>
      </c>
      <c r="AN96" s="4226">
        <v>0</v>
      </c>
      <c r="AO96" s="4224"/>
      <c r="AP96" s="4224"/>
      <c r="AQ96" s="4224">
        <v>789431</v>
      </c>
      <c r="AR96" s="4221">
        <v>0.21260000000000001</v>
      </c>
      <c r="AS96" s="4217">
        <v>1034902</v>
      </c>
      <c r="AT96" s="5216">
        <v>0</v>
      </c>
      <c r="AU96" s="5216">
        <v>0</v>
      </c>
      <c r="AV96" s="4220">
        <v>789431</v>
      </c>
      <c r="AW96" s="5243">
        <v>0</v>
      </c>
      <c r="AX96" s="4224"/>
      <c r="AY96" s="5217">
        <v>0</v>
      </c>
      <c r="AZ96" s="4224"/>
      <c r="BA96" s="4224">
        <v>55407</v>
      </c>
      <c r="BB96" s="4224">
        <v>0</v>
      </c>
      <c r="BC96" s="5218"/>
      <c r="BD96" s="4217">
        <v>0</v>
      </c>
      <c r="BE96" s="4224">
        <v>786273</v>
      </c>
    </row>
    <row r="97" spans="1:57">
      <c r="A97" s="3810">
        <v>292</v>
      </c>
      <c r="B97" s="4210" t="s">
        <v>1467</v>
      </c>
      <c r="C97" s="4211" t="s">
        <v>207</v>
      </c>
      <c r="D97" s="4212">
        <v>16613966</v>
      </c>
      <c r="E97" s="4213">
        <v>15690346</v>
      </c>
      <c r="F97" s="4224">
        <v>16478606</v>
      </c>
      <c r="G97" s="4224">
        <v>15558371</v>
      </c>
      <c r="H97" s="4214">
        <v>106.5</v>
      </c>
      <c r="I97" s="4215">
        <v>102</v>
      </c>
      <c r="J97" s="4216">
        <v>437</v>
      </c>
      <c r="K97" s="4217">
        <v>1217153</v>
      </c>
      <c r="L97" s="4225">
        <v>92</v>
      </c>
      <c r="M97" s="4225">
        <v>97.5</v>
      </c>
      <c r="N97" s="4225">
        <v>106.5</v>
      </c>
      <c r="O97" s="4225">
        <v>102</v>
      </c>
      <c r="P97" s="4218">
        <v>135962</v>
      </c>
      <c r="Q97" s="4218">
        <v>149495</v>
      </c>
      <c r="R97" s="4220">
        <v>0</v>
      </c>
      <c r="S97" s="4220"/>
      <c r="T97" s="4219">
        <v>0</v>
      </c>
      <c r="U97" s="5214">
        <v>0</v>
      </c>
      <c r="V97" s="4222"/>
      <c r="W97" s="4224">
        <v>0</v>
      </c>
      <c r="X97" s="4217">
        <v>30</v>
      </c>
      <c r="Y97" s="4223">
        <v>17</v>
      </c>
      <c r="Z97" s="5215">
        <v>0</v>
      </c>
      <c r="AA97" s="5215">
        <v>0</v>
      </c>
      <c r="AB97" s="5205">
        <v>0</v>
      </c>
      <c r="AC97" s="4224">
        <v>97655</v>
      </c>
      <c r="AD97" s="4224"/>
      <c r="AE97" s="4224">
        <v>111756</v>
      </c>
      <c r="AF97" s="4225">
        <v>92</v>
      </c>
      <c r="AG97" s="4225">
        <v>97.5</v>
      </c>
      <c r="AH97" s="4225">
        <v>0</v>
      </c>
      <c r="AI97" s="4225">
        <v>0</v>
      </c>
      <c r="AJ97" s="4225">
        <v>0</v>
      </c>
      <c r="AK97" s="4225">
        <v>0</v>
      </c>
      <c r="AL97" s="4225">
        <v>0</v>
      </c>
      <c r="AM97" s="4221">
        <v>0</v>
      </c>
      <c r="AN97" s="4226">
        <v>0</v>
      </c>
      <c r="AO97" s="4224"/>
      <c r="AP97" s="4224"/>
      <c r="AQ97" s="4224">
        <v>982400</v>
      </c>
      <c r="AR97" s="4221">
        <v>0.3</v>
      </c>
      <c r="AS97" s="4217">
        <v>1352742</v>
      </c>
      <c r="AT97" s="5216">
        <v>0</v>
      </c>
      <c r="AU97" s="5216">
        <v>0</v>
      </c>
      <c r="AV97" s="4220">
        <v>982400</v>
      </c>
      <c r="AW97" s="5243">
        <v>0</v>
      </c>
      <c r="AX97" s="4224"/>
      <c r="AY97" s="5217">
        <v>0</v>
      </c>
      <c r="AZ97" s="4224"/>
      <c r="BA97" s="4224">
        <v>84871</v>
      </c>
      <c r="BB97" s="4224">
        <v>0</v>
      </c>
      <c r="BC97" s="5218"/>
      <c r="BD97" s="4217">
        <v>0</v>
      </c>
      <c r="BE97" s="4224">
        <v>978470</v>
      </c>
    </row>
    <row r="98" spans="1:57">
      <c r="A98" s="3810">
        <v>293</v>
      </c>
      <c r="B98" s="4210" t="s">
        <v>490</v>
      </c>
      <c r="C98" s="4211" t="s">
        <v>207</v>
      </c>
      <c r="D98" s="4212">
        <v>26592978</v>
      </c>
      <c r="E98" s="4213">
        <v>25195812</v>
      </c>
      <c r="F98" s="4224">
        <v>20741785</v>
      </c>
      <c r="G98" s="4224">
        <v>19337759</v>
      </c>
      <c r="H98" s="4214">
        <v>283.5</v>
      </c>
      <c r="I98" s="4215">
        <v>269</v>
      </c>
      <c r="J98" s="4216">
        <v>400.8</v>
      </c>
      <c r="K98" s="4217">
        <v>2558495</v>
      </c>
      <c r="L98" s="4225">
        <v>288.2</v>
      </c>
      <c r="M98" s="4225">
        <v>288.5</v>
      </c>
      <c r="N98" s="4225">
        <v>286.5</v>
      </c>
      <c r="O98" s="4225">
        <v>272</v>
      </c>
      <c r="P98" s="4218">
        <v>531406</v>
      </c>
      <c r="Q98" s="4218">
        <v>300590</v>
      </c>
      <c r="R98" s="4220">
        <v>204147</v>
      </c>
      <c r="S98" s="4220"/>
      <c r="T98" s="4219">
        <v>0</v>
      </c>
      <c r="U98" s="5214">
        <v>0</v>
      </c>
      <c r="V98" s="4222"/>
      <c r="W98" s="4224">
        <v>0</v>
      </c>
      <c r="X98" s="4217">
        <v>69</v>
      </c>
      <c r="Y98" s="4223">
        <v>27</v>
      </c>
      <c r="Z98" s="5215">
        <v>0.22</v>
      </c>
      <c r="AA98" s="5215">
        <v>0</v>
      </c>
      <c r="AB98" s="5205">
        <v>0.36370000000000002</v>
      </c>
      <c r="AC98" s="4224">
        <v>182335</v>
      </c>
      <c r="AD98" s="4224"/>
      <c r="AE98" s="4224">
        <v>197333</v>
      </c>
      <c r="AF98" s="4225">
        <v>286.7</v>
      </c>
      <c r="AG98" s="4225">
        <v>285.5</v>
      </c>
      <c r="AH98" s="4225">
        <v>0</v>
      </c>
      <c r="AI98" s="4225">
        <v>0</v>
      </c>
      <c r="AJ98" s="4225">
        <v>0</v>
      </c>
      <c r="AK98" s="4225">
        <v>0</v>
      </c>
      <c r="AL98" s="4225">
        <v>0</v>
      </c>
      <c r="AM98" s="4221">
        <v>0</v>
      </c>
      <c r="AN98" s="4226">
        <v>0</v>
      </c>
      <c r="AO98" s="4224"/>
      <c r="AP98" s="4224"/>
      <c r="AQ98" s="4224">
        <v>1902280</v>
      </c>
      <c r="AR98" s="4221">
        <v>0.31</v>
      </c>
      <c r="AS98" s="4217">
        <v>2777304</v>
      </c>
      <c r="AT98" s="5216">
        <v>0</v>
      </c>
      <c r="AU98" s="5216">
        <v>0</v>
      </c>
      <c r="AV98" s="4220">
        <v>1902280</v>
      </c>
      <c r="AW98" s="5243">
        <v>9437</v>
      </c>
      <c r="AX98" s="4224"/>
      <c r="AY98" s="5217">
        <v>204147</v>
      </c>
      <c r="AZ98" s="4224"/>
      <c r="BA98" s="4224">
        <v>152177</v>
      </c>
      <c r="BB98" s="4224">
        <v>0</v>
      </c>
      <c r="BC98" s="5218"/>
      <c r="BD98" s="4217">
        <v>328420</v>
      </c>
      <c r="BE98" s="4224">
        <v>1894671</v>
      </c>
    </row>
    <row r="99" spans="1:57">
      <c r="A99" s="3810">
        <v>294</v>
      </c>
      <c r="B99" s="4210" t="s">
        <v>491</v>
      </c>
      <c r="C99" s="4211" t="s">
        <v>208</v>
      </c>
      <c r="D99" s="4212">
        <v>38904203</v>
      </c>
      <c r="E99" s="4213">
        <v>35834480</v>
      </c>
      <c r="F99" s="4224">
        <v>44301134</v>
      </c>
      <c r="G99" s="4224">
        <v>41244084</v>
      </c>
      <c r="H99" s="4214">
        <v>332</v>
      </c>
      <c r="I99" s="4215">
        <v>310.5</v>
      </c>
      <c r="J99" s="4216">
        <v>828</v>
      </c>
      <c r="K99" s="4217">
        <v>3018243</v>
      </c>
      <c r="L99" s="4225">
        <v>343</v>
      </c>
      <c r="M99" s="4225">
        <v>344.5</v>
      </c>
      <c r="N99" s="4225">
        <v>332</v>
      </c>
      <c r="O99" s="4225">
        <v>310.5</v>
      </c>
      <c r="P99" s="4218">
        <v>314467</v>
      </c>
      <c r="Q99" s="4218">
        <v>346272</v>
      </c>
      <c r="R99" s="4220">
        <v>55637</v>
      </c>
      <c r="S99" s="4220"/>
      <c r="T99" s="4219">
        <v>0</v>
      </c>
      <c r="U99" s="5214">
        <v>0</v>
      </c>
      <c r="V99" s="4222"/>
      <c r="W99" s="4224">
        <v>0</v>
      </c>
      <c r="X99" s="4217">
        <v>108</v>
      </c>
      <c r="Y99" s="4223">
        <v>40</v>
      </c>
      <c r="Z99" s="5215">
        <v>0</v>
      </c>
      <c r="AA99" s="5215">
        <v>0</v>
      </c>
      <c r="AB99" s="5205">
        <v>0</v>
      </c>
      <c r="AC99" s="4224">
        <v>262335</v>
      </c>
      <c r="AD99" s="4224"/>
      <c r="AE99" s="4224">
        <v>278156</v>
      </c>
      <c r="AF99" s="4225">
        <v>343</v>
      </c>
      <c r="AG99" s="4225">
        <v>344.5</v>
      </c>
      <c r="AH99" s="4225">
        <v>0</v>
      </c>
      <c r="AI99" s="4225">
        <v>0</v>
      </c>
      <c r="AJ99" s="4225">
        <v>0</v>
      </c>
      <c r="AK99" s="4225">
        <v>0</v>
      </c>
      <c r="AL99" s="4225">
        <v>0</v>
      </c>
      <c r="AM99" s="4221">
        <v>0</v>
      </c>
      <c r="AN99" s="4226">
        <v>0</v>
      </c>
      <c r="AO99" s="4224"/>
      <c r="AP99" s="4224"/>
      <c r="AQ99" s="4224">
        <v>2286239</v>
      </c>
      <c r="AR99" s="4221">
        <v>0.3</v>
      </c>
      <c r="AS99" s="4217">
        <v>3014309</v>
      </c>
      <c r="AT99" s="5216">
        <v>0</v>
      </c>
      <c r="AU99" s="5216">
        <v>0</v>
      </c>
      <c r="AV99" s="4220">
        <v>2286239</v>
      </c>
      <c r="AW99" s="5243">
        <v>0</v>
      </c>
      <c r="AX99" s="4224"/>
      <c r="AY99" s="5217">
        <v>49483</v>
      </c>
      <c r="AZ99" s="4224"/>
      <c r="BA99" s="4224">
        <v>215710</v>
      </c>
      <c r="BB99" s="4224">
        <v>0</v>
      </c>
      <c r="BC99" s="5218"/>
      <c r="BD99" s="4217">
        <v>0</v>
      </c>
      <c r="BE99" s="4224">
        <v>2277094</v>
      </c>
    </row>
    <row r="100" spans="1:57">
      <c r="A100" s="3810">
        <v>297</v>
      </c>
      <c r="B100" s="4210" t="s">
        <v>492</v>
      </c>
      <c r="C100" s="4211" t="s">
        <v>169</v>
      </c>
      <c r="D100" s="4212">
        <v>29501691</v>
      </c>
      <c r="E100" s="4213">
        <v>27210664</v>
      </c>
      <c r="F100" s="4224">
        <v>27494612</v>
      </c>
      <c r="G100" s="4224">
        <v>25196560</v>
      </c>
      <c r="H100" s="4214">
        <v>277</v>
      </c>
      <c r="I100" s="4215">
        <v>270</v>
      </c>
      <c r="J100" s="4216">
        <v>640</v>
      </c>
      <c r="K100" s="4217">
        <v>2351918</v>
      </c>
      <c r="L100" s="4225">
        <v>283</v>
      </c>
      <c r="M100" s="4225">
        <v>284</v>
      </c>
      <c r="N100" s="4225">
        <v>277</v>
      </c>
      <c r="O100" s="4225">
        <v>270</v>
      </c>
      <c r="P100" s="4218">
        <v>215814</v>
      </c>
      <c r="Q100" s="4218">
        <v>187738</v>
      </c>
      <c r="R100" s="4220">
        <v>103888</v>
      </c>
      <c r="S100" s="4220"/>
      <c r="T100" s="4219">
        <v>0</v>
      </c>
      <c r="U100" s="5214">
        <v>0</v>
      </c>
      <c r="V100" s="4222"/>
      <c r="W100" s="4224">
        <v>0</v>
      </c>
      <c r="X100" s="4217">
        <v>84</v>
      </c>
      <c r="Y100" s="4223">
        <v>41</v>
      </c>
      <c r="Z100" s="5215">
        <v>0</v>
      </c>
      <c r="AA100" s="5215">
        <v>0</v>
      </c>
      <c r="AB100" s="5205">
        <v>0.15459999999999999</v>
      </c>
      <c r="AC100" s="4224">
        <v>179922</v>
      </c>
      <c r="AD100" s="4224"/>
      <c r="AE100" s="4224">
        <v>197433</v>
      </c>
      <c r="AF100" s="4225">
        <v>283</v>
      </c>
      <c r="AG100" s="4225">
        <v>284</v>
      </c>
      <c r="AH100" s="4225">
        <v>0</v>
      </c>
      <c r="AI100" s="4225">
        <v>0</v>
      </c>
      <c r="AJ100" s="4225">
        <v>0</v>
      </c>
      <c r="AK100" s="4225">
        <v>0</v>
      </c>
      <c r="AL100" s="4225">
        <v>0</v>
      </c>
      <c r="AM100" s="4221">
        <v>0</v>
      </c>
      <c r="AN100" s="4226">
        <v>0</v>
      </c>
      <c r="AO100" s="4224"/>
      <c r="AP100" s="4224"/>
      <c r="AQ100" s="4224">
        <v>1927280</v>
      </c>
      <c r="AR100" s="4221">
        <v>0.3</v>
      </c>
      <c r="AS100" s="4217">
        <v>2498530</v>
      </c>
      <c r="AT100" s="5216">
        <v>0</v>
      </c>
      <c r="AU100" s="5216">
        <v>0</v>
      </c>
      <c r="AV100" s="4220">
        <v>1927280</v>
      </c>
      <c r="AW100" s="5243">
        <v>0</v>
      </c>
      <c r="AX100" s="4224"/>
      <c r="AY100" s="5217">
        <v>91206</v>
      </c>
      <c r="AZ100" s="4224"/>
      <c r="BA100" s="4224">
        <v>149419</v>
      </c>
      <c r="BB100" s="4224">
        <v>0</v>
      </c>
      <c r="BC100" s="5218"/>
      <c r="BD100" s="4217">
        <v>9756</v>
      </c>
      <c r="BE100" s="4224">
        <v>1919571</v>
      </c>
    </row>
    <row r="101" spans="1:57">
      <c r="A101" s="3810">
        <v>298</v>
      </c>
      <c r="B101" s="4210" t="s">
        <v>493</v>
      </c>
      <c r="C101" s="4211" t="s">
        <v>209</v>
      </c>
      <c r="D101" s="4212">
        <v>23943471</v>
      </c>
      <c r="E101" s="4213">
        <v>21568552</v>
      </c>
      <c r="F101" s="4224">
        <v>33753288</v>
      </c>
      <c r="G101" s="4224">
        <v>31396538</v>
      </c>
      <c r="H101" s="4214">
        <v>326.60000000000002</v>
      </c>
      <c r="I101" s="4215">
        <v>339.5</v>
      </c>
      <c r="J101" s="4216">
        <v>444</v>
      </c>
      <c r="K101" s="4217">
        <v>3524957</v>
      </c>
      <c r="L101" s="4225">
        <v>343.3</v>
      </c>
      <c r="M101" s="4225">
        <v>347</v>
      </c>
      <c r="N101" s="4225">
        <v>333.1</v>
      </c>
      <c r="O101" s="4225">
        <v>346</v>
      </c>
      <c r="P101" s="4218">
        <v>440429</v>
      </c>
      <c r="Q101" s="4218">
        <v>399342</v>
      </c>
      <c r="R101" s="4220">
        <v>334115</v>
      </c>
      <c r="S101" s="4220"/>
      <c r="T101" s="4219">
        <v>0</v>
      </c>
      <c r="U101" s="5214">
        <v>0</v>
      </c>
      <c r="V101" s="4222"/>
      <c r="W101" s="4224">
        <v>0</v>
      </c>
      <c r="X101" s="4217">
        <v>154</v>
      </c>
      <c r="Y101" s="4223">
        <v>65</v>
      </c>
      <c r="Z101" s="5215">
        <v>0.01</v>
      </c>
      <c r="AA101" s="5215">
        <v>0</v>
      </c>
      <c r="AB101" s="5205">
        <v>0.18790000000000001</v>
      </c>
      <c r="AC101" s="4224">
        <v>238321</v>
      </c>
      <c r="AD101" s="4224"/>
      <c r="AE101" s="4224">
        <v>262198</v>
      </c>
      <c r="AF101" s="4225">
        <v>336.8</v>
      </c>
      <c r="AG101" s="4225">
        <v>340.5</v>
      </c>
      <c r="AH101" s="4225">
        <v>0</v>
      </c>
      <c r="AI101" s="4225">
        <v>0</v>
      </c>
      <c r="AJ101" s="4225">
        <v>0</v>
      </c>
      <c r="AK101" s="4225">
        <v>0</v>
      </c>
      <c r="AL101" s="4225">
        <v>0</v>
      </c>
      <c r="AM101" s="4221">
        <v>0</v>
      </c>
      <c r="AN101" s="4226">
        <v>0</v>
      </c>
      <c r="AO101" s="4224"/>
      <c r="AP101" s="4224"/>
      <c r="AQ101" s="4224">
        <v>2470913</v>
      </c>
      <c r="AR101" s="4221">
        <v>0.3</v>
      </c>
      <c r="AS101" s="4217">
        <v>3320764</v>
      </c>
      <c r="AT101" s="5216">
        <v>0</v>
      </c>
      <c r="AU101" s="5216">
        <v>0</v>
      </c>
      <c r="AV101" s="4220">
        <v>2470913</v>
      </c>
      <c r="AW101" s="5243">
        <v>23274</v>
      </c>
      <c r="AX101" s="4224"/>
      <c r="AY101" s="5217">
        <v>334115</v>
      </c>
      <c r="AZ101" s="4224"/>
      <c r="BA101" s="4224">
        <v>200709</v>
      </c>
      <c r="BB101" s="4224">
        <v>13356</v>
      </c>
      <c r="BC101" s="5218"/>
      <c r="BD101" s="4217">
        <v>0</v>
      </c>
      <c r="BE101" s="4224">
        <v>2461029</v>
      </c>
    </row>
    <row r="102" spans="1:57">
      <c r="A102" s="3810">
        <v>299</v>
      </c>
      <c r="B102" s="4210" t="s">
        <v>494</v>
      </c>
      <c r="C102" s="4211" t="s">
        <v>209</v>
      </c>
      <c r="D102" s="4212">
        <v>22727573</v>
      </c>
      <c r="E102" s="4213">
        <v>20780930</v>
      </c>
      <c r="F102" s="4224">
        <v>28616363</v>
      </c>
      <c r="G102" s="4224">
        <v>26667470</v>
      </c>
      <c r="H102" s="4214">
        <v>217.8</v>
      </c>
      <c r="I102" s="4215">
        <v>225.4</v>
      </c>
      <c r="J102" s="4216">
        <v>623</v>
      </c>
      <c r="K102" s="4217">
        <v>2235229</v>
      </c>
      <c r="L102" s="4225">
        <v>232.5</v>
      </c>
      <c r="M102" s="4225">
        <v>230.5</v>
      </c>
      <c r="N102" s="4225">
        <v>221.3</v>
      </c>
      <c r="O102" s="4225">
        <v>227.9</v>
      </c>
      <c r="P102" s="4218">
        <v>235133</v>
      </c>
      <c r="Q102" s="4218">
        <v>219584</v>
      </c>
      <c r="R102" s="4220">
        <v>79904</v>
      </c>
      <c r="S102" s="4220"/>
      <c r="T102" s="4219">
        <v>266</v>
      </c>
      <c r="U102" s="5214">
        <v>123</v>
      </c>
      <c r="V102" s="4222"/>
      <c r="W102" s="4224">
        <v>0</v>
      </c>
      <c r="X102" s="4217">
        <v>75</v>
      </c>
      <c r="Y102" s="4223">
        <v>40</v>
      </c>
      <c r="Z102" s="5215">
        <v>0</v>
      </c>
      <c r="AA102" s="5215">
        <v>0</v>
      </c>
      <c r="AB102" s="5205">
        <v>0</v>
      </c>
      <c r="AC102" s="4224">
        <v>135250</v>
      </c>
      <c r="AD102" s="4224"/>
      <c r="AE102" s="4224">
        <v>138359</v>
      </c>
      <c r="AF102" s="4225">
        <v>219.5</v>
      </c>
      <c r="AG102" s="4225">
        <v>212.7</v>
      </c>
      <c r="AH102" s="4225">
        <v>0</v>
      </c>
      <c r="AI102" s="4225">
        <v>0</v>
      </c>
      <c r="AJ102" s="4225">
        <v>0</v>
      </c>
      <c r="AK102" s="4225">
        <v>0</v>
      </c>
      <c r="AL102" s="4225">
        <v>0</v>
      </c>
      <c r="AM102" s="4221">
        <v>0</v>
      </c>
      <c r="AN102" s="4226">
        <v>0</v>
      </c>
      <c r="AO102" s="4224"/>
      <c r="AP102" s="4224"/>
      <c r="AQ102" s="4224">
        <v>1851008</v>
      </c>
      <c r="AR102" s="4221">
        <v>0.23130000000000001</v>
      </c>
      <c r="AS102" s="4217">
        <v>2394374</v>
      </c>
      <c r="AT102" s="5216">
        <v>0</v>
      </c>
      <c r="AU102" s="5216">
        <v>0</v>
      </c>
      <c r="AV102" s="4220">
        <v>1851008</v>
      </c>
      <c r="AW102" s="5243">
        <v>0</v>
      </c>
      <c r="AX102" s="4224"/>
      <c r="AY102" s="5221">
        <v>66548</v>
      </c>
      <c r="AZ102" s="4224"/>
      <c r="BA102" s="4224">
        <v>105493</v>
      </c>
      <c r="BB102" s="4224">
        <v>0</v>
      </c>
      <c r="BC102" s="5218"/>
      <c r="BD102" s="4217">
        <v>0</v>
      </c>
      <c r="BE102" s="4224">
        <v>1839479</v>
      </c>
    </row>
    <row r="103" spans="1:57">
      <c r="A103" s="3810">
        <v>300</v>
      </c>
      <c r="B103" s="4210" t="s">
        <v>495</v>
      </c>
      <c r="C103" s="4211" t="s">
        <v>210</v>
      </c>
      <c r="D103" s="4212">
        <v>61492130</v>
      </c>
      <c r="E103" s="4213">
        <v>59491106</v>
      </c>
      <c r="F103" s="4224">
        <v>45878494</v>
      </c>
      <c r="G103" s="4224">
        <v>43858228</v>
      </c>
      <c r="H103" s="4214">
        <v>312</v>
      </c>
      <c r="I103" s="4215">
        <v>313</v>
      </c>
      <c r="J103" s="4216">
        <v>864</v>
      </c>
      <c r="K103" s="4217">
        <v>2797294</v>
      </c>
      <c r="L103" s="4225">
        <v>326</v>
      </c>
      <c r="M103" s="4225">
        <v>324.5</v>
      </c>
      <c r="N103" s="4225">
        <v>312</v>
      </c>
      <c r="O103" s="4225">
        <v>313</v>
      </c>
      <c r="P103" s="4218">
        <v>438618</v>
      </c>
      <c r="Q103" s="4218">
        <v>406443</v>
      </c>
      <c r="R103" s="4220">
        <v>0</v>
      </c>
      <c r="S103" s="4220"/>
      <c r="T103" s="4219">
        <v>0</v>
      </c>
      <c r="U103" s="5214">
        <v>0</v>
      </c>
      <c r="V103" s="4222"/>
      <c r="W103" s="4224">
        <v>0</v>
      </c>
      <c r="X103" s="4217">
        <v>89</v>
      </c>
      <c r="Y103" s="4223">
        <v>32</v>
      </c>
      <c r="Z103" s="5215">
        <v>0</v>
      </c>
      <c r="AA103" s="5215">
        <v>0</v>
      </c>
      <c r="AB103" s="5205">
        <v>0</v>
      </c>
      <c r="AC103" s="4224">
        <v>167614</v>
      </c>
      <c r="AD103" s="4224"/>
      <c r="AE103" s="4224">
        <v>188459</v>
      </c>
      <c r="AF103" s="4225">
        <v>326</v>
      </c>
      <c r="AG103" s="4225">
        <v>324.5</v>
      </c>
      <c r="AH103" s="4225">
        <v>0</v>
      </c>
      <c r="AI103" s="4225">
        <v>0</v>
      </c>
      <c r="AJ103" s="4225">
        <v>0</v>
      </c>
      <c r="AK103" s="4225">
        <v>0</v>
      </c>
      <c r="AL103" s="4225">
        <v>0</v>
      </c>
      <c r="AM103" s="4221">
        <v>0</v>
      </c>
      <c r="AN103" s="4226">
        <v>0</v>
      </c>
      <c r="AO103" s="4224"/>
      <c r="AP103" s="4224"/>
      <c r="AQ103" s="4224">
        <v>2174974</v>
      </c>
      <c r="AR103" s="4221">
        <v>0.3</v>
      </c>
      <c r="AS103" s="4217">
        <v>3120944</v>
      </c>
      <c r="AT103" s="5216">
        <v>0</v>
      </c>
      <c r="AU103" s="5216">
        <v>0</v>
      </c>
      <c r="AV103" s="4220">
        <v>2174974</v>
      </c>
      <c r="AW103" s="5243">
        <v>0</v>
      </c>
      <c r="AX103" s="4224"/>
      <c r="AY103" s="5217">
        <v>0</v>
      </c>
      <c r="AZ103" s="4224"/>
      <c r="BA103" s="4224">
        <v>144039</v>
      </c>
      <c r="BB103" s="4224">
        <v>0</v>
      </c>
      <c r="BC103" s="5218"/>
      <c r="BD103" s="4217">
        <v>250169</v>
      </c>
      <c r="BE103" s="4224">
        <v>2160431</v>
      </c>
    </row>
    <row r="104" spans="1:57">
      <c r="A104" s="3810">
        <v>303</v>
      </c>
      <c r="B104" s="4210" t="s">
        <v>496</v>
      </c>
      <c r="C104" s="4211" t="s">
        <v>171</v>
      </c>
      <c r="D104" s="4212">
        <v>60990736</v>
      </c>
      <c r="E104" s="4213">
        <v>59133349</v>
      </c>
      <c r="F104" s="4224">
        <v>40726255</v>
      </c>
      <c r="G104" s="4224">
        <v>38845743</v>
      </c>
      <c r="H104" s="4214">
        <v>293.89999999999998</v>
      </c>
      <c r="I104" s="4215">
        <v>281.10000000000002</v>
      </c>
      <c r="J104" s="4216">
        <v>517.79999999999995</v>
      </c>
      <c r="K104" s="4217">
        <v>2310750</v>
      </c>
      <c r="L104" s="4225">
        <v>304.89999999999998</v>
      </c>
      <c r="M104" s="4225">
        <v>298.8</v>
      </c>
      <c r="N104" s="4225">
        <v>293.89999999999998</v>
      </c>
      <c r="O104" s="4225">
        <v>281.10000000000002</v>
      </c>
      <c r="P104" s="4218">
        <v>218573</v>
      </c>
      <c r="Q104" s="4218">
        <v>212506</v>
      </c>
      <c r="R104" s="4220">
        <v>0</v>
      </c>
      <c r="S104" s="4220"/>
      <c r="T104" s="4219">
        <v>0</v>
      </c>
      <c r="U104" s="5214">
        <v>0</v>
      </c>
      <c r="V104" s="4222"/>
      <c r="W104" s="4224">
        <v>0</v>
      </c>
      <c r="X104" s="4217">
        <v>102</v>
      </c>
      <c r="Y104" s="4223">
        <v>32</v>
      </c>
      <c r="Z104" s="5215">
        <v>0</v>
      </c>
      <c r="AA104" s="5215">
        <v>0</v>
      </c>
      <c r="AB104" s="5205">
        <v>0</v>
      </c>
      <c r="AC104" s="4224">
        <v>177581</v>
      </c>
      <c r="AD104" s="4224"/>
      <c r="AE104" s="4224">
        <v>196736</v>
      </c>
      <c r="AF104" s="4225">
        <v>304.89999999999998</v>
      </c>
      <c r="AG104" s="4225">
        <v>298.8</v>
      </c>
      <c r="AH104" s="4225">
        <v>0</v>
      </c>
      <c r="AI104" s="4225">
        <v>0</v>
      </c>
      <c r="AJ104" s="4225">
        <v>0</v>
      </c>
      <c r="AK104" s="4225">
        <v>0</v>
      </c>
      <c r="AL104" s="4225">
        <v>0</v>
      </c>
      <c r="AM104" s="4221">
        <v>0</v>
      </c>
      <c r="AN104" s="4226">
        <v>0</v>
      </c>
      <c r="AO104" s="4224"/>
      <c r="AP104" s="4224"/>
      <c r="AQ104" s="4224">
        <v>1915894</v>
      </c>
      <c r="AR104" s="4221">
        <v>0.3</v>
      </c>
      <c r="AS104" s="4217">
        <v>2572623</v>
      </c>
      <c r="AT104" s="5216">
        <v>0</v>
      </c>
      <c r="AU104" s="5216">
        <v>0</v>
      </c>
      <c r="AV104" s="4220">
        <v>1915894</v>
      </c>
      <c r="AW104" s="5243">
        <v>0</v>
      </c>
      <c r="AX104" s="4224"/>
      <c r="AY104" s="5217">
        <v>0</v>
      </c>
      <c r="AZ104" s="4224"/>
      <c r="BA104" s="4224">
        <v>150130</v>
      </c>
      <c r="BB104" s="4224">
        <v>0</v>
      </c>
      <c r="BC104" s="5218"/>
      <c r="BD104" s="4217">
        <v>254935</v>
      </c>
      <c r="BE104" s="4224">
        <v>1908229</v>
      </c>
    </row>
    <row r="105" spans="1:57">
      <c r="A105" s="3810">
        <v>305</v>
      </c>
      <c r="B105" s="4210" t="s">
        <v>497</v>
      </c>
      <c r="C105" s="4211" t="s">
        <v>211</v>
      </c>
      <c r="D105" s="4212">
        <v>435161671</v>
      </c>
      <c r="E105" s="4213">
        <v>395264406</v>
      </c>
      <c r="F105" s="4224">
        <v>441959487</v>
      </c>
      <c r="G105" s="4224">
        <v>402022121</v>
      </c>
      <c r="H105" s="4214">
        <v>6920.7</v>
      </c>
      <c r="I105" s="4215">
        <v>6883</v>
      </c>
      <c r="J105" s="4216">
        <v>93</v>
      </c>
      <c r="K105" s="4217">
        <v>55689796</v>
      </c>
      <c r="L105" s="4225">
        <v>6902.1</v>
      </c>
      <c r="M105" s="4225">
        <v>6924.1</v>
      </c>
      <c r="N105" s="4225">
        <v>7002.8</v>
      </c>
      <c r="O105" s="4225">
        <v>6975.4</v>
      </c>
      <c r="P105" s="4218">
        <v>6621228</v>
      </c>
      <c r="Q105" s="4218">
        <v>6513844</v>
      </c>
      <c r="R105" s="4220">
        <v>6442128</v>
      </c>
      <c r="S105" s="4220"/>
      <c r="T105" s="4219">
        <v>0</v>
      </c>
      <c r="U105" s="5214">
        <v>0</v>
      </c>
      <c r="V105" s="4222"/>
      <c r="W105" s="4224">
        <v>0</v>
      </c>
      <c r="X105" s="4217">
        <v>3610</v>
      </c>
      <c r="Y105" s="4223">
        <v>912</v>
      </c>
      <c r="Z105" s="5215">
        <v>0.35</v>
      </c>
      <c r="AA105" s="5215">
        <v>0.14000000000000001</v>
      </c>
      <c r="AB105" s="5205">
        <v>0.47489999999999999</v>
      </c>
      <c r="AC105" s="4224">
        <v>6033669</v>
      </c>
      <c r="AD105" s="4224"/>
      <c r="AE105" s="4224">
        <v>6792159</v>
      </c>
      <c r="AF105" s="4225">
        <v>6872.1</v>
      </c>
      <c r="AG105" s="4225">
        <v>6894.1</v>
      </c>
      <c r="AH105" s="4225">
        <v>56.3</v>
      </c>
      <c r="AI105" s="4225">
        <v>0</v>
      </c>
      <c r="AJ105" s="4225">
        <v>0</v>
      </c>
      <c r="AK105" s="4225">
        <v>0</v>
      </c>
      <c r="AL105" s="4225">
        <v>0</v>
      </c>
      <c r="AM105" s="4221">
        <v>0</v>
      </c>
      <c r="AN105" s="4226">
        <v>0</v>
      </c>
      <c r="AO105" s="4224"/>
      <c r="AP105" s="4224"/>
      <c r="AQ105" s="4224">
        <v>37140574</v>
      </c>
      <c r="AR105" s="4221">
        <v>0.3</v>
      </c>
      <c r="AS105" s="4217">
        <v>50008299</v>
      </c>
      <c r="AT105" s="5216">
        <v>0</v>
      </c>
      <c r="AU105" s="5216">
        <v>0</v>
      </c>
      <c r="AV105" s="4220">
        <v>37140574</v>
      </c>
      <c r="AW105" s="5243">
        <v>419776</v>
      </c>
      <c r="AX105" s="4224"/>
      <c r="AY105" s="5217">
        <v>6442128</v>
      </c>
      <c r="AZ105" s="4224"/>
      <c r="BA105" s="4224">
        <v>5178172</v>
      </c>
      <c r="BB105" s="4224">
        <v>365490</v>
      </c>
      <c r="BC105" s="5218"/>
      <c r="BD105" s="4217">
        <v>0</v>
      </c>
      <c r="BE105" s="4224">
        <v>36896593</v>
      </c>
    </row>
    <row r="106" spans="1:57">
      <c r="A106" s="3810">
        <v>306</v>
      </c>
      <c r="B106" s="4210" t="s">
        <v>498</v>
      </c>
      <c r="C106" s="4211" t="s">
        <v>211</v>
      </c>
      <c r="D106" s="4212">
        <v>64681038</v>
      </c>
      <c r="E106" s="4213">
        <v>61798446</v>
      </c>
      <c r="F106" s="4224">
        <v>67137784</v>
      </c>
      <c r="G106" s="4224">
        <v>64248386</v>
      </c>
      <c r="H106" s="4214">
        <v>692.8</v>
      </c>
      <c r="I106" s="4215">
        <v>670.5</v>
      </c>
      <c r="J106" s="4216">
        <v>217.5</v>
      </c>
      <c r="K106" s="4217">
        <v>5602501</v>
      </c>
      <c r="L106" s="4225">
        <v>703.8</v>
      </c>
      <c r="M106" s="4225">
        <v>720.2</v>
      </c>
      <c r="N106" s="4225">
        <v>697.9</v>
      </c>
      <c r="O106" s="4225">
        <v>670.5</v>
      </c>
      <c r="P106" s="4218">
        <v>640447</v>
      </c>
      <c r="Q106" s="4218">
        <v>632109</v>
      </c>
      <c r="R106" s="4220">
        <v>283255</v>
      </c>
      <c r="S106" s="4220"/>
      <c r="T106" s="4219">
        <v>1810</v>
      </c>
      <c r="U106" s="5214">
        <v>0</v>
      </c>
      <c r="V106" s="4222"/>
      <c r="W106" s="4224">
        <v>0</v>
      </c>
      <c r="X106" s="4217">
        <v>95</v>
      </c>
      <c r="Y106" s="4223">
        <v>63</v>
      </c>
      <c r="Z106" s="5215">
        <v>0</v>
      </c>
      <c r="AA106" s="5215">
        <v>0</v>
      </c>
      <c r="AB106" s="5205">
        <v>0.16450000000000001</v>
      </c>
      <c r="AC106" s="4224">
        <v>426005</v>
      </c>
      <c r="AD106" s="4224"/>
      <c r="AE106" s="4224">
        <v>478755</v>
      </c>
      <c r="AF106" s="4225">
        <v>703.8</v>
      </c>
      <c r="AG106" s="4225">
        <v>720.2</v>
      </c>
      <c r="AH106" s="4225">
        <v>5.4</v>
      </c>
      <c r="AI106" s="4225">
        <v>0</v>
      </c>
      <c r="AJ106" s="4225">
        <v>0</v>
      </c>
      <c r="AK106" s="4225">
        <v>0</v>
      </c>
      <c r="AL106" s="4225">
        <v>0</v>
      </c>
      <c r="AM106" s="4221">
        <v>0</v>
      </c>
      <c r="AN106" s="4226">
        <v>0</v>
      </c>
      <c r="AO106" s="4224"/>
      <c r="AP106" s="4224"/>
      <c r="AQ106" s="4224">
        <v>4379572</v>
      </c>
      <c r="AR106" s="4221">
        <v>0.3</v>
      </c>
      <c r="AS106" s="4217">
        <v>5725372</v>
      </c>
      <c r="AT106" s="5216">
        <v>0</v>
      </c>
      <c r="AU106" s="5216">
        <v>0</v>
      </c>
      <c r="AV106" s="4220">
        <v>4379572</v>
      </c>
      <c r="AW106" s="5243">
        <v>0</v>
      </c>
      <c r="AX106" s="4224"/>
      <c r="AY106" s="5217">
        <v>253149</v>
      </c>
      <c r="AZ106" s="4224"/>
      <c r="BA106" s="4224">
        <v>367255</v>
      </c>
      <c r="BB106" s="4224">
        <v>0</v>
      </c>
      <c r="BC106" s="5218"/>
      <c r="BD106" s="4217">
        <v>0</v>
      </c>
      <c r="BE106" s="4224">
        <v>4341257</v>
      </c>
    </row>
    <row r="107" spans="1:57">
      <c r="A107" s="3810">
        <v>307</v>
      </c>
      <c r="B107" s="4210" t="s">
        <v>499</v>
      </c>
      <c r="C107" s="4211" t="s">
        <v>211</v>
      </c>
      <c r="D107" s="4212">
        <v>21589743</v>
      </c>
      <c r="E107" s="4213">
        <v>19909832</v>
      </c>
      <c r="F107" s="4224">
        <v>25166441</v>
      </c>
      <c r="G107" s="4224">
        <v>23473671</v>
      </c>
      <c r="H107" s="4214">
        <v>468.5</v>
      </c>
      <c r="I107" s="4215">
        <v>445.5</v>
      </c>
      <c r="J107" s="4216">
        <v>225</v>
      </c>
      <c r="K107" s="4217">
        <v>4562695</v>
      </c>
      <c r="L107" s="4225">
        <v>482.9</v>
      </c>
      <c r="M107" s="4225">
        <v>490.2</v>
      </c>
      <c r="N107" s="4225">
        <v>476.1</v>
      </c>
      <c r="O107" s="4225">
        <v>448.5</v>
      </c>
      <c r="P107" s="4218">
        <v>442346</v>
      </c>
      <c r="Q107" s="4218">
        <v>406752</v>
      </c>
      <c r="R107" s="4220">
        <v>763981</v>
      </c>
      <c r="S107" s="4220"/>
      <c r="T107" s="4219">
        <v>0</v>
      </c>
      <c r="U107" s="5214">
        <v>0</v>
      </c>
      <c r="V107" s="4222"/>
      <c r="W107" s="4224">
        <v>0</v>
      </c>
      <c r="X107" s="4217">
        <v>105</v>
      </c>
      <c r="Y107" s="4223">
        <v>70</v>
      </c>
      <c r="Z107" s="5215">
        <v>0.42</v>
      </c>
      <c r="AA107" s="5215">
        <v>0.2</v>
      </c>
      <c r="AB107" s="5205">
        <v>0.53180000000000005</v>
      </c>
      <c r="AC107" s="4224">
        <v>255246</v>
      </c>
      <c r="AD107" s="4224"/>
      <c r="AE107" s="4224">
        <v>278718</v>
      </c>
      <c r="AF107" s="4225">
        <v>482.9</v>
      </c>
      <c r="AG107" s="4225">
        <v>489.2</v>
      </c>
      <c r="AH107" s="4225">
        <v>8</v>
      </c>
      <c r="AI107" s="4225">
        <v>0</v>
      </c>
      <c r="AJ107" s="4225">
        <v>0</v>
      </c>
      <c r="AK107" s="4225">
        <v>0</v>
      </c>
      <c r="AL107" s="4225">
        <v>0</v>
      </c>
      <c r="AM107" s="4221">
        <v>0</v>
      </c>
      <c r="AN107" s="4226">
        <v>20883</v>
      </c>
      <c r="AO107" s="4224"/>
      <c r="AP107" s="4224"/>
      <c r="AQ107" s="4224">
        <v>3157266</v>
      </c>
      <c r="AR107" s="4221">
        <v>0.3</v>
      </c>
      <c r="AS107" s="4217">
        <v>4111125</v>
      </c>
      <c r="AT107" s="5216">
        <v>0</v>
      </c>
      <c r="AU107" s="5216">
        <v>0</v>
      </c>
      <c r="AV107" s="4220">
        <v>3157266</v>
      </c>
      <c r="AW107" s="5243">
        <v>29311</v>
      </c>
      <c r="AX107" s="4224"/>
      <c r="AY107" s="5217">
        <v>763981</v>
      </c>
      <c r="AZ107" s="4224"/>
      <c r="BA107" s="4224">
        <v>212874</v>
      </c>
      <c r="BB107" s="4224">
        <v>29311</v>
      </c>
      <c r="BC107" s="5218"/>
      <c r="BD107" s="4217">
        <v>0</v>
      </c>
      <c r="BE107" s="4224">
        <v>3128944</v>
      </c>
    </row>
    <row r="108" spans="1:57">
      <c r="A108" s="3810">
        <v>308</v>
      </c>
      <c r="B108" s="4210" t="s">
        <v>500</v>
      </c>
      <c r="C108" s="4211" t="s">
        <v>212</v>
      </c>
      <c r="D108" s="4212">
        <v>207404501</v>
      </c>
      <c r="E108" s="4213">
        <v>179045134</v>
      </c>
      <c r="F108" s="4224">
        <v>213475886</v>
      </c>
      <c r="G108" s="4224">
        <v>185141791</v>
      </c>
      <c r="H108" s="4214">
        <v>4792.6000000000004</v>
      </c>
      <c r="I108" s="4215">
        <v>4677.7</v>
      </c>
      <c r="J108" s="4216">
        <v>14</v>
      </c>
      <c r="K108" s="4217">
        <v>39629541</v>
      </c>
      <c r="L108" s="4225">
        <v>4834.2</v>
      </c>
      <c r="M108" s="4225">
        <v>4892.5</v>
      </c>
      <c r="N108" s="4225">
        <v>4836.7</v>
      </c>
      <c r="O108" s="4225">
        <v>4708.2</v>
      </c>
      <c r="P108" s="4218">
        <v>4185652</v>
      </c>
      <c r="Q108" s="4218">
        <v>4173582</v>
      </c>
      <c r="R108" s="4220">
        <v>6262320</v>
      </c>
      <c r="S108" s="4220"/>
      <c r="T108" s="4219">
        <v>1301</v>
      </c>
      <c r="U108" s="5214">
        <v>1343</v>
      </c>
      <c r="V108" s="4222"/>
      <c r="W108" s="4224">
        <v>0</v>
      </c>
      <c r="X108" s="4217">
        <v>2766</v>
      </c>
      <c r="Y108" s="4223">
        <v>607</v>
      </c>
      <c r="Z108" s="5215">
        <v>0.53</v>
      </c>
      <c r="AA108" s="5215">
        <v>0.32</v>
      </c>
      <c r="AB108" s="5205">
        <v>0.62529999999999997</v>
      </c>
      <c r="AC108" s="4224">
        <v>2781947</v>
      </c>
      <c r="AD108" s="4224"/>
      <c r="AE108" s="4224">
        <v>3345895</v>
      </c>
      <c r="AF108" s="4225">
        <v>4800.2</v>
      </c>
      <c r="AG108" s="4225">
        <v>4852.5</v>
      </c>
      <c r="AH108" s="4225">
        <v>16.899999999999999</v>
      </c>
      <c r="AI108" s="4225">
        <v>0</v>
      </c>
      <c r="AJ108" s="4225">
        <v>0</v>
      </c>
      <c r="AK108" s="4225">
        <v>0</v>
      </c>
      <c r="AL108" s="4225">
        <v>0</v>
      </c>
      <c r="AM108" s="4221">
        <v>0</v>
      </c>
      <c r="AN108" s="4226">
        <v>0</v>
      </c>
      <c r="AO108" s="4224"/>
      <c r="AP108" s="4224"/>
      <c r="AQ108" s="4224">
        <v>26117290</v>
      </c>
      <c r="AR108" s="4221">
        <v>0.28939999999999999</v>
      </c>
      <c r="AS108" s="4217">
        <v>34553318</v>
      </c>
      <c r="AT108" s="5216">
        <v>0</v>
      </c>
      <c r="AU108" s="5216">
        <v>0</v>
      </c>
      <c r="AV108" s="4220">
        <v>26117290</v>
      </c>
      <c r="AW108" s="5243">
        <v>287216</v>
      </c>
      <c r="AX108" s="4224"/>
      <c r="AY108" s="5217">
        <v>6262320</v>
      </c>
      <c r="AZ108" s="4224"/>
      <c r="BA108" s="4224">
        <v>2541983</v>
      </c>
      <c r="BB108" s="4224">
        <v>287216</v>
      </c>
      <c r="BC108" s="5218"/>
      <c r="BD108" s="4217">
        <v>0</v>
      </c>
      <c r="BE108" s="4224">
        <v>25945875</v>
      </c>
    </row>
    <row r="109" spans="1:57">
      <c r="A109" s="3810">
        <v>309</v>
      </c>
      <c r="B109" s="4210" t="s">
        <v>501</v>
      </c>
      <c r="C109" s="4211" t="s">
        <v>212</v>
      </c>
      <c r="D109" s="4212">
        <v>68372104</v>
      </c>
      <c r="E109" s="4213">
        <v>61822319</v>
      </c>
      <c r="F109" s="4224">
        <v>70878619</v>
      </c>
      <c r="G109" s="4224">
        <v>64302330</v>
      </c>
      <c r="H109" s="4214">
        <v>1106</v>
      </c>
      <c r="I109" s="4215">
        <v>1064</v>
      </c>
      <c r="J109" s="4216">
        <v>187.5</v>
      </c>
      <c r="K109" s="4217">
        <v>9767143</v>
      </c>
      <c r="L109" s="4225">
        <v>1095.5999999999999</v>
      </c>
      <c r="M109" s="4225">
        <v>1106.3</v>
      </c>
      <c r="N109" s="4225">
        <v>1110.5</v>
      </c>
      <c r="O109" s="4225">
        <v>1076.5</v>
      </c>
      <c r="P109" s="4218">
        <v>1281098</v>
      </c>
      <c r="Q109" s="4218">
        <v>1158729</v>
      </c>
      <c r="R109" s="4220">
        <v>1203647</v>
      </c>
      <c r="S109" s="4220"/>
      <c r="T109" s="4219">
        <v>6188</v>
      </c>
      <c r="U109" s="5214">
        <v>4318</v>
      </c>
      <c r="V109" s="4222"/>
      <c r="W109" s="4224">
        <v>0</v>
      </c>
      <c r="X109" s="4217">
        <v>506</v>
      </c>
      <c r="Y109" s="4223">
        <v>152</v>
      </c>
      <c r="Z109" s="5215">
        <v>0.33</v>
      </c>
      <c r="AA109" s="5215">
        <v>0.12</v>
      </c>
      <c r="AB109" s="5205">
        <v>0.45729999999999998</v>
      </c>
      <c r="AC109" s="4224">
        <v>650480</v>
      </c>
      <c r="AD109" s="4224"/>
      <c r="AE109" s="4224">
        <v>728075</v>
      </c>
      <c r="AF109" s="4225">
        <v>1090.0999999999999</v>
      </c>
      <c r="AG109" s="4225">
        <v>1098.3</v>
      </c>
      <c r="AH109" s="4225">
        <v>0</v>
      </c>
      <c r="AI109" s="4225">
        <v>0</v>
      </c>
      <c r="AJ109" s="4225">
        <v>0</v>
      </c>
      <c r="AK109" s="4225">
        <v>0</v>
      </c>
      <c r="AL109" s="4225">
        <v>0</v>
      </c>
      <c r="AM109" s="4221">
        <v>0</v>
      </c>
      <c r="AN109" s="4226">
        <v>0</v>
      </c>
      <c r="AO109" s="4224"/>
      <c r="AP109" s="4224"/>
      <c r="AQ109" s="4224">
        <v>6819686</v>
      </c>
      <c r="AR109" s="4221">
        <v>0.3</v>
      </c>
      <c r="AS109" s="4217">
        <v>9232439</v>
      </c>
      <c r="AT109" s="5216">
        <v>0</v>
      </c>
      <c r="AU109" s="5216">
        <v>0</v>
      </c>
      <c r="AV109" s="4220">
        <v>6819686</v>
      </c>
      <c r="AW109" s="5243">
        <v>45158</v>
      </c>
      <c r="AX109" s="4224"/>
      <c r="AY109" s="5217">
        <v>1203647</v>
      </c>
      <c r="AZ109" s="4224"/>
      <c r="BA109" s="4224">
        <v>553600</v>
      </c>
      <c r="BB109" s="4224">
        <v>40722</v>
      </c>
      <c r="BC109" s="5218"/>
      <c r="BD109" s="4217">
        <v>0</v>
      </c>
      <c r="BE109" s="4224">
        <v>6809831</v>
      </c>
    </row>
    <row r="110" spans="1:57">
      <c r="A110" s="3810">
        <v>310</v>
      </c>
      <c r="B110" s="4210" t="s">
        <v>502</v>
      </c>
      <c r="C110" s="4211" t="s">
        <v>212</v>
      </c>
      <c r="D110" s="4212">
        <v>40215432</v>
      </c>
      <c r="E110" s="4213">
        <v>37721113</v>
      </c>
      <c r="F110" s="4224">
        <v>40958759</v>
      </c>
      <c r="G110" s="4224">
        <v>38458187</v>
      </c>
      <c r="H110" s="4214">
        <v>274.5</v>
      </c>
      <c r="I110" s="4215">
        <v>287</v>
      </c>
      <c r="J110" s="4216">
        <v>435.5</v>
      </c>
      <c r="K110" s="4217">
        <v>2799938</v>
      </c>
      <c r="L110" s="4225">
        <v>266.5</v>
      </c>
      <c r="M110" s="4225">
        <v>272</v>
      </c>
      <c r="N110" s="4225">
        <v>274.5</v>
      </c>
      <c r="O110" s="4225">
        <v>287</v>
      </c>
      <c r="P110" s="4218">
        <v>325881</v>
      </c>
      <c r="Q110" s="4218">
        <v>300583</v>
      </c>
      <c r="R110" s="4220">
        <v>0</v>
      </c>
      <c r="S110" s="4220"/>
      <c r="T110" s="4219">
        <v>8315</v>
      </c>
      <c r="U110" s="5214">
        <v>9211</v>
      </c>
      <c r="V110" s="4222"/>
      <c r="W110" s="4224">
        <v>0</v>
      </c>
      <c r="X110" s="4217">
        <v>160</v>
      </c>
      <c r="Y110" s="4223">
        <v>50</v>
      </c>
      <c r="Z110" s="5215">
        <v>0</v>
      </c>
      <c r="AA110" s="5215">
        <v>0</v>
      </c>
      <c r="AB110" s="5205">
        <v>0</v>
      </c>
      <c r="AC110" s="4224">
        <v>243134</v>
      </c>
      <c r="AD110" s="4224"/>
      <c r="AE110" s="4224">
        <v>258506</v>
      </c>
      <c r="AF110" s="4225">
        <v>266.5</v>
      </c>
      <c r="AG110" s="4225">
        <v>272</v>
      </c>
      <c r="AH110" s="4225">
        <v>0</v>
      </c>
      <c r="AI110" s="4225">
        <v>0</v>
      </c>
      <c r="AJ110" s="4225">
        <v>0</v>
      </c>
      <c r="AK110" s="4225">
        <v>0</v>
      </c>
      <c r="AL110" s="4225">
        <v>0</v>
      </c>
      <c r="AM110" s="4221">
        <v>0</v>
      </c>
      <c r="AN110" s="4226">
        <v>0</v>
      </c>
      <c r="AO110" s="4224"/>
      <c r="AP110" s="4224"/>
      <c r="AQ110" s="4224">
        <v>2307166</v>
      </c>
      <c r="AR110" s="4221">
        <v>0.3</v>
      </c>
      <c r="AS110" s="4217">
        <v>3102360</v>
      </c>
      <c r="AT110" s="5216">
        <v>0</v>
      </c>
      <c r="AU110" s="5216">
        <v>0</v>
      </c>
      <c r="AV110" s="4220">
        <v>2307166</v>
      </c>
      <c r="AW110" s="5243">
        <v>0</v>
      </c>
      <c r="AX110" s="4224"/>
      <c r="AY110" s="5217">
        <v>0</v>
      </c>
      <c r="AZ110" s="4224"/>
      <c r="BA110" s="4224">
        <v>197886</v>
      </c>
      <c r="BB110" s="4224">
        <v>0</v>
      </c>
      <c r="BC110" s="5218"/>
      <c r="BD110" s="4217">
        <v>0</v>
      </c>
      <c r="BE110" s="4224">
        <v>2283723</v>
      </c>
    </row>
    <row r="111" spans="1:57">
      <c r="A111" s="3810">
        <v>311</v>
      </c>
      <c r="B111" s="4210" t="s">
        <v>503</v>
      </c>
      <c r="C111" s="4211" t="s">
        <v>212</v>
      </c>
      <c r="D111" s="4212">
        <v>16838440</v>
      </c>
      <c r="E111" s="4213">
        <v>15287787</v>
      </c>
      <c r="F111" s="4224">
        <v>18755237</v>
      </c>
      <c r="G111" s="4224">
        <v>17205148</v>
      </c>
      <c r="H111" s="4214">
        <v>272.39999999999998</v>
      </c>
      <c r="I111" s="4215">
        <v>251.5</v>
      </c>
      <c r="J111" s="4216">
        <v>208</v>
      </c>
      <c r="K111" s="4217">
        <v>2710111</v>
      </c>
      <c r="L111" s="4225">
        <v>273.2</v>
      </c>
      <c r="M111" s="4225">
        <v>275.3</v>
      </c>
      <c r="N111" s="4225">
        <v>272.39999999999998</v>
      </c>
      <c r="O111" s="4225">
        <v>251.5</v>
      </c>
      <c r="P111" s="4218">
        <v>275723</v>
      </c>
      <c r="Q111" s="4218">
        <v>260066</v>
      </c>
      <c r="R111" s="4220">
        <v>344760</v>
      </c>
      <c r="S111" s="4220"/>
      <c r="T111" s="4219">
        <v>8575</v>
      </c>
      <c r="U111" s="5214">
        <v>8341</v>
      </c>
      <c r="V111" s="4222"/>
      <c r="W111" s="4224">
        <v>0</v>
      </c>
      <c r="X111" s="4217">
        <v>53</v>
      </c>
      <c r="Y111" s="4223">
        <v>35</v>
      </c>
      <c r="Z111" s="5215">
        <v>0.24</v>
      </c>
      <c r="AA111" s="5215">
        <v>0.02</v>
      </c>
      <c r="AB111" s="5205">
        <v>0.37940000000000002</v>
      </c>
      <c r="AC111" s="4224">
        <v>175777</v>
      </c>
      <c r="AD111" s="4224"/>
      <c r="AE111" s="4224">
        <v>176323</v>
      </c>
      <c r="AF111" s="4225">
        <v>273.2</v>
      </c>
      <c r="AG111" s="4225">
        <v>275.3</v>
      </c>
      <c r="AH111" s="4225">
        <v>0</v>
      </c>
      <c r="AI111" s="4225">
        <v>0</v>
      </c>
      <c r="AJ111" s="4225">
        <v>0</v>
      </c>
      <c r="AK111" s="4225">
        <v>0</v>
      </c>
      <c r="AL111" s="4225">
        <v>0</v>
      </c>
      <c r="AM111" s="4221">
        <v>0</v>
      </c>
      <c r="AN111" s="4226">
        <v>0</v>
      </c>
      <c r="AO111" s="4224"/>
      <c r="AP111" s="4224"/>
      <c r="AQ111" s="4224">
        <v>1950104</v>
      </c>
      <c r="AR111" s="4221">
        <v>0.3</v>
      </c>
      <c r="AS111" s="4217">
        <v>2550806</v>
      </c>
      <c r="AT111" s="5216">
        <v>0</v>
      </c>
      <c r="AU111" s="5216">
        <v>0</v>
      </c>
      <c r="AV111" s="4220">
        <v>1950104</v>
      </c>
      <c r="AW111" s="5243">
        <v>23850</v>
      </c>
      <c r="AX111" s="4224"/>
      <c r="AY111" s="5217">
        <v>344760</v>
      </c>
      <c r="AZ111" s="4224"/>
      <c r="BA111" s="4224">
        <v>136224</v>
      </c>
      <c r="BB111" s="4224">
        <v>22851</v>
      </c>
      <c r="BC111" s="5218"/>
      <c r="BD111" s="4217">
        <v>0</v>
      </c>
      <c r="BE111" s="4224">
        <v>1942304</v>
      </c>
    </row>
    <row r="112" spans="1:57">
      <c r="A112" s="3810">
        <v>312</v>
      </c>
      <c r="B112" s="4210" t="s">
        <v>504</v>
      </c>
      <c r="C112" s="4211" t="s">
        <v>212</v>
      </c>
      <c r="D112" s="4212">
        <v>67193764</v>
      </c>
      <c r="E112" s="4213">
        <v>62166715</v>
      </c>
      <c r="F112" s="4224">
        <v>68891522</v>
      </c>
      <c r="G112" s="4224">
        <v>63844087</v>
      </c>
      <c r="H112" s="4214">
        <v>850.5</v>
      </c>
      <c r="I112" s="4215">
        <v>783.5</v>
      </c>
      <c r="J112" s="4216">
        <v>282</v>
      </c>
      <c r="K112" s="4217">
        <v>7852527</v>
      </c>
      <c r="L112" s="4225">
        <v>940.2</v>
      </c>
      <c r="M112" s="4225">
        <v>929.5</v>
      </c>
      <c r="N112" s="4225">
        <v>908.4</v>
      </c>
      <c r="O112" s="4225">
        <v>858.9</v>
      </c>
      <c r="P112" s="4218">
        <v>920543</v>
      </c>
      <c r="Q112" s="4218">
        <v>901109</v>
      </c>
      <c r="R112" s="4220">
        <v>781538</v>
      </c>
      <c r="S112" s="4220"/>
      <c r="T112" s="4219">
        <v>11362</v>
      </c>
      <c r="U112" s="5214">
        <v>12360</v>
      </c>
      <c r="V112" s="4222"/>
      <c r="W112" s="4224">
        <v>0</v>
      </c>
      <c r="X112" s="4217">
        <v>282</v>
      </c>
      <c r="Y112" s="4223">
        <v>108</v>
      </c>
      <c r="Z112" s="5215">
        <v>0.18</v>
      </c>
      <c r="AA112" s="5215">
        <v>0</v>
      </c>
      <c r="AB112" s="5205">
        <v>0.33169999999999999</v>
      </c>
      <c r="AC112" s="4224">
        <v>558629</v>
      </c>
      <c r="AD112" s="4224"/>
      <c r="AE112" s="4224">
        <v>602088</v>
      </c>
      <c r="AF112" s="4225">
        <v>849.9</v>
      </c>
      <c r="AG112" s="4225">
        <v>855.5</v>
      </c>
      <c r="AH112" s="4225">
        <v>56.1</v>
      </c>
      <c r="AI112" s="4225">
        <v>0</v>
      </c>
      <c r="AJ112" s="4225">
        <v>0</v>
      </c>
      <c r="AK112" s="4225">
        <v>0</v>
      </c>
      <c r="AL112" s="4225">
        <v>0</v>
      </c>
      <c r="AM112" s="4221">
        <v>0</v>
      </c>
      <c r="AN112" s="4226">
        <v>0</v>
      </c>
      <c r="AO112" s="4224"/>
      <c r="AP112" s="4224"/>
      <c r="AQ112" s="4224">
        <v>5539217</v>
      </c>
      <c r="AR112" s="4221">
        <v>0.31</v>
      </c>
      <c r="AS112" s="4217">
        <v>7254127</v>
      </c>
      <c r="AT112" s="5216">
        <v>0</v>
      </c>
      <c r="AU112" s="5216">
        <v>0</v>
      </c>
      <c r="AV112" s="4220">
        <v>5539217</v>
      </c>
      <c r="AW112" s="5243">
        <v>62540</v>
      </c>
      <c r="AX112" s="4224"/>
      <c r="AY112" s="5217">
        <v>781538</v>
      </c>
      <c r="AZ112" s="4224"/>
      <c r="BA112" s="4224">
        <v>462074</v>
      </c>
      <c r="BB112" s="4224">
        <v>32227</v>
      </c>
      <c r="BC112" s="5218"/>
      <c r="BD112" s="4217">
        <v>0</v>
      </c>
      <c r="BE112" s="4224">
        <v>5657454</v>
      </c>
    </row>
    <row r="113" spans="1:57">
      <c r="A113" s="3810">
        <v>313</v>
      </c>
      <c r="B113" s="4210" t="s">
        <v>505</v>
      </c>
      <c r="C113" s="4211" t="s">
        <v>212</v>
      </c>
      <c r="D113" s="4212">
        <v>153232030</v>
      </c>
      <c r="E113" s="4213">
        <v>142583058</v>
      </c>
      <c r="F113" s="4224">
        <v>156163767</v>
      </c>
      <c r="G113" s="4224">
        <v>145473494</v>
      </c>
      <c r="H113" s="4214">
        <v>2101.5</v>
      </c>
      <c r="I113" s="4215">
        <v>2160.3000000000002</v>
      </c>
      <c r="J113" s="4216">
        <v>137.69999999999999</v>
      </c>
      <c r="K113" s="4217">
        <v>15957431</v>
      </c>
      <c r="L113" s="4225">
        <v>2163</v>
      </c>
      <c r="M113" s="4225">
        <v>2111.1999999999998</v>
      </c>
      <c r="N113" s="4225">
        <v>2127.5</v>
      </c>
      <c r="O113" s="4225">
        <v>2182.3000000000002</v>
      </c>
      <c r="P113" s="4218">
        <v>2495904</v>
      </c>
      <c r="Q113" s="4218">
        <v>2073552</v>
      </c>
      <c r="R113" s="4220">
        <v>1564516</v>
      </c>
      <c r="S113" s="4220"/>
      <c r="T113" s="4219">
        <v>0</v>
      </c>
      <c r="U113" s="5214">
        <v>0</v>
      </c>
      <c r="V113" s="4222"/>
      <c r="W113" s="4224">
        <v>60801</v>
      </c>
      <c r="X113" s="4217">
        <v>654</v>
      </c>
      <c r="Y113" s="4223">
        <v>227</v>
      </c>
      <c r="Z113" s="5215">
        <v>0.27</v>
      </c>
      <c r="AA113" s="5215">
        <v>0.05</v>
      </c>
      <c r="AB113" s="5205">
        <v>0.40439999999999998</v>
      </c>
      <c r="AC113" s="4224">
        <v>1098877</v>
      </c>
      <c r="AD113" s="4224"/>
      <c r="AE113" s="4224">
        <v>1233330</v>
      </c>
      <c r="AF113" s="4225">
        <v>2138.5</v>
      </c>
      <c r="AG113" s="4225">
        <v>2091.6999999999998</v>
      </c>
      <c r="AH113" s="4225">
        <v>0</v>
      </c>
      <c r="AI113" s="4225">
        <v>0</v>
      </c>
      <c r="AJ113" s="4225">
        <v>0</v>
      </c>
      <c r="AK113" s="4225">
        <v>0</v>
      </c>
      <c r="AL113" s="4225">
        <v>166</v>
      </c>
      <c r="AM113" s="4221">
        <v>0</v>
      </c>
      <c r="AN113" s="4226">
        <v>0</v>
      </c>
      <c r="AO113" s="4224"/>
      <c r="AP113" s="4224"/>
      <c r="AQ113" s="4224">
        <v>11061387</v>
      </c>
      <c r="AR113" s="4221">
        <v>0.3</v>
      </c>
      <c r="AS113" s="4217">
        <v>15391633</v>
      </c>
      <c r="AT113" s="5216">
        <v>0</v>
      </c>
      <c r="AU113" s="5216">
        <v>0</v>
      </c>
      <c r="AV113" s="4220">
        <v>11061387</v>
      </c>
      <c r="AW113" s="5243">
        <v>155306</v>
      </c>
      <c r="AX113" s="4224"/>
      <c r="AY113" s="5217">
        <v>1564516</v>
      </c>
      <c r="AZ113" s="4224"/>
      <c r="BA113" s="4224">
        <v>935350</v>
      </c>
      <c r="BB113" s="4224">
        <v>97426</v>
      </c>
      <c r="BC113" s="5218"/>
      <c r="BD113" s="4217">
        <v>0</v>
      </c>
      <c r="BE113" s="4224">
        <v>11018682</v>
      </c>
    </row>
    <row r="114" spans="1:57">
      <c r="A114" s="3810">
        <v>314</v>
      </c>
      <c r="B114" s="4210" t="s">
        <v>506</v>
      </c>
      <c r="C114" s="4211" t="s">
        <v>213</v>
      </c>
      <c r="D114" s="4212">
        <v>14643995</v>
      </c>
      <c r="E114" s="4213">
        <v>14040835</v>
      </c>
      <c r="F114" s="4224">
        <v>15801182</v>
      </c>
      <c r="G114" s="4224">
        <v>15191319</v>
      </c>
      <c r="H114" s="4214">
        <v>111</v>
      </c>
      <c r="I114" s="4215">
        <v>125.5</v>
      </c>
      <c r="J114" s="4216">
        <v>372.8</v>
      </c>
      <c r="K114" s="4217">
        <v>1272912</v>
      </c>
      <c r="L114" s="4225">
        <v>89.2</v>
      </c>
      <c r="M114" s="4225">
        <v>98.9</v>
      </c>
      <c r="N114" s="4225">
        <v>111</v>
      </c>
      <c r="O114" s="4225">
        <v>125.5</v>
      </c>
      <c r="P114" s="4218">
        <v>131589</v>
      </c>
      <c r="Q114" s="4218">
        <v>137777</v>
      </c>
      <c r="R114" s="4220">
        <v>0</v>
      </c>
      <c r="S114" s="4220"/>
      <c r="T114" s="4219">
        <v>0</v>
      </c>
      <c r="U114" s="5214">
        <v>0</v>
      </c>
      <c r="V114" s="4222"/>
      <c r="W114" s="4224">
        <v>92148</v>
      </c>
      <c r="X114" s="4217">
        <v>40</v>
      </c>
      <c r="Y114" s="4223">
        <v>9</v>
      </c>
      <c r="Z114" s="5215">
        <v>0</v>
      </c>
      <c r="AA114" s="5215">
        <v>0</v>
      </c>
      <c r="AB114" s="5205">
        <v>0</v>
      </c>
      <c r="AC114" s="4224">
        <v>74750</v>
      </c>
      <c r="AD114" s="4224"/>
      <c r="AE114" s="4224">
        <v>85235</v>
      </c>
      <c r="AF114" s="4225">
        <v>89.2</v>
      </c>
      <c r="AG114" s="4225">
        <v>98.9</v>
      </c>
      <c r="AH114" s="4225">
        <v>0</v>
      </c>
      <c r="AI114" s="4225">
        <v>0</v>
      </c>
      <c r="AJ114" s="4225">
        <v>0</v>
      </c>
      <c r="AK114" s="4225">
        <v>0</v>
      </c>
      <c r="AL114" s="4225">
        <v>0</v>
      </c>
      <c r="AM114" s="4221">
        <v>0</v>
      </c>
      <c r="AN114" s="4226">
        <v>0</v>
      </c>
      <c r="AO114" s="4224"/>
      <c r="AP114" s="4224"/>
      <c r="AQ114" s="4224">
        <v>980954</v>
      </c>
      <c r="AR114" s="4221">
        <v>0.27179999999999999</v>
      </c>
      <c r="AS114" s="4217">
        <v>1276090</v>
      </c>
      <c r="AT114" s="5216">
        <v>0</v>
      </c>
      <c r="AU114" s="5216">
        <v>0</v>
      </c>
      <c r="AV114" s="4220">
        <v>980954</v>
      </c>
      <c r="AW114" s="5243">
        <v>0</v>
      </c>
      <c r="AX114" s="4224"/>
      <c r="AY114" s="5217">
        <v>0</v>
      </c>
      <c r="AZ114" s="4224"/>
      <c r="BA114" s="4224">
        <v>65651</v>
      </c>
      <c r="BB114" s="4224">
        <v>0</v>
      </c>
      <c r="BC114" s="5218"/>
      <c r="BD114" s="4217">
        <v>0</v>
      </c>
      <c r="BE114" s="4224">
        <v>977030</v>
      </c>
    </row>
    <row r="115" spans="1:57">
      <c r="A115" s="3810">
        <v>315</v>
      </c>
      <c r="B115" s="4210" t="s">
        <v>507</v>
      </c>
      <c r="C115" s="4211" t="s">
        <v>213</v>
      </c>
      <c r="D115" s="4212">
        <v>75182508</v>
      </c>
      <c r="E115" s="4213">
        <v>69685989</v>
      </c>
      <c r="F115" s="4224">
        <v>81853822</v>
      </c>
      <c r="G115" s="4224">
        <v>76350102</v>
      </c>
      <c r="H115" s="4214">
        <v>895.7</v>
      </c>
      <c r="I115" s="4215">
        <v>868.9</v>
      </c>
      <c r="J115" s="4216">
        <v>463</v>
      </c>
      <c r="K115" s="4217">
        <v>6953739</v>
      </c>
      <c r="L115" s="4225">
        <v>946.9</v>
      </c>
      <c r="M115" s="4225">
        <v>920</v>
      </c>
      <c r="N115" s="4225">
        <v>902.7</v>
      </c>
      <c r="O115" s="4225">
        <v>873.7</v>
      </c>
      <c r="P115" s="4218">
        <v>784023</v>
      </c>
      <c r="Q115" s="4218">
        <v>669304</v>
      </c>
      <c r="R115" s="4220">
        <v>604811</v>
      </c>
      <c r="S115" s="4220"/>
      <c r="T115" s="4219">
        <v>669</v>
      </c>
      <c r="U115" s="5214">
        <v>388</v>
      </c>
      <c r="V115" s="4222"/>
      <c r="W115" s="4224">
        <v>0</v>
      </c>
      <c r="X115" s="4217">
        <v>283</v>
      </c>
      <c r="Y115" s="4223">
        <v>85</v>
      </c>
      <c r="Z115" s="5215">
        <v>7.0000000000000007E-2</v>
      </c>
      <c r="AA115" s="5215">
        <v>0</v>
      </c>
      <c r="AB115" s="5205">
        <v>0.23710000000000001</v>
      </c>
      <c r="AC115" s="4224">
        <v>470080</v>
      </c>
      <c r="AD115" s="4224"/>
      <c r="AE115" s="4224">
        <v>483542</v>
      </c>
      <c r="AF115" s="4225">
        <v>943.9</v>
      </c>
      <c r="AG115" s="4225">
        <v>914.5</v>
      </c>
      <c r="AH115" s="4225">
        <v>7.4</v>
      </c>
      <c r="AI115" s="4225">
        <v>0</v>
      </c>
      <c r="AJ115" s="4225">
        <v>0</v>
      </c>
      <c r="AK115" s="4225">
        <v>0</v>
      </c>
      <c r="AL115" s="4225">
        <v>0</v>
      </c>
      <c r="AM115" s="4221">
        <v>0</v>
      </c>
      <c r="AN115" s="4226">
        <v>0</v>
      </c>
      <c r="AO115" s="4224"/>
      <c r="AP115" s="4224"/>
      <c r="AQ115" s="4224">
        <v>5349254</v>
      </c>
      <c r="AR115" s="4221">
        <v>0.3</v>
      </c>
      <c r="AS115" s="4217">
        <v>7254585</v>
      </c>
      <c r="AT115" s="5216">
        <v>0</v>
      </c>
      <c r="AU115" s="5216">
        <v>0</v>
      </c>
      <c r="AV115" s="4220">
        <v>5349254</v>
      </c>
      <c r="AW115" s="5243">
        <v>45873</v>
      </c>
      <c r="AX115" s="4224"/>
      <c r="AY115" s="5217">
        <v>604811</v>
      </c>
      <c r="AZ115" s="4224"/>
      <c r="BA115" s="4224">
        <v>371369</v>
      </c>
      <c r="BB115" s="4224">
        <v>0</v>
      </c>
      <c r="BC115" s="5218"/>
      <c r="BD115" s="4217">
        <v>0</v>
      </c>
      <c r="BE115" s="4224">
        <v>5306332</v>
      </c>
    </row>
    <row r="116" spans="1:57">
      <c r="A116" s="3810">
        <v>316</v>
      </c>
      <c r="B116" s="4210" t="s">
        <v>508</v>
      </c>
      <c r="C116" s="4211" t="s">
        <v>213</v>
      </c>
      <c r="D116" s="4212">
        <v>15687466</v>
      </c>
      <c r="E116" s="4213">
        <v>14888531</v>
      </c>
      <c r="F116" s="4224">
        <v>15148346</v>
      </c>
      <c r="G116" s="4224">
        <v>14348237</v>
      </c>
      <c r="H116" s="4214">
        <v>178.9</v>
      </c>
      <c r="I116" s="4215">
        <v>177.6</v>
      </c>
      <c r="J116" s="4216">
        <v>242</v>
      </c>
      <c r="K116" s="4217">
        <v>2195830</v>
      </c>
      <c r="L116" s="4225">
        <v>196.5</v>
      </c>
      <c r="M116" s="4225">
        <v>189.4</v>
      </c>
      <c r="N116" s="4225">
        <v>181.9</v>
      </c>
      <c r="O116" s="4225">
        <v>179.6</v>
      </c>
      <c r="P116" s="4218">
        <v>225500</v>
      </c>
      <c r="Q116" s="4218">
        <v>252469</v>
      </c>
      <c r="R116" s="4220">
        <v>265781</v>
      </c>
      <c r="S116" s="4220"/>
      <c r="T116" s="4219">
        <v>0</v>
      </c>
      <c r="U116" s="5214">
        <v>0</v>
      </c>
      <c r="V116" s="4222"/>
      <c r="W116" s="4224">
        <v>0</v>
      </c>
      <c r="X116" s="4217">
        <v>83</v>
      </c>
      <c r="Y116" s="4223">
        <v>28</v>
      </c>
      <c r="Z116" s="5215">
        <v>0.15</v>
      </c>
      <c r="AA116" s="5215">
        <v>0</v>
      </c>
      <c r="AB116" s="5205">
        <v>0.30220000000000002</v>
      </c>
      <c r="AC116" s="4224">
        <v>129593</v>
      </c>
      <c r="AD116" s="4224"/>
      <c r="AE116" s="4224">
        <v>155238</v>
      </c>
      <c r="AF116" s="4225">
        <v>193.5</v>
      </c>
      <c r="AG116" s="4225">
        <v>187.4</v>
      </c>
      <c r="AH116" s="4225">
        <v>0</v>
      </c>
      <c r="AI116" s="4225">
        <v>0</v>
      </c>
      <c r="AJ116" s="4225">
        <v>0</v>
      </c>
      <c r="AK116" s="4225">
        <v>0</v>
      </c>
      <c r="AL116" s="4225">
        <v>0</v>
      </c>
      <c r="AM116" s="4221">
        <v>0</v>
      </c>
      <c r="AN116" s="4226">
        <v>0</v>
      </c>
      <c r="AO116" s="4224"/>
      <c r="AP116" s="4224"/>
      <c r="AQ116" s="4224">
        <v>1563152</v>
      </c>
      <c r="AR116" s="4221">
        <v>0.3</v>
      </c>
      <c r="AS116" s="4217">
        <v>2204762</v>
      </c>
      <c r="AT116" s="5216">
        <v>0</v>
      </c>
      <c r="AU116" s="5216">
        <v>0</v>
      </c>
      <c r="AV116" s="4220">
        <v>1563152</v>
      </c>
      <c r="AW116" s="5243">
        <v>0</v>
      </c>
      <c r="AX116" s="4224"/>
      <c r="AY116" s="5217">
        <v>265781</v>
      </c>
      <c r="AZ116" s="4224"/>
      <c r="BA116" s="4224">
        <v>116235</v>
      </c>
      <c r="BB116" s="4224">
        <v>0</v>
      </c>
      <c r="BC116" s="5218"/>
      <c r="BD116" s="4217">
        <v>0</v>
      </c>
      <c r="BE116" s="4224">
        <v>1556690</v>
      </c>
    </row>
    <row r="117" spans="1:57">
      <c r="A117" s="3810">
        <v>320</v>
      </c>
      <c r="B117" s="4210" t="s">
        <v>509</v>
      </c>
      <c r="C117" s="4211" t="s">
        <v>214</v>
      </c>
      <c r="D117" s="4212">
        <v>77056306</v>
      </c>
      <c r="E117" s="4213">
        <v>70628797</v>
      </c>
      <c r="F117" s="4224">
        <v>81059447</v>
      </c>
      <c r="G117" s="4224">
        <v>74560823</v>
      </c>
      <c r="H117" s="4214">
        <v>1494.8</v>
      </c>
      <c r="I117" s="4215">
        <v>1470.1</v>
      </c>
      <c r="J117" s="4216">
        <v>193</v>
      </c>
      <c r="K117" s="4217">
        <v>11336856</v>
      </c>
      <c r="L117" s="4225">
        <v>1446</v>
      </c>
      <c r="M117" s="4225">
        <v>1464.6</v>
      </c>
      <c r="N117" s="4225">
        <v>1494.8</v>
      </c>
      <c r="O117" s="4225">
        <v>1470.1</v>
      </c>
      <c r="P117" s="4218">
        <v>1570098</v>
      </c>
      <c r="Q117" s="4218">
        <v>1472051</v>
      </c>
      <c r="R117" s="4220">
        <v>1604363</v>
      </c>
      <c r="S117" s="4220"/>
      <c r="T117" s="4219">
        <v>0</v>
      </c>
      <c r="U117" s="5214">
        <v>0</v>
      </c>
      <c r="V117" s="4222"/>
      <c r="W117" s="4224">
        <v>0</v>
      </c>
      <c r="X117" s="4217">
        <v>317</v>
      </c>
      <c r="Y117" s="4223">
        <v>147</v>
      </c>
      <c r="Z117" s="5215">
        <v>0.43</v>
      </c>
      <c r="AA117" s="5215">
        <v>0.21</v>
      </c>
      <c r="AB117" s="5205">
        <v>0.53990000000000005</v>
      </c>
      <c r="AC117" s="4224">
        <v>1164967</v>
      </c>
      <c r="AD117" s="4224"/>
      <c r="AE117" s="4224">
        <v>1273753</v>
      </c>
      <c r="AF117" s="4225">
        <v>1446</v>
      </c>
      <c r="AG117" s="4225">
        <v>1464.6</v>
      </c>
      <c r="AH117" s="4225">
        <v>0</v>
      </c>
      <c r="AI117" s="4225">
        <v>0</v>
      </c>
      <c r="AJ117" s="4225">
        <v>0</v>
      </c>
      <c r="AK117" s="4225">
        <v>0</v>
      </c>
      <c r="AL117" s="4225">
        <v>0</v>
      </c>
      <c r="AM117" s="4221">
        <v>0</v>
      </c>
      <c r="AN117" s="4226">
        <v>0</v>
      </c>
      <c r="AO117" s="4224"/>
      <c r="AP117" s="4224"/>
      <c r="AQ117" s="4224">
        <v>7239351</v>
      </c>
      <c r="AR117" s="4221">
        <v>0.3</v>
      </c>
      <c r="AS117" s="4217">
        <v>10009502</v>
      </c>
      <c r="AT117" s="5216">
        <v>0</v>
      </c>
      <c r="AU117" s="5216">
        <v>0</v>
      </c>
      <c r="AV117" s="4220">
        <v>7239351</v>
      </c>
      <c r="AW117" s="5243">
        <v>77056</v>
      </c>
      <c r="AX117" s="4224"/>
      <c r="AY117" s="5217">
        <v>1604363</v>
      </c>
      <c r="AZ117" s="4224"/>
      <c r="BA117" s="4224">
        <v>968817</v>
      </c>
      <c r="BB117" s="4224">
        <v>77056</v>
      </c>
      <c r="BC117" s="5218"/>
      <c r="BD117" s="4217">
        <v>0</v>
      </c>
      <c r="BE117" s="4224">
        <v>7206675</v>
      </c>
    </row>
    <row r="118" spans="1:57">
      <c r="A118" s="3810">
        <v>321</v>
      </c>
      <c r="B118" s="4210" t="s">
        <v>510</v>
      </c>
      <c r="C118" s="4211" t="s">
        <v>214</v>
      </c>
      <c r="D118" s="4212">
        <v>296504894</v>
      </c>
      <c r="E118" s="4213">
        <v>291004856</v>
      </c>
      <c r="F118" s="4224">
        <v>312680008</v>
      </c>
      <c r="G118" s="4224">
        <v>307169614</v>
      </c>
      <c r="H118" s="4214">
        <v>1112.9000000000001</v>
      </c>
      <c r="I118" s="4215">
        <v>1097</v>
      </c>
      <c r="J118" s="4216">
        <v>311</v>
      </c>
      <c r="K118" s="4217">
        <v>8301286</v>
      </c>
      <c r="L118" s="4225">
        <v>1120.2</v>
      </c>
      <c r="M118" s="4225">
        <v>1127.5</v>
      </c>
      <c r="N118" s="4225">
        <v>1121.4000000000001</v>
      </c>
      <c r="O118" s="4225">
        <v>1105.5</v>
      </c>
      <c r="P118" s="4218">
        <v>1401664</v>
      </c>
      <c r="Q118" s="4218">
        <v>1291330</v>
      </c>
      <c r="R118" s="4220">
        <v>0</v>
      </c>
      <c r="S118" s="4220"/>
      <c r="T118" s="4219">
        <v>3718</v>
      </c>
      <c r="U118" s="5214">
        <v>3517</v>
      </c>
      <c r="V118" s="4222"/>
      <c r="W118" s="4224">
        <v>0</v>
      </c>
      <c r="X118" s="4217">
        <v>321</v>
      </c>
      <c r="Y118" s="4223">
        <v>140</v>
      </c>
      <c r="Z118" s="5215">
        <v>0</v>
      </c>
      <c r="AA118" s="5215">
        <v>0</v>
      </c>
      <c r="AB118" s="5205">
        <v>0</v>
      </c>
      <c r="AC118" s="4224">
        <v>832893</v>
      </c>
      <c r="AD118" s="4224"/>
      <c r="AE118" s="4224">
        <v>922588</v>
      </c>
      <c r="AF118" s="4225">
        <v>1110.2</v>
      </c>
      <c r="AG118" s="4225">
        <v>1118.5</v>
      </c>
      <c r="AH118" s="4225">
        <v>0</v>
      </c>
      <c r="AI118" s="4225">
        <v>0</v>
      </c>
      <c r="AJ118" s="4225">
        <v>0</v>
      </c>
      <c r="AK118" s="4225">
        <v>0</v>
      </c>
      <c r="AL118" s="4225">
        <v>0</v>
      </c>
      <c r="AM118" s="4221">
        <v>0</v>
      </c>
      <c r="AN118" s="4226">
        <v>0</v>
      </c>
      <c r="AO118" s="4224"/>
      <c r="AP118" s="4224"/>
      <c r="AQ118" s="4224">
        <v>6332382</v>
      </c>
      <c r="AR118" s="4221">
        <v>0.3</v>
      </c>
      <c r="AS118" s="4217">
        <v>8782775</v>
      </c>
      <c r="AT118" s="5216">
        <v>0</v>
      </c>
      <c r="AU118" s="5216">
        <v>0</v>
      </c>
      <c r="AV118" s="4220">
        <v>6332382</v>
      </c>
      <c r="AW118" s="5243">
        <v>0</v>
      </c>
      <c r="AX118" s="4224"/>
      <c r="AY118" s="5217">
        <v>0</v>
      </c>
      <c r="AZ118" s="4224"/>
      <c r="BA118" s="4224">
        <v>702904</v>
      </c>
      <c r="BB118" s="4224">
        <v>0</v>
      </c>
      <c r="BC118" s="5218"/>
      <c r="BD118" s="4217">
        <v>0</v>
      </c>
      <c r="BE118" s="4224">
        <v>6307052</v>
      </c>
    </row>
    <row r="119" spans="1:57">
      <c r="A119" s="3810">
        <v>322</v>
      </c>
      <c r="B119" s="4210" t="s">
        <v>511</v>
      </c>
      <c r="C119" s="4211" t="s">
        <v>214</v>
      </c>
      <c r="D119" s="4212">
        <v>20685524</v>
      </c>
      <c r="E119" s="4213">
        <v>18747894</v>
      </c>
      <c r="F119" s="4224">
        <v>21743249</v>
      </c>
      <c r="G119" s="4224">
        <v>19806602</v>
      </c>
      <c r="H119" s="4214">
        <v>304.5</v>
      </c>
      <c r="I119" s="4215">
        <v>289.5</v>
      </c>
      <c r="J119" s="4216">
        <v>256.39999999999998</v>
      </c>
      <c r="K119" s="4217">
        <v>2981916</v>
      </c>
      <c r="L119" s="4225">
        <v>320.5</v>
      </c>
      <c r="M119" s="4225">
        <v>304</v>
      </c>
      <c r="N119" s="4225">
        <v>304.5</v>
      </c>
      <c r="O119" s="4225">
        <v>289.5</v>
      </c>
      <c r="P119" s="4218">
        <v>282909</v>
      </c>
      <c r="Q119" s="4218">
        <v>312851</v>
      </c>
      <c r="R119" s="4220">
        <v>343817</v>
      </c>
      <c r="S119" s="4220"/>
      <c r="T119" s="4219">
        <v>0</v>
      </c>
      <c r="U119" s="5214">
        <v>0</v>
      </c>
      <c r="V119" s="4222"/>
      <c r="W119" s="4224">
        <v>0</v>
      </c>
      <c r="X119" s="4217">
        <v>84</v>
      </c>
      <c r="Y119" s="4223">
        <v>58</v>
      </c>
      <c r="Z119" s="5215">
        <v>0.24</v>
      </c>
      <c r="AA119" s="5215">
        <v>0.03</v>
      </c>
      <c r="AB119" s="5205">
        <v>0.38319999999999999</v>
      </c>
      <c r="AC119" s="4224">
        <v>190726</v>
      </c>
      <c r="AD119" s="4224"/>
      <c r="AE119" s="4224">
        <v>210602</v>
      </c>
      <c r="AF119" s="4225">
        <v>320.5</v>
      </c>
      <c r="AG119" s="4225">
        <v>304</v>
      </c>
      <c r="AH119" s="4225">
        <v>0</v>
      </c>
      <c r="AI119" s="4225">
        <v>0</v>
      </c>
      <c r="AJ119" s="4225">
        <v>0</v>
      </c>
      <c r="AK119" s="4225">
        <v>0</v>
      </c>
      <c r="AL119" s="4225">
        <v>0</v>
      </c>
      <c r="AM119" s="4221">
        <v>0</v>
      </c>
      <c r="AN119" s="4226">
        <v>0</v>
      </c>
      <c r="AO119" s="4224"/>
      <c r="AP119" s="4224"/>
      <c r="AQ119" s="4224">
        <v>2160796</v>
      </c>
      <c r="AR119" s="4221">
        <v>0.3</v>
      </c>
      <c r="AS119" s="4217">
        <v>2801799</v>
      </c>
      <c r="AT119" s="5216">
        <v>0</v>
      </c>
      <c r="AU119" s="5216">
        <v>0</v>
      </c>
      <c r="AV119" s="4220">
        <v>2160796</v>
      </c>
      <c r="AW119" s="5243">
        <v>12164</v>
      </c>
      <c r="AX119" s="4224"/>
      <c r="AY119" s="5217">
        <v>343817</v>
      </c>
      <c r="AZ119" s="4224"/>
      <c r="BA119" s="4224">
        <v>162941</v>
      </c>
      <c r="BB119" s="4224">
        <v>9750</v>
      </c>
      <c r="BC119" s="5218"/>
      <c r="BD119" s="4217">
        <v>0</v>
      </c>
      <c r="BE119" s="4224">
        <v>2152153</v>
      </c>
    </row>
    <row r="120" spans="1:57">
      <c r="A120" s="3810">
        <v>323</v>
      </c>
      <c r="B120" s="4210" t="s">
        <v>512</v>
      </c>
      <c r="C120" s="4211" t="s">
        <v>214</v>
      </c>
      <c r="D120" s="4212">
        <v>46241882</v>
      </c>
      <c r="E120" s="4213">
        <v>41730968</v>
      </c>
      <c r="F120" s="4224">
        <v>50300973</v>
      </c>
      <c r="G120" s="4224">
        <v>45663526</v>
      </c>
      <c r="H120" s="4214">
        <v>902.1</v>
      </c>
      <c r="I120" s="4215">
        <v>942.1</v>
      </c>
      <c r="J120" s="4216">
        <v>233</v>
      </c>
      <c r="K120" s="4217">
        <v>7960931</v>
      </c>
      <c r="L120" s="4225">
        <v>857.6</v>
      </c>
      <c r="M120" s="4225">
        <v>854.9</v>
      </c>
      <c r="N120" s="4225">
        <v>902.1</v>
      </c>
      <c r="O120" s="4225">
        <v>942.1</v>
      </c>
      <c r="P120" s="4218">
        <v>833952</v>
      </c>
      <c r="Q120" s="4218">
        <v>824006</v>
      </c>
      <c r="R120" s="4220">
        <v>1054938</v>
      </c>
      <c r="S120" s="4220"/>
      <c r="T120" s="4219">
        <v>0</v>
      </c>
      <c r="U120" s="5214">
        <v>0</v>
      </c>
      <c r="V120" s="4222"/>
      <c r="W120" s="4224">
        <v>116778</v>
      </c>
      <c r="X120" s="4217">
        <v>216</v>
      </c>
      <c r="Y120" s="4223">
        <v>75</v>
      </c>
      <c r="Z120" s="5215">
        <v>0.45</v>
      </c>
      <c r="AA120" s="5215">
        <v>0.23</v>
      </c>
      <c r="AB120" s="5205">
        <v>0.55449999999999999</v>
      </c>
      <c r="AC120" s="4224">
        <v>450552</v>
      </c>
      <c r="AD120" s="4224"/>
      <c r="AE120" s="4224">
        <v>520765</v>
      </c>
      <c r="AF120" s="4225">
        <v>857.6</v>
      </c>
      <c r="AG120" s="4225">
        <v>854.9</v>
      </c>
      <c r="AH120" s="4225">
        <v>0</v>
      </c>
      <c r="AI120" s="4225">
        <v>0</v>
      </c>
      <c r="AJ120" s="4225">
        <v>0</v>
      </c>
      <c r="AK120" s="4225">
        <v>0</v>
      </c>
      <c r="AL120" s="4225">
        <v>45.9</v>
      </c>
      <c r="AM120" s="4227">
        <v>1.1999999999999999E-3</v>
      </c>
      <c r="AN120" s="4226">
        <v>0</v>
      </c>
      <c r="AO120" s="4224"/>
      <c r="AP120" s="4224"/>
      <c r="AQ120" s="4224">
        <v>5564552</v>
      </c>
      <c r="AR120" s="4221">
        <v>0.2752</v>
      </c>
      <c r="AS120" s="4217">
        <v>7377148</v>
      </c>
      <c r="AT120" s="5216">
        <v>0</v>
      </c>
      <c r="AU120" s="5216">
        <v>0</v>
      </c>
      <c r="AV120" s="4220">
        <v>5564552</v>
      </c>
      <c r="AW120" s="5243">
        <v>0</v>
      </c>
      <c r="AX120" s="4224"/>
      <c r="AY120" s="5217">
        <v>1054938</v>
      </c>
      <c r="AZ120" s="4224"/>
      <c r="BA120" s="4224">
        <v>398905</v>
      </c>
      <c r="BB120" s="4224">
        <v>0</v>
      </c>
      <c r="BC120" s="5218"/>
      <c r="BD120" s="4217">
        <v>0</v>
      </c>
      <c r="BE120" s="4224">
        <v>5562709</v>
      </c>
    </row>
    <row r="121" spans="1:57">
      <c r="A121" s="3810">
        <v>325</v>
      </c>
      <c r="B121" s="4210" t="s">
        <v>513</v>
      </c>
      <c r="C121" s="4211" t="s">
        <v>215</v>
      </c>
      <c r="D121" s="4212">
        <v>28726788</v>
      </c>
      <c r="E121" s="4213">
        <v>25437920</v>
      </c>
      <c r="F121" s="4224">
        <v>29196305</v>
      </c>
      <c r="G121" s="4224">
        <v>25901423</v>
      </c>
      <c r="H121" s="4214">
        <v>591</v>
      </c>
      <c r="I121" s="4215">
        <v>607.5</v>
      </c>
      <c r="J121" s="4216">
        <v>353</v>
      </c>
      <c r="K121" s="4217">
        <v>5577368</v>
      </c>
      <c r="L121" s="4225">
        <v>591</v>
      </c>
      <c r="M121" s="4225">
        <v>587</v>
      </c>
      <c r="N121" s="4225">
        <v>591</v>
      </c>
      <c r="O121" s="4225">
        <v>607.5</v>
      </c>
      <c r="P121" s="4218">
        <v>676280</v>
      </c>
      <c r="Q121" s="4218">
        <v>710971</v>
      </c>
      <c r="R121" s="4220">
        <v>847787</v>
      </c>
      <c r="S121" s="4220"/>
      <c r="T121" s="4219">
        <v>0</v>
      </c>
      <c r="U121" s="5214">
        <v>0</v>
      </c>
      <c r="V121" s="4222"/>
      <c r="W121" s="4224">
        <v>0</v>
      </c>
      <c r="X121" s="4217">
        <v>187</v>
      </c>
      <c r="Y121" s="4223">
        <v>75</v>
      </c>
      <c r="Z121" s="5215">
        <v>0.5</v>
      </c>
      <c r="AA121" s="5215">
        <v>0.28000000000000003</v>
      </c>
      <c r="AB121" s="5205">
        <v>0.59899999999999998</v>
      </c>
      <c r="AC121" s="4224">
        <v>330428</v>
      </c>
      <c r="AD121" s="4224"/>
      <c r="AE121" s="4224">
        <v>350969</v>
      </c>
      <c r="AF121" s="4225">
        <v>591</v>
      </c>
      <c r="AG121" s="4225">
        <v>587</v>
      </c>
      <c r="AH121" s="4225">
        <v>0</v>
      </c>
      <c r="AI121" s="4225">
        <v>0</v>
      </c>
      <c r="AJ121" s="4225">
        <v>0</v>
      </c>
      <c r="AK121" s="4225">
        <v>0</v>
      </c>
      <c r="AL121" s="4225">
        <v>0</v>
      </c>
      <c r="AM121" s="4221">
        <v>0</v>
      </c>
      <c r="AN121" s="4226">
        <v>0</v>
      </c>
      <c r="AO121" s="4224"/>
      <c r="AP121" s="4224"/>
      <c r="AQ121" s="4224">
        <v>3712996</v>
      </c>
      <c r="AR121" s="4221">
        <v>0.3</v>
      </c>
      <c r="AS121" s="4217">
        <v>5086297</v>
      </c>
      <c r="AT121" s="5216">
        <v>0</v>
      </c>
      <c r="AU121" s="5216">
        <v>0</v>
      </c>
      <c r="AV121" s="4220">
        <v>3712996</v>
      </c>
      <c r="AW121" s="5243">
        <v>40218</v>
      </c>
      <c r="AX121" s="4224"/>
      <c r="AY121" s="5217">
        <v>847787</v>
      </c>
      <c r="AZ121" s="4224"/>
      <c r="BA121" s="4224">
        <v>268992</v>
      </c>
      <c r="BB121" s="4224">
        <v>40218</v>
      </c>
      <c r="BC121" s="5218"/>
      <c r="BD121" s="4217">
        <v>0</v>
      </c>
      <c r="BE121" s="4224">
        <v>3698144</v>
      </c>
    </row>
    <row r="122" spans="1:57">
      <c r="A122" s="3810">
        <v>326</v>
      </c>
      <c r="B122" s="4210" t="s">
        <v>514</v>
      </c>
      <c r="C122" s="4211" t="s">
        <v>215</v>
      </c>
      <c r="D122" s="4212">
        <v>17219259</v>
      </c>
      <c r="E122" s="4213">
        <v>16223288</v>
      </c>
      <c r="F122" s="4224">
        <v>14500229</v>
      </c>
      <c r="G122" s="4224">
        <v>13503201</v>
      </c>
      <c r="H122" s="4214">
        <v>149.5</v>
      </c>
      <c r="I122" s="4215">
        <v>144.5</v>
      </c>
      <c r="J122" s="4216">
        <v>332.1</v>
      </c>
      <c r="K122" s="4217">
        <v>1751430</v>
      </c>
      <c r="L122" s="4225">
        <v>182.5</v>
      </c>
      <c r="M122" s="4225">
        <v>171</v>
      </c>
      <c r="N122" s="4225">
        <v>152.5</v>
      </c>
      <c r="O122" s="4225">
        <v>145</v>
      </c>
      <c r="P122" s="4218">
        <v>192495</v>
      </c>
      <c r="Q122" s="4218">
        <v>178978</v>
      </c>
      <c r="R122" s="4220">
        <v>51970</v>
      </c>
      <c r="S122" s="4220"/>
      <c r="T122" s="4219">
        <v>0</v>
      </c>
      <c r="U122" s="5214">
        <v>0</v>
      </c>
      <c r="V122" s="4222"/>
      <c r="W122" s="4224">
        <v>0</v>
      </c>
      <c r="X122" s="4217">
        <v>51</v>
      </c>
      <c r="Y122" s="4223">
        <v>15</v>
      </c>
      <c r="Z122" s="5215">
        <v>0</v>
      </c>
      <c r="AA122" s="5215">
        <v>0</v>
      </c>
      <c r="AB122" s="5205">
        <v>0.16880000000000001</v>
      </c>
      <c r="AC122" s="4224">
        <v>122305</v>
      </c>
      <c r="AD122" s="4224"/>
      <c r="AE122" s="4224">
        <v>133938</v>
      </c>
      <c r="AF122" s="4225">
        <v>182</v>
      </c>
      <c r="AG122" s="4225">
        <v>168</v>
      </c>
      <c r="AH122" s="4225">
        <v>0</v>
      </c>
      <c r="AI122" s="4225">
        <v>0</v>
      </c>
      <c r="AJ122" s="4225">
        <v>0</v>
      </c>
      <c r="AK122" s="4225">
        <v>0</v>
      </c>
      <c r="AL122" s="4225">
        <v>0</v>
      </c>
      <c r="AM122" s="4221">
        <v>0</v>
      </c>
      <c r="AN122" s="4226">
        <v>0</v>
      </c>
      <c r="AO122" s="4224"/>
      <c r="AP122" s="4224"/>
      <c r="AQ122" s="4224">
        <v>1423639</v>
      </c>
      <c r="AR122" s="4221">
        <v>0.3</v>
      </c>
      <c r="AS122" s="4217">
        <v>1885458</v>
      </c>
      <c r="AT122" s="5216">
        <v>0</v>
      </c>
      <c r="AU122" s="5216">
        <v>0</v>
      </c>
      <c r="AV122" s="4220">
        <v>1423639</v>
      </c>
      <c r="AW122" s="5243">
        <v>0</v>
      </c>
      <c r="AX122" s="4224"/>
      <c r="AY122" s="5217">
        <v>46428</v>
      </c>
      <c r="AZ122" s="4224"/>
      <c r="BA122" s="4224">
        <v>103330</v>
      </c>
      <c r="BB122" s="4224">
        <v>0</v>
      </c>
      <c r="BC122" s="5218"/>
      <c r="BD122" s="4217">
        <v>51134</v>
      </c>
      <c r="BE122" s="4224">
        <v>1417944</v>
      </c>
    </row>
    <row r="123" spans="1:57">
      <c r="A123" s="3810">
        <v>327</v>
      </c>
      <c r="B123" s="4210" t="s">
        <v>515</v>
      </c>
      <c r="C123" s="4211" t="s">
        <v>216</v>
      </c>
      <c r="D123" s="4212">
        <v>42874538</v>
      </c>
      <c r="E123" s="4213">
        <v>38723853</v>
      </c>
      <c r="F123" s="4224">
        <v>46881624</v>
      </c>
      <c r="G123" s="4224">
        <v>42689679</v>
      </c>
      <c r="H123" s="4214">
        <v>592</v>
      </c>
      <c r="I123" s="4215">
        <v>602.6</v>
      </c>
      <c r="J123" s="4216">
        <v>425.3</v>
      </c>
      <c r="K123" s="4217">
        <v>5143822</v>
      </c>
      <c r="L123" s="4225">
        <v>575.6</v>
      </c>
      <c r="M123" s="4225">
        <v>581.5</v>
      </c>
      <c r="N123" s="4225">
        <v>592</v>
      </c>
      <c r="O123" s="4225">
        <v>602.6</v>
      </c>
      <c r="P123" s="4218">
        <v>519349</v>
      </c>
      <c r="Q123" s="4218">
        <v>522919</v>
      </c>
      <c r="R123" s="4220">
        <v>523301</v>
      </c>
      <c r="S123" s="4220"/>
      <c r="T123" s="4219">
        <v>5147</v>
      </c>
      <c r="U123" s="5214">
        <v>4774</v>
      </c>
      <c r="V123" s="4222"/>
      <c r="W123" s="4224">
        <v>0</v>
      </c>
      <c r="X123" s="4217">
        <v>173</v>
      </c>
      <c r="Y123" s="4223">
        <v>90</v>
      </c>
      <c r="Z123" s="5215">
        <v>0.23</v>
      </c>
      <c r="AA123" s="5215">
        <v>0.01</v>
      </c>
      <c r="AB123" s="5205">
        <v>0.3695</v>
      </c>
      <c r="AC123" s="4224">
        <v>353934</v>
      </c>
      <c r="AD123" s="4224"/>
      <c r="AE123" s="4224">
        <v>388734</v>
      </c>
      <c r="AF123" s="4225">
        <v>575.6</v>
      </c>
      <c r="AG123" s="4225">
        <v>581.5</v>
      </c>
      <c r="AH123" s="4225">
        <v>0</v>
      </c>
      <c r="AI123" s="4225">
        <v>0</v>
      </c>
      <c r="AJ123" s="4225">
        <v>0</v>
      </c>
      <c r="AK123" s="4225">
        <v>0</v>
      </c>
      <c r="AL123" s="4225">
        <v>0</v>
      </c>
      <c r="AM123" s="4221">
        <v>0</v>
      </c>
      <c r="AN123" s="4226">
        <v>0</v>
      </c>
      <c r="AO123" s="4224"/>
      <c r="AP123" s="4224"/>
      <c r="AQ123" s="4224">
        <v>3788285</v>
      </c>
      <c r="AR123" s="4221">
        <v>0.3</v>
      </c>
      <c r="AS123" s="4217">
        <v>4939030</v>
      </c>
      <c r="AT123" s="5216">
        <v>0</v>
      </c>
      <c r="AU123" s="5216">
        <v>0</v>
      </c>
      <c r="AV123" s="4220">
        <v>3788285</v>
      </c>
      <c r="AW123" s="5243">
        <v>28179</v>
      </c>
      <c r="AX123" s="4224"/>
      <c r="AY123" s="5217">
        <v>523301</v>
      </c>
      <c r="AZ123" s="4224"/>
      <c r="BA123" s="4224">
        <v>298996</v>
      </c>
      <c r="BB123" s="4224">
        <v>20329</v>
      </c>
      <c r="BC123" s="5218"/>
      <c r="BD123" s="4217">
        <v>0</v>
      </c>
      <c r="BE123" s="4224">
        <v>3773132</v>
      </c>
    </row>
    <row r="124" spans="1:57">
      <c r="A124" s="3810">
        <v>329</v>
      </c>
      <c r="B124" s="4210" t="s">
        <v>2566</v>
      </c>
      <c r="C124" s="4211" t="s">
        <v>217</v>
      </c>
      <c r="D124" s="4212">
        <v>38490037</v>
      </c>
      <c r="E124" s="4213">
        <v>35163122</v>
      </c>
      <c r="F124" s="4224">
        <v>40458843</v>
      </c>
      <c r="G124" s="4224">
        <v>37116140</v>
      </c>
      <c r="H124" s="4214">
        <v>453.5</v>
      </c>
      <c r="I124" s="4215">
        <v>422.4</v>
      </c>
      <c r="J124" s="4216">
        <v>397</v>
      </c>
      <c r="K124" s="4217">
        <v>4227003</v>
      </c>
      <c r="L124" s="4225">
        <v>456</v>
      </c>
      <c r="M124" s="4225">
        <v>471.5</v>
      </c>
      <c r="N124" s="4225">
        <v>453.5</v>
      </c>
      <c r="O124" s="4225">
        <v>422.4</v>
      </c>
      <c r="P124" s="4218">
        <v>446426</v>
      </c>
      <c r="Q124" s="4218">
        <v>450033</v>
      </c>
      <c r="R124" s="4220">
        <v>338435</v>
      </c>
      <c r="S124" s="4220"/>
      <c r="T124" s="4219">
        <v>449</v>
      </c>
      <c r="U124" s="5214">
        <v>370</v>
      </c>
      <c r="V124" s="4222"/>
      <c r="W124" s="4224">
        <v>0</v>
      </c>
      <c r="X124" s="4217">
        <v>96</v>
      </c>
      <c r="Y124" s="4223">
        <v>63</v>
      </c>
      <c r="Z124" s="5215">
        <v>0.04</v>
      </c>
      <c r="AA124" s="5215">
        <v>0</v>
      </c>
      <c r="AB124" s="5205">
        <v>0.2092</v>
      </c>
      <c r="AC124" s="4224">
        <v>313236</v>
      </c>
      <c r="AD124" s="4224"/>
      <c r="AE124" s="4224">
        <v>352834</v>
      </c>
      <c r="AF124" s="4225">
        <v>456</v>
      </c>
      <c r="AG124" s="4225">
        <v>471.5</v>
      </c>
      <c r="AH124" s="4225">
        <v>0</v>
      </c>
      <c r="AI124" s="4225">
        <v>0</v>
      </c>
      <c r="AJ124" s="4225">
        <v>0</v>
      </c>
      <c r="AK124" s="4225">
        <v>0</v>
      </c>
      <c r="AL124" s="4225">
        <v>0</v>
      </c>
      <c r="AM124" s="4221">
        <v>0</v>
      </c>
      <c r="AN124" s="4226">
        <v>0</v>
      </c>
      <c r="AO124" s="4224"/>
      <c r="AP124" s="4224"/>
      <c r="AQ124" s="4224">
        <v>3170730</v>
      </c>
      <c r="AR124" s="4221">
        <v>0.3</v>
      </c>
      <c r="AS124" s="4217">
        <v>4231783</v>
      </c>
      <c r="AT124" s="5216">
        <v>0</v>
      </c>
      <c r="AU124" s="5216">
        <v>0</v>
      </c>
      <c r="AV124" s="4220">
        <v>3170730</v>
      </c>
      <c r="AW124" s="5243">
        <v>15696</v>
      </c>
      <c r="AX124" s="4224"/>
      <c r="AY124" s="5217">
        <v>338435</v>
      </c>
      <c r="AZ124" s="4224"/>
      <c r="BA124" s="4224">
        <v>270120</v>
      </c>
      <c r="BB124" s="4224">
        <v>0</v>
      </c>
      <c r="BC124" s="5218"/>
      <c r="BD124" s="4217">
        <v>0</v>
      </c>
      <c r="BE124" s="4224">
        <v>3158047</v>
      </c>
    </row>
    <row r="125" spans="1:57">
      <c r="A125" s="3810">
        <v>330</v>
      </c>
      <c r="B125" s="4210" t="s">
        <v>1849</v>
      </c>
      <c r="C125" s="4211" t="s">
        <v>217</v>
      </c>
      <c r="D125" s="4212">
        <v>35061949</v>
      </c>
      <c r="E125" s="4213">
        <v>31524054</v>
      </c>
      <c r="F125" s="4224">
        <v>36579120</v>
      </c>
      <c r="G125" s="4224">
        <v>33030450</v>
      </c>
      <c r="H125" s="4214">
        <v>454</v>
      </c>
      <c r="I125" s="4215">
        <v>462.2</v>
      </c>
      <c r="J125" s="4216">
        <v>370</v>
      </c>
      <c r="K125" s="4217">
        <v>4753108</v>
      </c>
      <c r="L125" s="4225">
        <v>478.1</v>
      </c>
      <c r="M125" s="4225">
        <v>474.1</v>
      </c>
      <c r="N125" s="4225">
        <v>454</v>
      </c>
      <c r="O125" s="4225">
        <v>462.2</v>
      </c>
      <c r="P125" s="4218">
        <v>714010</v>
      </c>
      <c r="Q125" s="4218">
        <v>750808</v>
      </c>
      <c r="R125" s="4220">
        <v>406169</v>
      </c>
      <c r="S125" s="4220"/>
      <c r="T125" s="4219">
        <v>0</v>
      </c>
      <c r="U125" s="5214">
        <v>0</v>
      </c>
      <c r="V125" s="4222"/>
      <c r="W125" s="4224">
        <v>0</v>
      </c>
      <c r="X125" s="4217">
        <v>131</v>
      </c>
      <c r="Y125" s="4223">
        <v>54</v>
      </c>
      <c r="Z125" s="5215">
        <v>0.2</v>
      </c>
      <c r="AA125" s="5215">
        <v>0</v>
      </c>
      <c r="AB125" s="5205">
        <v>0.34429999999999999</v>
      </c>
      <c r="AC125" s="4224">
        <v>367890</v>
      </c>
      <c r="AD125" s="4224"/>
      <c r="AE125" s="4224">
        <v>409311</v>
      </c>
      <c r="AF125" s="4225">
        <v>478.1</v>
      </c>
      <c r="AG125" s="4225">
        <v>474.1</v>
      </c>
      <c r="AH125" s="4225">
        <v>0</v>
      </c>
      <c r="AI125" s="4225">
        <v>0</v>
      </c>
      <c r="AJ125" s="4225">
        <v>0</v>
      </c>
      <c r="AK125" s="4225">
        <v>0</v>
      </c>
      <c r="AL125" s="4225">
        <v>0</v>
      </c>
      <c r="AM125" s="4221">
        <v>0</v>
      </c>
      <c r="AN125" s="4226">
        <v>0</v>
      </c>
      <c r="AO125" s="4224"/>
      <c r="AP125" s="4224"/>
      <c r="AQ125" s="4224">
        <v>3289068</v>
      </c>
      <c r="AR125" s="4221">
        <v>0.3</v>
      </c>
      <c r="AS125" s="4217">
        <v>4548470</v>
      </c>
      <c r="AT125" s="5216">
        <v>0</v>
      </c>
      <c r="AU125" s="5216">
        <v>0</v>
      </c>
      <c r="AV125" s="4220">
        <v>3289068</v>
      </c>
      <c r="AW125" s="5243">
        <v>26033</v>
      </c>
      <c r="AX125" s="4224"/>
      <c r="AY125" s="5217">
        <v>406169</v>
      </c>
      <c r="AZ125" s="4224"/>
      <c r="BA125" s="4224">
        <v>314609</v>
      </c>
      <c r="BB125" s="4224">
        <v>5524</v>
      </c>
      <c r="BC125" s="5218"/>
      <c r="BD125" s="4217">
        <v>0</v>
      </c>
      <c r="BE125" s="4224">
        <v>3275912</v>
      </c>
    </row>
    <row r="126" spans="1:57">
      <c r="A126" s="3810">
        <v>331</v>
      </c>
      <c r="B126" s="4210" t="s">
        <v>516</v>
      </c>
      <c r="C126" s="4211" t="s">
        <v>218</v>
      </c>
      <c r="D126" s="4212">
        <v>70484983</v>
      </c>
      <c r="E126" s="4213">
        <v>64282610</v>
      </c>
      <c r="F126" s="4224">
        <v>66858742</v>
      </c>
      <c r="G126" s="4224">
        <v>60635673</v>
      </c>
      <c r="H126" s="4214">
        <v>929.8</v>
      </c>
      <c r="I126" s="4215">
        <v>891.5</v>
      </c>
      <c r="J126" s="4216">
        <v>565.5</v>
      </c>
      <c r="K126" s="4217">
        <v>8176728</v>
      </c>
      <c r="L126" s="4225">
        <v>958.8</v>
      </c>
      <c r="M126" s="4225">
        <v>926.1</v>
      </c>
      <c r="N126" s="4225">
        <v>937.7</v>
      </c>
      <c r="O126" s="4225">
        <v>931.5</v>
      </c>
      <c r="P126" s="4218">
        <v>1090694</v>
      </c>
      <c r="Q126" s="4218">
        <v>1180795</v>
      </c>
      <c r="R126" s="4220">
        <v>734292</v>
      </c>
      <c r="S126" s="4220"/>
      <c r="T126" s="4219">
        <v>0</v>
      </c>
      <c r="U126" s="5214">
        <v>0</v>
      </c>
      <c r="V126" s="4222"/>
      <c r="W126" s="4224">
        <v>0</v>
      </c>
      <c r="X126" s="4217">
        <v>360</v>
      </c>
      <c r="Y126" s="4223">
        <v>98</v>
      </c>
      <c r="Z126" s="5215">
        <v>0.3</v>
      </c>
      <c r="AA126" s="5215">
        <v>0.09</v>
      </c>
      <c r="AB126" s="5205">
        <v>0.43280000000000002</v>
      </c>
      <c r="AC126" s="4224">
        <v>521049</v>
      </c>
      <c r="AD126" s="4224"/>
      <c r="AE126" s="4224">
        <v>577366</v>
      </c>
      <c r="AF126" s="4225">
        <v>958.8</v>
      </c>
      <c r="AG126" s="4225">
        <v>923.1</v>
      </c>
      <c r="AH126" s="4225">
        <v>8.3000000000000007</v>
      </c>
      <c r="AI126" s="4225">
        <v>0</v>
      </c>
      <c r="AJ126" s="4225">
        <v>0</v>
      </c>
      <c r="AK126" s="4225">
        <v>0</v>
      </c>
      <c r="AL126" s="4225">
        <v>0</v>
      </c>
      <c r="AM126" s="4221">
        <v>0</v>
      </c>
      <c r="AN126" s="4226">
        <v>0</v>
      </c>
      <c r="AO126" s="4224"/>
      <c r="AP126" s="4224"/>
      <c r="AQ126" s="4224">
        <v>5696524</v>
      </c>
      <c r="AR126" s="4221">
        <v>0.3</v>
      </c>
      <c r="AS126" s="4217">
        <v>7832394</v>
      </c>
      <c r="AT126" s="5216">
        <v>0</v>
      </c>
      <c r="AU126" s="5216">
        <v>0</v>
      </c>
      <c r="AV126" s="4220">
        <v>5696524</v>
      </c>
      <c r="AW126" s="5243">
        <v>49766</v>
      </c>
      <c r="AX126" s="4224"/>
      <c r="AY126" s="5217">
        <v>734292</v>
      </c>
      <c r="AZ126" s="4224"/>
      <c r="BA126" s="4224">
        <v>440830</v>
      </c>
      <c r="BB126" s="4224">
        <v>18896</v>
      </c>
      <c r="BC126" s="5218"/>
      <c r="BD126" s="4217">
        <v>0</v>
      </c>
      <c r="BE126" s="4224">
        <v>5792204</v>
      </c>
    </row>
    <row r="127" spans="1:57">
      <c r="A127" s="3810">
        <v>332</v>
      </c>
      <c r="B127" s="4210" t="s">
        <v>517</v>
      </c>
      <c r="C127" s="4211" t="s">
        <v>218</v>
      </c>
      <c r="D127" s="4212">
        <v>67432794</v>
      </c>
      <c r="E127" s="4213">
        <v>65949128</v>
      </c>
      <c r="F127" s="4224">
        <v>69281032</v>
      </c>
      <c r="G127" s="4224">
        <v>67801410</v>
      </c>
      <c r="H127" s="4214">
        <v>157.80000000000001</v>
      </c>
      <c r="I127" s="4215">
        <v>145.5</v>
      </c>
      <c r="J127" s="4216">
        <v>323.5</v>
      </c>
      <c r="K127" s="4217">
        <v>1656565</v>
      </c>
      <c r="L127" s="4225">
        <v>170.5</v>
      </c>
      <c r="M127" s="4225">
        <v>155.1</v>
      </c>
      <c r="N127" s="4225">
        <v>157.80000000000001</v>
      </c>
      <c r="O127" s="4225">
        <v>145.5</v>
      </c>
      <c r="P127" s="4218">
        <v>232874</v>
      </c>
      <c r="Q127" s="4218">
        <v>239973</v>
      </c>
      <c r="R127" s="4220">
        <v>0</v>
      </c>
      <c r="S127" s="4220"/>
      <c r="T127" s="4219">
        <v>0</v>
      </c>
      <c r="U127" s="5214">
        <v>0</v>
      </c>
      <c r="V127" s="4222"/>
      <c r="W127" s="4224">
        <v>0</v>
      </c>
      <c r="X127" s="4217">
        <v>43</v>
      </c>
      <c r="Y127" s="4223">
        <v>17</v>
      </c>
      <c r="Z127" s="5215">
        <v>0</v>
      </c>
      <c r="AA127" s="5215">
        <v>0</v>
      </c>
      <c r="AB127" s="5205">
        <v>0</v>
      </c>
      <c r="AC127" s="4224">
        <v>144442</v>
      </c>
      <c r="AD127" s="4224"/>
      <c r="AE127" s="4224">
        <v>156828</v>
      </c>
      <c r="AF127" s="4225">
        <v>170.5</v>
      </c>
      <c r="AG127" s="4225">
        <v>155.1</v>
      </c>
      <c r="AH127" s="4225">
        <v>0</v>
      </c>
      <c r="AI127" s="4225">
        <v>0</v>
      </c>
      <c r="AJ127" s="4225">
        <v>0</v>
      </c>
      <c r="AK127" s="4225">
        <v>0</v>
      </c>
      <c r="AL127" s="4225">
        <v>0</v>
      </c>
      <c r="AM127" s="4221">
        <v>0</v>
      </c>
      <c r="AN127" s="4226">
        <v>0</v>
      </c>
      <c r="AO127" s="4224"/>
      <c r="AP127" s="4224"/>
      <c r="AQ127" s="5219">
        <v>1287945</v>
      </c>
      <c r="AR127" s="4221">
        <v>0.3</v>
      </c>
      <c r="AS127" s="4217">
        <v>1790519</v>
      </c>
      <c r="AT127" s="5216">
        <v>0</v>
      </c>
      <c r="AU127" s="5216">
        <v>0</v>
      </c>
      <c r="AV127" s="4220">
        <v>1287945</v>
      </c>
      <c r="AW127" s="5243">
        <v>0</v>
      </c>
      <c r="AX127" s="4224"/>
      <c r="AY127" s="5217">
        <v>0</v>
      </c>
      <c r="AZ127" s="4224"/>
      <c r="BA127" s="4224">
        <v>119159</v>
      </c>
      <c r="BB127" s="4224">
        <v>0</v>
      </c>
      <c r="BC127" s="5218"/>
      <c r="BD127" s="4217">
        <v>0</v>
      </c>
      <c r="BE127" s="4224">
        <v>1282793</v>
      </c>
    </row>
    <row r="128" spans="1:57">
      <c r="A128" s="3810">
        <v>333</v>
      </c>
      <c r="B128" s="4210" t="s">
        <v>518</v>
      </c>
      <c r="C128" s="4211" t="s">
        <v>219</v>
      </c>
      <c r="D128" s="4212">
        <v>53187251</v>
      </c>
      <c r="E128" s="4213">
        <v>46969829</v>
      </c>
      <c r="F128" s="4224">
        <v>58198209</v>
      </c>
      <c r="G128" s="4224">
        <v>51984095</v>
      </c>
      <c r="H128" s="4214">
        <v>1001.5</v>
      </c>
      <c r="I128" s="4215">
        <v>994.2</v>
      </c>
      <c r="J128" s="4216">
        <v>336</v>
      </c>
      <c r="K128" s="4217">
        <v>8842078</v>
      </c>
      <c r="L128" s="4225">
        <v>1028.4000000000001</v>
      </c>
      <c r="M128" s="4225">
        <v>1010</v>
      </c>
      <c r="N128" s="4225">
        <v>1016</v>
      </c>
      <c r="O128" s="4225">
        <v>1007.7</v>
      </c>
      <c r="P128" s="4218">
        <v>873759</v>
      </c>
      <c r="Q128" s="4218">
        <v>880270</v>
      </c>
      <c r="R128" s="4220">
        <v>1327413</v>
      </c>
      <c r="S128" s="4220"/>
      <c r="T128" s="4219">
        <v>0</v>
      </c>
      <c r="U128" s="5214">
        <v>0</v>
      </c>
      <c r="V128" s="4222"/>
      <c r="W128" s="4224">
        <v>0</v>
      </c>
      <c r="X128" s="4217">
        <v>384</v>
      </c>
      <c r="Y128" s="4223">
        <v>189</v>
      </c>
      <c r="Z128" s="5215">
        <v>0.45</v>
      </c>
      <c r="AA128" s="5215">
        <v>0.23</v>
      </c>
      <c r="AB128" s="5205">
        <v>0.55589999999999995</v>
      </c>
      <c r="AC128" s="4224">
        <v>794379</v>
      </c>
      <c r="AD128" s="4224"/>
      <c r="AE128" s="4224">
        <v>844763</v>
      </c>
      <c r="AF128" s="4225">
        <v>1019.9</v>
      </c>
      <c r="AG128" s="4225">
        <v>996.5</v>
      </c>
      <c r="AH128" s="4225">
        <v>5.3</v>
      </c>
      <c r="AI128" s="4225">
        <v>0</v>
      </c>
      <c r="AJ128" s="4225">
        <v>0</v>
      </c>
      <c r="AK128" s="4225">
        <v>0</v>
      </c>
      <c r="AL128" s="4225">
        <v>0</v>
      </c>
      <c r="AM128" s="4221">
        <v>0</v>
      </c>
      <c r="AN128" s="4226">
        <v>0</v>
      </c>
      <c r="AO128" s="4224"/>
      <c r="AP128" s="4224"/>
      <c r="AQ128" s="4224">
        <v>5855685</v>
      </c>
      <c r="AR128" s="4221">
        <v>0.3</v>
      </c>
      <c r="AS128" s="4217">
        <v>7976691</v>
      </c>
      <c r="AT128" s="5216">
        <v>0</v>
      </c>
      <c r="AU128" s="5216">
        <v>0</v>
      </c>
      <c r="AV128" s="4220">
        <v>5855685</v>
      </c>
      <c r="AW128" s="5243">
        <v>109682</v>
      </c>
      <c r="AX128" s="4224"/>
      <c r="AY128" s="5217">
        <v>1327413</v>
      </c>
      <c r="AZ128" s="4224"/>
      <c r="BA128" s="4224">
        <v>647301</v>
      </c>
      <c r="BB128" s="4224">
        <v>109682</v>
      </c>
      <c r="BC128" s="5218"/>
      <c r="BD128" s="4217">
        <v>0</v>
      </c>
      <c r="BE128" s="4224">
        <v>5877412</v>
      </c>
    </row>
    <row r="129" spans="1:57">
      <c r="A129" s="3810">
        <v>334</v>
      </c>
      <c r="B129" s="4210" t="s">
        <v>519</v>
      </c>
      <c r="C129" s="4211" t="s">
        <v>219</v>
      </c>
      <c r="D129" s="4212">
        <v>21149961</v>
      </c>
      <c r="E129" s="4213">
        <v>19625747</v>
      </c>
      <c r="F129" s="4224">
        <v>22822065</v>
      </c>
      <c r="G129" s="4224">
        <v>21283228</v>
      </c>
      <c r="H129" s="4214">
        <v>199</v>
      </c>
      <c r="I129" s="4215">
        <v>182</v>
      </c>
      <c r="J129" s="4216">
        <v>273</v>
      </c>
      <c r="K129" s="4217">
        <v>2377263</v>
      </c>
      <c r="L129" s="4225">
        <v>211</v>
      </c>
      <c r="M129" s="4225">
        <v>235.3</v>
      </c>
      <c r="N129" s="4225">
        <v>232</v>
      </c>
      <c r="O129" s="4225">
        <v>211</v>
      </c>
      <c r="P129" s="4218">
        <v>304240</v>
      </c>
      <c r="Q129" s="4218">
        <v>312207</v>
      </c>
      <c r="R129" s="4220">
        <v>138740</v>
      </c>
      <c r="S129" s="4220"/>
      <c r="T129" s="4219">
        <v>0</v>
      </c>
      <c r="U129" s="5214">
        <v>0</v>
      </c>
      <c r="V129" s="4222"/>
      <c r="W129" s="4224">
        <v>0</v>
      </c>
      <c r="X129" s="4217">
        <v>112</v>
      </c>
      <c r="Y129" s="4223">
        <v>20</v>
      </c>
      <c r="Z129" s="5215">
        <v>0</v>
      </c>
      <c r="AA129" s="5215">
        <v>0</v>
      </c>
      <c r="AB129" s="5205">
        <v>0.1032</v>
      </c>
      <c r="AC129" s="4224">
        <v>190579</v>
      </c>
      <c r="AD129" s="4224"/>
      <c r="AE129" s="4224">
        <v>208505</v>
      </c>
      <c r="AF129" s="4225">
        <v>211</v>
      </c>
      <c r="AG129" s="4225">
        <v>229.6</v>
      </c>
      <c r="AH129" s="4225">
        <v>34.700000000000003</v>
      </c>
      <c r="AI129" s="4225">
        <v>0</v>
      </c>
      <c r="AJ129" s="4225">
        <v>0</v>
      </c>
      <c r="AK129" s="4225">
        <v>0</v>
      </c>
      <c r="AL129" s="4225">
        <v>0</v>
      </c>
      <c r="AM129" s="4221">
        <v>0</v>
      </c>
      <c r="AN129" s="4226">
        <v>0</v>
      </c>
      <c r="AO129" s="4224"/>
      <c r="AP129" s="4224"/>
      <c r="AQ129" s="4224">
        <v>1892280</v>
      </c>
      <c r="AR129" s="4221">
        <v>0.3</v>
      </c>
      <c r="AS129" s="4217">
        <v>2377374</v>
      </c>
      <c r="AT129" s="5216">
        <v>0</v>
      </c>
      <c r="AU129" s="5216">
        <v>0</v>
      </c>
      <c r="AV129" s="4220">
        <v>1892280</v>
      </c>
      <c r="AW129" s="5243">
        <v>1867</v>
      </c>
      <c r="AX129" s="4224"/>
      <c r="AY129" s="5217">
        <v>118621</v>
      </c>
      <c r="AZ129" s="4224"/>
      <c r="BA129" s="4224">
        <v>161452</v>
      </c>
      <c r="BB129" s="4224">
        <v>0</v>
      </c>
      <c r="BC129" s="5218"/>
      <c r="BD129" s="4217">
        <v>0</v>
      </c>
      <c r="BE129" s="4224">
        <v>1784982</v>
      </c>
    </row>
    <row r="130" spans="1:57">
      <c r="A130" s="3810">
        <v>335</v>
      </c>
      <c r="B130" s="4210" t="s">
        <v>520</v>
      </c>
      <c r="C130" s="4211" t="s">
        <v>220</v>
      </c>
      <c r="D130" s="4212">
        <v>18161230</v>
      </c>
      <c r="E130" s="4213">
        <v>16317013</v>
      </c>
      <c r="F130" s="4224">
        <v>19485128</v>
      </c>
      <c r="G130" s="4224">
        <v>17644212</v>
      </c>
      <c r="H130" s="4214">
        <v>376</v>
      </c>
      <c r="I130" s="4215">
        <v>361.5</v>
      </c>
      <c r="J130" s="4216">
        <v>213</v>
      </c>
      <c r="K130" s="4217">
        <v>3845926</v>
      </c>
      <c r="L130" s="4225">
        <v>369</v>
      </c>
      <c r="M130" s="4225">
        <v>388</v>
      </c>
      <c r="N130" s="4225">
        <v>376</v>
      </c>
      <c r="O130" s="4225">
        <v>361.5</v>
      </c>
      <c r="P130" s="4218">
        <v>310147</v>
      </c>
      <c r="Q130" s="4218">
        <v>315874</v>
      </c>
      <c r="R130" s="4220">
        <v>610936</v>
      </c>
      <c r="S130" s="4220"/>
      <c r="T130" s="4219">
        <v>0</v>
      </c>
      <c r="U130" s="5214">
        <v>0</v>
      </c>
      <c r="V130" s="4222"/>
      <c r="W130" s="4224">
        <v>0</v>
      </c>
      <c r="X130" s="4217">
        <v>116</v>
      </c>
      <c r="Y130" s="4223">
        <v>41</v>
      </c>
      <c r="Z130" s="5215">
        <v>0.44</v>
      </c>
      <c r="AA130" s="5215">
        <v>0.23</v>
      </c>
      <c r="AB130" s="5205">
        <v>0.55020000000000002</v>
      </c>
      <c r="AC130" s="4224">
        <v>213709</v>
      </c>
      <c r="AD130" s="4224"/>
      <c r="AE130" s="4224">
        <v>235708</v>
      </c>
      <c r="AF130" s="4225">
        <v>369</v>
      </c>
      <c r="AG130" s="4225">
        <v>388</v>
      </c>
      <c r="AH130" s="4225">
        <v>0</v>
      </c>
      <c r="AI130" s="4225">
        <v>0</v>
      </c>
      <c r="AJ130" s="4225">
        <v>0</v>
      </c>
      <c r="AK130" s="4225">
        <v>0</v>
      </c>
      <c r="AL130" s="4225">
        <v>0</v>
      </c>
      <c r="AM130" s="4221">
        <v>0</v>
      </c>
      <c r="AN130" s="4226">
        <v>0</v>
      </c>
      <c r="AO130" s="4224"/>
      <c r="AP130" s="4224"/>
      <c r="AQ130" s="4224">
        <v>2693794</v>
      </c>
      <c r="AR130" s="4221">
        <v>0.3</v>
      </c>
      <c r="AS130" s="4217">
        <v>3451351</v>
      </c>
      <c r="AT130" s="5216">
        <v>0</v>
      </c>
      <c r="AU130" s="5216">
        <v>0</v>
      </c>
      <c r="AV130" s="4220">
        <v>2693794</v>
      </c>
      <c r="AW130" s="5243">
        <v>38853</v>
      </c>
      <c r="AX130" s="4224"/>
      <c r="AY130" s="5217">
        <v>610936</v>
      </c>
      <c r="AZ130" s="4224"/>
      <c r="BA130" s="4224">
        <v>179758</v>
      </c>
      <c r="BB130" s="4224">
        <v>38853</v>
      </c>
      <c r="BC130" s="5218"/>
      <c r="BD130" s="4217">
        <v>0</v>
      </c>
      <c r="BE130" s="4224">
        <v>2683019</v>
      </c>
    </row>
    <row r="131" spans="1:57">
      <c r="A131" s="3810">
        <v>336</v>
      </c>
      <c r="B131" s="4210" t="s">
        <v>521</v>
      </c>
      <c r="C131" s="4211" t="s">
        <v>220</v>
      </c>
      <c r="D131" s="4212">
        <v>42364961</v>
      </c>
      <c r="E131" s="4213">
        <v>37105003</v>
      </c>
      <c r="F131" s="4224">
        <v>43586872</v>
      </c>
      <c r="G131" s="4224">
        <v>38357009</v>
      </c>
      <c r="H131" s="4214">
        <v>1118.5</v>
      </c>
      <c r="I131" s="4215">
        <v>1026.5</v>
      </c>
      <c r="J131" s="4216">
        <v>164.5</v>
      </c>
      <c r="K131" s="4217">
        <v>10307798</v>
      </c>
      <c r="L131" s="4225">
        <v>1102.0999999999999</v>
      </c>
      <c r="M131" s="4225">
        <v>1151.4000000000001</v>
      </c>
      <c r="N131" s="4225">
        <v>1118.5</v>
      </c>
      <c r="O131" s="4225">
        <v>1086.5</v>
      </c>
      <c r="P131" s="4218">
        <v>860589</v>
      </c>
      <c r="Q131" s="4218">
        <v>885719</v>
      </c>
      <c r="R131" s="4220">
        <v>1705511</v>
      </c>
      <c r="S131" s="4220"/>
      <c r="T131" s="4219">
        <v>8195</v>
      </c>
      <c r="U131" s="5214">
        <v>7533</v>
      </c>
      <c r="V131" s="4222"/>
      <c r="W131" s="4224">
        <v>0</v>
      </c>
      <c r="X131" s="4217">
        <v>374</v>
      </c>
      <c r="Y131" s="4223">
        <v>57</v>
      </c>
      <c r="Z131" s="5215">
        <v>0.57999999999999996</v>
      </c>
      <c r="AA131" s="5215">
        <v>0.36</v>
      </c>
      <c r="AB131" s="5205">
        <v>0.66549999999999998</v>
      </c>
      <c r="AC131" s="4224">
        <v>1079849</v>
      </c>
      <c r="AD131" s="4224"/>
      <c r="AE131" s="4224">
        <v>1201967</v>
      </c>
      <c r="AF131" s="4225">
        <v>1102.0999999999999</v>
      </c>
      <c r="AG131" s="4225">
        <v>1151.4000000000001</v>
      </c>
      <c r="AH131" s="4225">
        <v>0</v>
      </c>
      <c r="AI131" s="4225">
        <v>0</v>
      </c>
      <c r="AJ131" s="4225">
        <v>0</v>
      </c>
      <c r="AK131" s="4225">
        <v>0</v>
      </c>
      <c r="AL131" s="4225">
        <v>0</v>
      </c>
      <c r="AM131" s="4221">
        <v>0</v>
      </c>
      <c r="AN131" s="4226">
        <v>0</v>
      </c>
      <c r="AO131" s="4224"/>
      <c r="AP131" s="4224"/>
      <c r="AQ131" s="4224">
        <v>6451936</v>
      </c>
      <c r="AR131" s="4221">
        <v>0.3</v>
      </c>
      <c r="AS131" s="4217">
        <v>8513744</v>
      </c>
      <c r="AT131" s="5216">
        <v>0</v>
      </c>
      <c r="AU131" s="5216">
        <v>0</v>
      </c>
      <c r="AV131" s="4220">
        <v>6451936</v>
      </c>
      <c r="AW131" s="5243">
        <v>135130</v>
      </c>
      <c r="AX131" s="4224"/>
      <c r="AY131" s="5217">
        <v>1705511</v>
      </c>
      <c r="AZ131" s="4224"/>
      <c r="BA131" s="4224">
        <v>920648</v>
      </c>
      <c r="BB131" s="4224">
        <v>135130</v>
      </c>
      <c r="BC131" s="5218"/>
      <c r="BD131" s="4217">
        <v>0</v>
      </c>
      <c r="BE131" s="4224">
        <v>6660790</v>
      </c>
    </row>
    <row r="132" spans="1:57">
      <c r="A132" s="3810">
        <v>337</v>
      </c>
      <c r="B132" s="4210" t="s">
        <v>522</v>
      </c>
      <c r="C132" s="4211" t="s">
        <v>220</v>
      </c>
      <c r="D132" s="4212">
        <v>28938647</v>
      </c>
      <c r="E132" s="4213">
        <v>25506073</v>
      </c>
      <c r="F132" s="4224">
        <v>30100043</v>
      </c>
      <c r="G132" s="4224">
        <v>26671962</v>
      </c>
      <c r="H132" s="4214">
        <v>871.5</v>
      </c>
      <c r="I132" s="4215">
        <v>810.1</v>
      </c>
      <c r="J132" s="4216">
        <v>169</v>
      </c>
      <c r="K132" s="4217">
        <v>8796598</v>
      </c>
      <c r="L132" s="4225">
        <v>911.1</v>
      </c>
      <c r="M132" s="4225">
        <v>917.4</v>
      </c>
      <c r="N132" s="4225">
        <v>871.5</v>
      </c>
      <c r="O132" s="4225">
        <v>810.1</v>
      </c>
      <c r="P132" s="4218">
        <v>878180</v>
      </c>
      <c r="Q132" s="4218">
        <v>860972</v>
      </c>
      <c r="R132" s="4220">
        <v>1626881</v>
      </c>
      <c r="S132" s="4220"/>
      <c r="T132" s="4219">
        <v>7078</v>
      </c>
      <c r="U132" s="5214">
        <v>499</v>
      </c>
      <c r="V132" s="4222"/>
      <c r="W132" s="4224">
        <v>0</v>
      </c>
      <c r="X132" s="4217">
        <v>334</v>
      </c>
      <c r="Y132" s="4223">
        <v>75</v>
      </c>
      <c r="Z132" s="5215">
        <v>0.61</v>
      </c>
      <c r="AA132" s="5215">
        <v>0.39</v>
      </c>
      <c r="AB132" s="5205">
        <v>0.69</v>
      </c>
      <c r="AC132" s="4224">
        <v>591540</v>
      </c>
      <c r="AD132" s="4224"/>
      <c r="AE132" s="4224">
        <v>638682</v>
      </c>
      <c r="AF132" s="4225">
        <v>911.1</v>
      </c>
      <c r="AG132" s="4225">
        <v>917.4</v>
      </c>
      <c r="AH132" s="4225">
        <v>0</v>
      </c>
      <c r="AI132" s="4225">
        <v>0</v>
      </c>
      <c r="AJ132" s="4225">
        <v>0</v>
      </c>
      <c r="AK132" s="4225">
        <v>0</v>
      </c>
      <c r="AL132" s="4225">
        <v>0</v>
      </c>
      <c r="AM132" s="4221">
        <v>0</v>
      </c>
      <c r="AN132" s="4226">
        <v>242567</v>
      </c>
      <c r="AO132" s="4224"/>
      <c r="AP132" s="4224"/>
      <c r="AQ132" s="4224">
        <v>5492403</v>
      </c>
      <c r="AR132" s="4221">
        <v>0.3</v>
      </c>
      <c r="AS132" s="4217">
        <v>7625007</v>
      </c>
      <c r="AT132" s="5216">
        <v>0</v>
      </c>
      <c r="AU132" s="5216">
        <v>0</v>
      </c>
      <c r="AV132" s="4220">
        <v>5492403</v>
      </c>
      <c r="AW132" s="5243">
        <v>104157</v>
      </c>
      <c r="AX132" s="4224"/>
      <c r="AY132" s="5217">
        <v>1626881</v>
      </c>
      <c r="AZ132" s="4224"/>
      <c r="BA132" s="4224">
        <v>490136</v>
      </c>
      <c r="BB132" s="4224">
        <v>104157</v>
      </c>
      <c r="BC132" s="5218"/>
      <c r="BD132" s="4217">
        <v>0</v>
      </c>
      <c r="BE132" s="4224">
        <v>5470433</v>
      </c>
    </row>
    <row r="133" spans="1:57">
      <c r="A133" s="3810">
        <v>338</v>
      </c>
      <c r="B133" s="4210" t="s">
        <v>1468</v>
      </c>
      <c r="C133" s="4211" t="s">
        <v>221</v>
      </c>
      <c r="D133" s="4212">
        <v>16062924</v>
      </c>
      <c r="E133" s="4213">
        <v>14066651</v>
      </c>
      <c r="F133" s="4224">
        <v>17079303</v>
      </c>
      <c r="G133" s="4224">
        <v>15099158</v>
      </c>
      <c r="H133" s="4214">
        <v>380</v>
      </c>
      <c r="I133" s="4215">
        <v>358.5</v>
      </c>
      <c r="J133" s="4216">
        <v>115</v>
      </c>
      <c r="K133" s="4217">
        <v>4017109</v>
      </c>
      <c r="L133" s="4225">
        <v>377</v>
      </c>
      <c r="M133" s="4225">
        <v>394</v>
      </c>
      <c r="N133" s="4225">
        <v>386</v>
      </c>
      <c r="O133" s="4225">
        <v>363</v>
      </c>
      <c r="P133" s="4218">
        <v>470071</v>
      </c>
      <c r="Q133" s="4218">
        <v>496987</v>
      </c>
      <c r="R133" s="4220">
        <v>674388</v>
      </c>
      <c r="S133" s="4220"/>
      <c r="T133" s="4219">
        <v>8337</v>
      </c>
      <c r="U133" s="5214">
        <v>9067</v>
      </c>
      <c r="V133" s="4222"/>
      <c r="W133" s="4224">
        <v>0</v>
      </c>
      <c r="X133" s="4217">
        <v>128</v>
      </c>
      <c r="Y133" s="4223">
        <v>49</v>
      </c>
      <c r="Z133" s="5215">
        <v>0.51</v>
      </c>
      <c r="AA133" s="5215">
        <v>0.3</v>
      </c>
      <c r="AB133" s="5205">
        <v>0.60740000000000005</v>
      </c>
      <c r="AC133" s="4224">
        <v>224279</v>
      </c>
      <c r="AD133" s="4224"/>
      <c r="AE133" s="4224">
        <v>254258</v>
      </c>
      <c r="AF133" s="4225">
        <v>373</v>
      </c>
      <c r="AG133" s="4225">
        <v>388.5</v>
      </c>
      <c r="AH133" s="4225">
        <v>0</v>
      </c>
      <c r="AI133" s="4225">
        <v>0</v>
      </c>
      <c r="AJ133" s="4225">
        <v>0</v>
      </c>
      <c r="AK133" s="4225">
        <v>0</v>
      </c>
      <c r="AL133" s="4225">
        <v>0</v>
      </c>
      <c r="AM133" s="4221">
        <v>0</v>
      </c>
      <c r="AN133" s="4226">
        <v>0</v>
      </c>
      <c r="AO133" s="4224"/>
      <c r="AP133" s="4224"/>
      <c r="AQ133" s="4224">
        <v>2613843</v>
      </c>
      <c r="AR133" s="4221">
        <v>0.3</v>
      </c>
      <c r="AS133" s="4217">
        <v>3521475</v>
      </c>
      <c r="AT133" s="5216">
        <v>0</v>
      </c>
      <c r="AU133" s="5216">
        <v>0</v>
      </c>
      <c r="AV133" s="4220">
        <v>2613843</v>
      </c>
      <c r="AW133" s="5243">
        <v>46261</v>
      </c>
      <c r="AX133" s="4224"/>
      <c r="AY133" s="5217">
        <v>674388</v>
      </c>
      <c r="AZ133" s="4224"/>
      <c r="BA133" s="4224">
        <v>195053</v>
      </c>
      <c r="BB133" s="4224">
        <v>46261</v>
      </c>
      <c r="BC133" s="5218"/>
      <c r="BD133" s="4217">
        <v>0</v>
      </c>
      <c r="BE133" s="4224">
        <v>2603388</v>
      </c>
    </row>
    <row r="134" spans="1:57">
      <c r="A134" s="3810">
        <v>339</v>
      </c>
      <c r="B134" s="4210" t="s">
        <v>523</v>
      </c>
      <c r="C134" s="4211" t="s">
        <v>221</v>
      </c>
      <c r="D134" s="4212">
        <v>17879675</v>
      </c>
      <c r="E134" s="4213">
        <v>15880166</v>
      </c>
      <c r="F134" s="4224">
        <v>19190794</v>
      </c>
      <c r="G134" s="4224">
        <v>17200598</v>
      </c>
      <c r="H134" s="4214">
        <v>415</v>
      </c>
      <c r="I134" s="4215">
        <v>420</v>
      </c>
      <c r="J134" s="4216">
        <v>114</v>
      </c>
      <c r="K134" s="4217">
        <v>4470437</v>
      </c>
      <c r="L134" s="4225">
        <v>442.5</v>
      </c>
      <c r="M134" s="4225">
        <v>436</v>
      </c>
      <c r="N134" s="4225">
        <v>420</v>
      </c>
      <c r="O134" s="4225">
        <v>425</v>
      </c>
      <c r="P134" s="4218">
        <v>598459</v>
      </c>
      <c r="Q134" s="4218">
        <v>634050</v>
      </c>
      <c r="R134" s="4220">
        <v>753497</v>
      </c>
      <c r="S134" s="4220"/>
      <c r="T134" s="4219">
        <v>0</v>
      </c>
      <c r="U134" s="5214">
        <v>6443</v>
      </c>
      <c r="V134" s="4222"/>
      <c r="W134" s="4224">
        <v>0</v>
      </c>
      <c r="X134" s="4217">
        <v>105</v>
      </c>
      <c r="Y134" s="4223">
        <v>63</v>
      </c>
      <c r="Z134" s="5215">
        <v>0.53</v>
      </c>
      <c r="AA134" s="5215">
        <v>0.31</v>
      </c>
      <c r="AB134" s="5205">
        <v>0.62319999999999998</v>
      </c>
      <c r="AC134" s="4224">
        <v>240585</v>
      </c>
      <c r="AD134" s="4224"/>
      <c r="AE134" s="4224">
        <v>281741</v>
      </c>
      <c r="AF134" s="4225">
        <v>437.5</v>
      </c>
      <c r="AG134" s="4225">
        <v>431</v>
      </c>
      <c r="AH134" s="4225">
        <v>0</v>
      </c>
      <c r="AI134" s="4225">
        <v>0</v>
      </c>
      <c r="AJ134" s="4225">
        <v>0</v>
      </c>
      <c r="AK134" s="4225">
        <v>0</v>
      </c>
      <c r="AL134" s="4225">
        <v>1.6</v>
      </c>
      <c r="AM134" s="4221">
        <v>0</v>
      </c>
      <c r="AN134" s="4226">
        <v>0</v>
      </c>
      <c r="AO134" s="4224"/>
      <c r="AP134" s="4224"/>
      <c r="AQ134" s="4224">
        <v>2836741</v>
      </c>
      <c r="AR134" s="4221">
        <v>0.3</v>
      </c>
      <c r="AS134" s="4217">
        <v>3904895</v>
      </c>
      <c r="AT134" s="5216">
        <v>0</v>
      </c>
      <c r="AU134" s="5216">
        <v>0</v>
      </c>
      <c r="AV134" s="4220">
        <v>2836741</v>
      </c>
      <c r="AW134" s="5243">
        <v>38026</v>
      </c>
      <c r="AX134" s="4224"/>
      <c r="AY134" s="5217">
        <v>753497</v>
      </c>
      <c r="AZ134" s="4224"/>
      <c r="BA134" s="4224">
        <v>217530</v>
      </c>
      <c r="BB134" s="4224">
        <v>38026</v>
      </c>
      <c r="BC134" s="5218"/>
      <c r="BD134" s="4217">
        <v>0</v>
      </c>
      <c r="BE134" s="4224">
        <v>2827320</v>
      </c>
    </row>
    <row r="135" spans="1:57">
      <c r="A135" s="3810">
        <v>340</v>
      </c>
      <c r="B135" s="4210" t="s">
        <v>524</v>
      </c>
      <c r="C135" s="4211" t="s">
        <v>221</v>
      </c>
      <c r="D135" s="4212">
        <v>37196599</v>
      </c>
      <c r="E135" s="4213">
        <v>32852954</v>
      </c>
      <c r="F135" s="4224">
        <v>38271515</v>
      </c>
      <c r="G135" s="4224">
        <v>33927319</v>
      </c>
      <c r="H135" s="4214">
        <v>822</v>
      </c>
      <c r="I135" s="4215">
        <v>835</v>
      </c>
      <c r="J135" s="4216">
        <v>68</v>
      </c>
      <c r="K135" s="4217">
        <v>7672665</v>
      </c>
      <c r="L135" s="4225">
        <v>858.6</v>
      </c>
      <c r="M135" s="4225">
        <v>854.8</v>
      </c>
      <c r="N135" s="4225">
        <v>822</v>
      </c>
      <c r="O135" s="4225">
        <v>835</v>
      </c>
      <c r="P135" s="4218">
        <v>918031</v>
      </c>
      <c r="Q135" s="4218">
        <v>1013198</v>
      </c>
      <c r="R135" s="4220">
        <v>1193449</v>
      </c>
      <c r="S135" s="4220"/>
      <c r="T135" s="4219">
        <v>0</v>
      </c>
      <c r="U135" s="5214">
        <v>0</v>
      </c>
      <c r="V135" s="4222"/>
      <c r="W135" s="4224">
        <v>0</v>
      </c>
      <c r="X135" s="4217">
        <v>177</v>
      </c>
      <c r="Y135" s="4223">
        <v>85</v>
      </c>
      <c r="Z135" s="5215">
        <v>0.53</v>
      </c>
      <c r="AA135" s="5215">
        <v>0.31</v>
      </c>
      <c r="AB135" s="5205">
        <v>0.61750000000000005</v>
      </c>
      <c r="AC135" s="4224">
        <v>436778</v>
      </c>
      <c r="AD135" s="4224"/>
      <c r="AE135" s="4224">
        <v>491051</v>
      </c>
      <c r="AF135" s="4225">
        <v>858.6</v>
      </c>
      <c r="AG135" s="4225">
        <v>854.8</v>
      </c>
      <c r="AH135" s="4225">
        <v>0</v>
      </c>
      <c r="AI135" s="4225">
        <v>0</v>
      </c>
      <c r="AJ135" s="4225">
        <v>0</v>
      </c>
      <c r="AK135" s="4225">
        <v>0</v>
      </c>
      <c r="AL135" s="4225">
        <v>0</v>
      </c>
      <c r="AM135" s="4221">
        <v>0</v>
      </c>
      <c r="AN135" s="4226">
        <v>26368</v>
      </c>
      <c r="AO135" s="4224"/>
      <c r="AP135" s="4224"/>
      <c r="AQ135" s="4224">
        <v>4983829</v>
      </c>
      <c r="AR135" s="4221">
        <v>0.3</v>
      </c>
      <c r="AS135" s="4217">
        <v>6784735</v>
      </c>
      <c r="AT135" s="5216">
        <v>0</v>
      </c>
      <c r="AU135" s="5216">
        <v>0</v>
      </c>
      <c r="AV135" s="4220">
        <v>4983829</v>
      </c>
      <c r="AW135" s="5243">
        <v>95223</v>
      </c>
      <c r="AX135" s="4224"/>
      <c r="AY135" s="5217">
        <v>1193449</v>
      </c>
      <c r="AZ135" s="4224"/>
      <c r="BA135" s="4224">
        <v>374531</v>
      </c>
      <c r="BB135" s="4224">
        <v>95223</v>
      </c>
      <c r="BC135" s="5218"/>
      <c r="BD135" s="4217">
        <v>0</v>
      </c>
      <c r="BE135" s="4224">
        <v>4963894</v>
      </c>
    </row>
    <row r="136" spans="1:57">
      <c r="A136" s="3810">
        <v>341</v>
      </c>
      <c r="B136" s="4210" t="s">
        <v>525</v>
      </c>
      <c r="C136" s="4211" t="s">
        <v>221</v>
      </c>
      <c r="D136" s="4212">
        <v>25702344</v>
      </c>
      <c r="E136" s="4213">
        <v>22309454</v>
      </c>
      <c r="F136" s="4224">
        <v>26396972</v>
      </c>
      <c r="G136" s="4224">
        <v>23035238</v>
      </c>
      <c r="H136" s="4214">
        <v>519.5</v>
      </c>
      <c r="I136" s="4215">
        <v>528.79999999999995</v>
      </c>
      <c r="J136" s="4216">
        <v>97</v>
      </c>
      <c r="K136" s="4217">
        <v>5967583</v>
      </c>
      <c r="L136" s="4225">
        <v>505</v>
      </c>
      <c r="M136" s="4225">
        <v>530</v>
      </c>
      <c r="N136" s="4225">
        <v>534.5</v>
      </c>
      <c r="O136" s="4225">
        <v>543.79999999999995</v>
      </c>
      <c r="P136" s="4218">
        <v>863013</v>
      </c>
      <c r="Q136" s="4218">
        <v>955372</v>
      </c>
      <c r="R136" s="4220">
        <v>886512</v>
      </c>
      <c r="S136" s="4220"/>
      <c r="T136" s="4219">
        <v>10124</v>
      </c>
      <c r="U136" s="5214">
        <v>9577</v>
      </c>
      <c r="V136" s="4222"/>
      <c r="W136" s="4224">
        <v>0</v>
      </c>
      <c r="X136" s="4217">
        <v>245</v>
      </c>
      <c r="Y136" s="4223">
        <v>88</v>
      </c>
      <c r="Z136" s="5215">
        <v>0.5</v>
      </c>
      <c r="AA136" s="5215">
        <v>0.28000000000000003</v>
      </c>
      <c r="AB136" s="5205">
        <v>0.59489999999999998</v>
      </c>
      <c r="AC136" s="4224">
        <v>336868</v>
      </c>
      <c r="AD136" s="4224"/>
      <c r="AE136" s="4224">
        <v>379605</v>
      </c>
      <c r="AF136" s="4225">
        <v>492.5</v>
      </c>
      <c r="AG136" s="4225">
        <v>517.5</v>
      </c>
      <c r="AH136" s="4225">
        <v>0</v>
      </c>
      <c r="AI136" s="4225">
        <v>0</v>
      </c>
      <c r="AJ136" s="4225">
        <v>0</v>
      </c>
      <c r="AK136" s="4225">
        <v>0</v>
      </c>
      <c r="AL136" s="4225">
        <v>0</v>
      </c>
      <c r="AM136" s="4221">
        <v>0</v>
      </c>
      <c r="AN136" s="4226">
        <v>39893</v>
      </c>
      <c r="AO136" s="4224"/>
      <c r="AP136" s="4224"/>
      <c r="AQ136" s="4224">
        <v>3771111</v>
      </c>
      <c r="AR136" s="4221">
        <v>0.3</v>
      </c>
      <c r="AS136" s="4217">
        <v>5305419</v>
      </c>
      <c r="AT136" s="5216">
        <v>0</v>
      </c>
      <c r="AU136" s="5216">
        <v>0</v>
      </c>
      <c r="AV136" s="4220">
        <v>3771111</v>
      </c>
      <c r="AW136" s="5243">
        <v>43180</v>
      </c>
      <c r="AX136" s="4224"/>
      <c r="AY136" s="5217">
        <v>886512</v>
      </c>
      <c r="AZ136" s="4224"/>
      <c r="BA136" s="4224">
        <v>286075</v>
      </c>
      <c r="BB136" s="4224">
        <v>43180</v>
      </c>
      <c r="BC136" s="5218"/>
      <c r="BD136" s="4217">
        <v>0</v>
      </c>
      <c r="BE136" s="4224">
        <v>3756027</v>
      </c>
    </row>
    <row r="137" spans="1:57">
      <c r="A137" s="3810">
        <v>342</v>
      </c>
      <c r="B137" s="4210" t="s">
        <v>526</v>
      </c>
      <c r="C137" s="4211" t="s">
        <v>221</v>
      </c>
      <c r="D137" s="4212">
        <v>29654755</v>
      </c>
      <c r="E137" s="4213">
        <v>26594877</v>
      </c>
      <c r="F137" s="4224">
        <v>30578224</v>
      </c>
      <c r="G137" s="4224">
        <v>27531345</v>
      </c>
      <c r="H137" s="4214">
        <v>484.1</v>
      </c>
      <c r="I137" s="4215">
        <v>451</v>
      </c>
      <c r="J137" s="4216">
        <v>90</v>
      </c>
      <c r="K137" s="4217">
        <v>4809449</v>
      </c>
      <c r="L137" s="4225">
        <v>489.5</v>
      </c>
      <c r="M137" s="4225">
        <v>505.7</v>
      </c>
      <c r="N137" s="4225">
        <v>490.1</v>
      </c>
      <c r="O137" s="4225">
        <v>455</v>
      </c>
      <c r="P137" s="4218">
        <v>593601</v>
      </c>
      <c r="Q137" s="4218">
        <v>689520</v>
      </c>
      <c r="R137" s="4220">
        <v>604218</v>
      </c>
      <c r="S137" s="4220"/>
      <c r="T137" s="4219">
        <v>0</v>
      </c>
      <c r="U137" s="5214">
        <v>0</v>
      </c>
      <c r="V137" s="4222"/>
      <c r="W137" s="4224">
        <v>0</v>
      </c>
      <c r="X137" s="4217">
        <v>169</v>
      </c>
      <c r="Y137" s="4223">
        <v>59</v>
      </c>
      <c r="Z137" s="5215">
        <v>0.31</v>
      </c>
      <c r="AA137" s="5215">
        <v>0.09</v>
      </c>
      <c r="AB137" s="5205">
        <v>0.43919999999999998</v>
      </c>
      <c r="AC137" s="4224">
        <v>264133</v>
      </c>
      <c r="AD137" s="4224"/>
      <c r="AE137" s="4224">
        <v>298398</v>
      </c>
      <c r="AF137" s="4225">
        <v>485.5</v>
      </c>
      <c r="AG137" s="4225">
        <v>493.7</v>
      </c>
      <c r="AH137" s="4225">
        <v>0</v>
      </c>
      <c r="AI137" s="4225">
        <v>0</v>
      </c>
      <c r="AJ137" s="4225">
        <v>0</v>
      </c>
      <c r="AK137" s="4225">
        <v>0</v>
      </c>
      <c r="AL137" s="4225">
        <v>0</v>
      </c>
      <c r="AM137" s="4221">
        <v>0</v>
      </c>
      <c r="AN137" s="4226">
        <v>0</v>
      </c>
      <c r="AO137" s="4224"/>
      <c r="AP137" s="4224"/>
      <c r="AQ137" s="4224">
        <v>3271734</v>
      </c>
      <c r="AR137" s="4221">
        <v>0.3</v>
      </c>
      <c r="AS137" s="4217">
        <v>4466834</v>
      </c>
      <c r="AT137" s="5216">
        <v>0</v>
      </c>
      <c r="AU137" s="5216">
        <v>0</v>
      </c>
      <c r="AV137" s="4220">
        <v>3271734</v>
      </c>
      <c r="AW137" s="5243">
        <v>26008</v>
      </c>
      <c r="AX137" s="4224"/>
      <c r="AY137" s="5217">
        <v>604218</v>
      </c>
      <c r="AZ137" s="4224"/>
      <c r="BA137" s="4224">
        <v>227379</v>
      </c>
      <c r="BB137" s="4224">
        <v>24919</v>
      </c>
      <c r="BC137" s="5218"/>
      <c r="BD137" s="4217">
        <v>0</v>
      </c>
      <c r="BE137" s="4224">
        <v>3258647</v>
      </c>
    </row>
    <row r="138" spans="1:57">
      <c r="A138" s="3810">
        <v>343</v>
      </c>
      <c r="B138" s="4210" t="s">
        <v>527</v>
      </c>
      <c r="C138" s="4211" t="s">
        <v>221</v>
      </c>
      <c r="D138" s="4212">
        <v>57714588</v>
      </c>
      <c r="E138" s="4213">
        <v>52972297</v>
      </c>
      <c r="F138" s="4224">
        <v>60131598</v>
      </c>
      <c r="G138" s="4224">
        <v>55389371</v>
      </c>
      <c r="H138" s="4214">
        <v>753.6</v>
      </c>
      <c r="I138" s="4215">
        <v>736</v>
      </c>
      <c r="J138" s="4216">
        <v>153.1</v>
      </c>
      <c r="K138" s="4217">
        <v>6976072</v>
      </c>
      <c r="L138" s="4225">
        <v>846.3</v>
      </c>
      <c r="M138" s="4225">
        <v>810.5</v>
      </c>
      <c r="N138" s="4225">
        <v>759.1</v>
      </c>
      <c r="O138" s="4225">
        <v>742.5</v>
      </c>
      <c r="P138" s="4218">
        <v>977177</v>
      </c>
      <c r="Q138" s="4218">
        <v>1023023</v>
      </c>
      <c r="R138" s="4220">
        <v>627612</v>
      </c>
      <c r="S138" s="4220"/>
      <c r="T138" s="4219">
        <v>676</v>
      </c>
      <c r="U138" s="5214">
        <v>0</v>
      </c>
      <c r="V138" s="4222"/>
      <c r="W138" s="4224">
        <v>0</v>
      </c>
      <c r="X138" s="4217">
        <v>222</v>
      </c>
      <c r="Y138" s="4223">
        <v>69</v>
      </c>
      <c r="Z138" s="5215">
        <v>0.17</v>
      </c>
      <c r="AA138" s="5215">
        <v>0</v>
      </c>
      <c r="AB138" s="5205">
        <v>0.32419999999999999</v>
      </c>
      <c r="AC138" s="4224">
        <v>501944</v>
      </c>
      <c r="AD138" s="4224"/>
      <c r="AE138" s="4224">
        <v>490017</v>
      </c>
      <c r="AF138" s="4225">
        <v>843.8</v>
      </c>
      <c r="AG138" s="4225">
        <v>804</v>
      </c>
      <c r="AH138" s="4225">
        <v>0</v>
      </c>
      <c r="AI138" s="4225">
        <v>0</v>
      </c>
      <c r="AJ138" s="4225">
        <v>0</v>
      </c>
      <c r="AK138" s="4225">
        <v>0</v>
      </c>
      <c r="AL138" s="4225">
        <v>0</v>
      </c>
      <c r="AM138" s="4221">
        <v>0</v>
      </c>
      <c r="AN138" s="4226">
        <v>0</v>
      </c>
      <c r="AO138" s="4224"/>
      <c r="AP138" s="4224"/>
      <c r="AQ138" s="4224">
        <v>4948355</v>
      </c>
      <c r="AR138" s="4221">
        <v>0.3</v>
      </c>
      <c r="AS138" s="4217">
        <v>6747606</v>
      </c>
      <c r="AT138" s="5216">
        <v>0</v>
      </c>
      <c r="AU138" s="5216">
        <v>0</v>
      </c>
      <c r="AV138" s="4220">
        <v>4948355</v>
      </c>
      <c r="AW138" s="5243">
        <v>45029</v>
      </c>
      <c r="AX138" s="4224"/>
      <c r="AY138" s="5217">
        <v>627612</v>
      </c>
      <c r="AZ138" s="4224"/>
      <c r="BA138" s="4224">
        <v>379778</v>
      </c>
      <c r="BB138" s="4224">
        <v>17097</v>
      </c>
      <c r="BC138" s="5218"/>
      <c r="BD138" s="4217">
        <v>0</v>
      </c>
      <c r="BE138" s="4224">
        <v>4928562</v>
      </c>
    </row>
    <row r="139" spans="1:57">
      <c r="A139" s="3810">
        <v>344</v>
      </c>
      <c r="B139" s="4210" t="s">
        <v>528</v>
      </c>
      <c r="C139" s="4211" t="s">
        <v>222</v>
      </c>
      <c r="D139" s="4212">
        <v>13258102</v>
      </c>
      <c r="E139" s="4213">
        <v>11292070</v>
      </c>
      <c r="F139" s="4224">
        <v>16531195</v>
      </c>
      <c r="G139" s="4224">
        <v>14610315</v>
      </c>
      <c r="H139" s="4214">
        <v>353</v>
      </c>
      <c r="I139" s="4215">
        <v>327.5</v>
      </c>
      <c r="J139" s="4216">
        <v>92.5</v>
      </c>
      <c r="K139" s="4217">
        <v>3800058</v>
      </c>
      <c r="L139" s="4225">
        <v>334</v>
      </c>
      <c r="M139" s="4225">
        <v>370.2</v>
      </c>
      <c r="N139" s="4225">
        <v>360.5</v>
      </c>
      <c r="O139" s="4225">
        <v>333</v>
      </c>
      <c r="P139" s="4218">
        <v>204705</v>
      </c>
      <c r="Q139" s="4218">
        <v>285187</v>
      </c>
      <c r="R139" s="4220">
        <v>670853</v>
      </c>
      <c r="S139" s="4220"/>
      <c r="T139" s="4219">
        <v>0</v>
      </c>
      <c r="U139" s="5214">
        <v>0</v>
      </c>
      <c r="V139" s="4222"/>
      <c r="W139" s="4224">
        <v>0</v>
      </c>
      <c r="X139" s="4217">
        <v>172</v>
      </c>
      <c r="Y139" s="4223">
        <v>58</v>
      </c>
      <c r="Z139" s="5215">
        <v>0.49</v>
      </c>
      <c r="AA139" s="5215">
        <v>0.27</v>
      </c>
      <c r="AB139" s="5205">
        <v>0.58579999999999999</v>
      </c>
      <c r="AC139" s="4224">
        <v>231515</v>
      </c>
      <c r="AD139" s="4224"/>
      <c r="AE139" s="4224">
        <v>270513</v>
      </c>
      <c r="AF139" s="4225">
        <v>328</v>
      </c>
      <c r="AG139" s="4225">
        <v>365.2</v>
      </c>
      <c r="AH139" s="4225">
        <v>0</v>
      </c>
      <c r="AI139" s="4225">
        <v>0</v>
      </c>
      <c r="AJ139" s="4225">
        <v>0</v>
      </c>
      <c r="AK139" s="4225">
        <v>0</v>
      </c>
      <c r="AL139" s="4225">
        <v>0</v>
      </c>
      <c r="AM139" s="4221">
        <v>0</v>
      </c>
      <c r="AN139" s="4226">
        <v>0</v>
      </c>
      <c r="AO139" s="4224"/>
      <c r="AP139" s="4224"/>
      <c r="AQ139" s="4224">
        <v>2633188</v>
      </c>
      <c r="AR139" s="4221">
        <v>0.3</v>
      </c>
      <c r="AS139" s="4217">
        <v>3292396</v>
      </c>
      <c r="AT139" s="5216">
        <v>0</v>
      </c>
      <c r="AU139" s="5216">
        <v>0</v>
      </c>
      <c r="AV139" s="4220">
        <v>2633188</v>
      </c>
      <c r="AW139" s="5243">
        <v>21711</v>
      </c>
      <c r="AX139" s="4224"/>
      <c r="AY139" s="5217">
        <v>670853</v>
      </c>
      <c r="AZ139" s="4224"/>
      <c r="BA139" s="4224">
        <v>207681</v>
      </c>
      <c r="BB139" s="4224">
        <v>21711</v>
      </c>
      <c r="BC139" s="5218"/>
      <c r="BD139" s="4217">
        <v>0</v>
      </c>
      <c r="BE139" s="4224">
        <v>2614626</v>
      </c>
    </row>
    <row r="140" spans="1:57">
      <c r="A140" s="3810">
        <v>345</v>
      </c>
      <c r="B140" s="4210" t="s">
        <v>529</v>
      </c>
      <c r="C140" s="4211" t="s">
        <v>223</v>
      </c>
      <c r="D140" s="4212">
        <v>227693613</v>
      </c>
      <c r="E140" s="4213">
        <v>210670994</v>
      </c>
      <c r="F140" s="4224">
        <v>234356715</v>
      </c>
      <c r="G140" s="4224">
        <v>217326462</v>
      </c>
      <c r="H140" s="4214">
        <v>3728.2</v>
      </c>
      <c r="I140" s="4215">
        <v>3619</v>
      </c>
      <c r="J140" s="4216">
        <v>84</v>
      </c>
      <c r="K140" s="4217">
        <v>28120290</v>
      </c>
      <c r="L140" s="4225">
        <v>3744.3</v>
      </c>
      <c r="M140" s="4225">
        <v>3718.7</v>
      </c>
      <c r="N140" s="4225">
        <v>3762.8</v>
      </c>
      <c r="O140" s="4225">
        <v>3654.5</v>
      </c>
      <c r="P140" s="4218">
        <v>3694054</v>
      </c>
      <c r="Q140" s="4218">
        <v>3797324</v>
      </c>
      <c r="R140" s="4220">
        <v>3301150</v>
      </c>
      <c r="S140" s="4220"/>
      <c r="T140" s="4219">
        <v>5043</v>
      </c>
      <c r="U140" s="5214">
        <v>4720</v>
      </c>
      <c r="V140" s="4222"/>
      <c r="W140" s="4224">
        <v>0</v>
      </c>
      <c r="X140" s="4217">
        <v>1120</v>
      </c>
      <c r="Y140" s="4223">
        <v>275</v>
      </c>
      <c r="Z140" s="5215">
        <v>0.35</v>
      </c>
      <c r="AA140" s="5215">
        <v>0.13</v>
      </c>
      <c r="AB140" s="5205">
        <v>0.47020000000000001</v>
      </c>
      <c r="AC140" s="4224">
        <v>2389759</v>
      </c>
      <c r="AD140" s="4224"/>
      <c r="AE140" s="4224">
        <v>2679419</v>
      </c>
      <c r="AF140" s="4225">
        <v>3709.3</v>
      </c>
      <c r="AG140" s="4225">
        <v>3686.5</v>
      </c>
      <c r="AH140" s="4225">
        <v>19.5</v>
      </c>
      <c r="AI140" s="4225">
        <v>0</v>
      </c>
      <c r="AJ140" s="4225">
        <v>0</v>
      </c>
      <c r="AK140" s="4225">
        <v>0</v>
      </c>
      <c r="AL140" s="4225">
        <v>0</v>
      </c>
      <c r="AM140" s="4221">
        <v>0</v>
      </c>
      <c r="AN140" s="4226">
        <v>0</v>
      </c>
      <c r="AO140" s="4224"/>
      <c r="AP140" s="4224"/>
      <c r="AQ140" s="4224">
        <v>18288540</v>
      </c>
      <c r="AR140" s="4221">
        <v>0.3</v>
      </c>
      <c r="AS140" s="4217">
        <v>24919631</v>
      </c>
      <c r="AT140" s="5216">
        <v>0</v>
      </c>
      <c r="AU140" s="5216">
        <v>0</v>
      </c>
      <c r="AV140" s="4220">
        <v>18288540</v>
      </c>
      <c r="AW140" s="5243">
        <v>308120</v>
      </c>
      <c r="AX140" s="4224"/>
      <c r="AY140" s="5217">
        <v>3301150</v>
      </c>
      <c r="AZ140" s="4224"/>
      <c r="BA140" s="4224">
        <v>2042214</v>
      </c>
      <c r="BB140" s="4224">
        <v>286818</v>
      </c>
      <c r="BC140" s="5218"/>
      <c r="BD140" s="4217">
        <v>0</v>
      </c>
      <c r="BE140" s="4224">
        <v>18692784</v>
      </c>
    </row>
    <row r="141" spans="1:57">
      <c r="A141" s="3810">
        <v>346</v>
      </c>
      <c r="B141" s="4210" t="s">
        <v>530</v>
      </c>
      <c r="C141" s="4211" t="s">
        <v>222</v>
      </c>
      <c r="D141" s="4212">
        <v>32199834</v>
      </c>
      <c r="E141" s="4213">
        <v>28139559</v>
      </c>
      <c r="F141" s="4224">
        <v>58411315</v>
      </c>
      <c r="G141" s="4224">
        <v>54386613</v>
      </c>
      <c r="H141" s="4214">
        <v>503.5</v>
      </c>
      <c r="I141" s="4215">
        <v>530.5</v>
      </c>
      <c r="J141" s="4216">
        <v>302</v>
      </c>
      <c r="K141" s="4217">
        <v>5445250</v>
      </c>
      <c r="L141" s="4225">
        <v>524.79999999999995</v>
      </c>
      <c r="M141" s="4225">
        <v>515.29999999999995</v>
      </c>
      <c r="N141" s="4225">
        <v>514.5</v>
      </c>
      <c r="O141" s="4225">
        <v>541.9</v>
      </c>
      <c r="P141" s="4218">
        <v>436507</v>
      </c>
      <c r="Q141" s="4218">
        <v>467876</v>
      </c>
      <c r="R141" s="4220">
        <v>654947</v>
      </c>
      <c r="S141" s="4220"/>
      <c r="T141" s="4219">
        <v>3496</v>
      </c>
      <c r="U141" s="5214">
        <v>3177</v>
      </c>
      <c r="V141" s="4222"/>
      <c r="W141" s="4224">
        <v>0</v>
      </c>
      <c r="X141" s="4217">
        <v>280</v>
      </c>
      <c r="Y141" s="4223">
        <v>58</v>
      </c>
      <c r="Z141" s="5215">
        <v>0</v>
      </c>
      <c r="AA141" s="5215">
        <v>0</v>
      </c>
      <c r="AB141" s="5205">
        <v>0.10059999999999999</v>
      </c>
      <c r="AC141" s="4224">
        <v>316328</v>
      </c>
      <c r="AD141" s="4224"/>
      <c r="AE141" s="4224">
        <v>349867</v>
      </c>
      <c r="AF141" s="4225">
        <v>517.29999999999995</v>
      </c>
      <c r="AG141" s="4225">
        <v>504.4</v>
      </c>
      <c r="AH141" s="4225">
        <v>1.1000000000000001</v>
      </c>
      <c r="AI141" s="4225">
        <v>0</v>
      </c>
      <c r="AJ141" s="4225">
        <v>0</v>
      </c>
      <c r="AK141" s="4225">
        <v>0</v>
      </c>
      <c r="AL141" s="4225">
        <v>58.6</v>
      </c>
      <c r="AM141" s="4221">
        <v>0</v>
      </c>
      <c r="AN141" s="4226">
        <v>0</v>
      </c>
      <c r="AO141" s="4224"/>
      <c r="AP141" s="4224"/>
      <c r="AQ141" s="4224">
        <v>3974151</v>
      </c>
      <c r="AR141" s="4221">
        <v>0.3</v>
      </c>
      <c r="AS141" s="4217">
        <v>5115321</v>
      </c>
      <c r="AT141" s="5216">
        <v>0</v>
      </c>
      <c r="AU141" s="5216">
        <v>0</v>
      </c>
      <c r="AV141" s="4220">
        <v>3974151</v>
      </c>
      <c r="AW141" s="5243">
        <v>31044</v>
      </c>
      <c r="AX141" s="4224"/>
      <c r="AY141" s="5217">
        <v>654947</v>
      </c>
      <c r="AZ141" s="4224"/>
      <c r="BA141" s="4224">
        <v>268895</v>
      </c>
      <c r="BB141" s="4224">
        <v>27030</v>
      </c>
      <c r="BC141" s="5218"/>
      <c r="BD141" s="4217">
        <v>0</v>
      </c>
      <c r="BE141" s="4224">
        <v>4013129</v>
      </c>
    </row>
    <row r="142" spans="1:57">
      <c r="A142" s="3810">
        <v>347</v>
      </c>
      <c r="B142" s="4210" t="s">
        <v>531</v>
      </c>
      <c r="C142" s="4211" t="s">
        <v>224</v>
      </c>
      <c r="D142" s="4212">
        <v>25886370</v>
      </c>
      <c r="E142" s="4213">
        <v>23701754</v>
      </c>
      <c r="F142" s="4224">
        <v>26274223</v>
      </c>
      <c r="G142" s="4224">
        <v>24068799</v>
      </c>
      <c r="H142" s="4214">
        <v>329</v>
      </c>
      <c r="I142" s="4215">
        <v>319</v>
      </c>
      <c r="J142" s="4216">
        <v>340</v>
      </c>
      <c r="K142" s="4217">
        <v>3551203</v>
      </c>
      <c r="L142" s="4225">
        <v>342.5</v>
      </c>
      <c r="M142" s="4225">
        <v>356.5</v>
      </c>
      <c r="N142" s="4225">
        <v>333.5</v>
      </c>
      <c r="O142" s="4225">
        <v>324.5</v>
      </c>
      <c r="P142" s="4218">
        <v>366114</v>
      </c>
      <c r="Q142" s="4218">
        <v>366226</v>
      </c>
      <c r="R142" s="4220">
        <v>306102</v>
      </c>
      <c r="S142" s="4220"/>
      <c r="T142" s="4219">
        <v>6833</v>
      </c>
      <c r="U142" s="5214">
        <v>0</v>
      </c>
      <c r="V142" s="4222"/>
      <c r="W142" s="4224">
        <v>0</v>
      </c>
      <c r="X142" s="4217">
        <v>145</v>
      </c>
      <c r="Y142" s="4223">
        <v>51</v>
      </c>
      <c r="Z142" s="5215">
        <v>0.18</v>
      </c>
      <c r="AA142" s="5215">
        <v>0</v>
      </c>
      <c r="AB142" s="5205">
        <v>0.32869999999999999</v>
      </c>
      <c r="AC142" s="4224">
        <v>235434</v>
      </c>
      <c r="AD142" s="4224"/>
      <c r="AE142" s="4224">
        <v>250700</v>
      </c>
      <c r="AF142" s="4225">
        <v>339.5</v>
      </c>
      <c r="AG142" s="4225">
        <v>351.5</v>
      </c>
      <c r="AH142" s="4225">
        <v>0</v>
      </c>
      <c r="AI142" s="4225">
        <v>0</v>
      </c>
      <c r="AJ142" s="4225">
        <v>0</v>
      </c>
      <c r="AK142" s="4225">
        <v>0</v>
      </c>
      <c r="AL142" s="4225">
        <v>0</v>
      </c>
      <c r="AM142" s="4221">
        <v>0</v>
      </c>
      <c r="AN142" s="4226">
        <v>0</v>
      </c>
      <c r="AO142" s="4224"/>
      <c r="AP142" s="4224"/>
      <c r="AQ142" s="4224">
        <v>2598574</v>
      </c>
      <c r="AR142" s="4221">
        <v>0.3</v>
      </c>
      <c r="AS142" s="4217">
        <v>3443326</v>
      </c>
      <c r="AT142" s="5216">
        <v>0</v>
      </c>
      <c r="AU142" s="5216">
        <v>0</v>
      </c>
      <c r="AV142" s="4220">
        <v>2598574</v>
      </c>
      <c r="AW142" s="5243">
        <v>6409</v>
      </c>
      <c r="AX142" s="4224"/>
      <c r="AY142" s="5217">
        <v>294692</v>
      </c>
      <c r="AZ142" s="4224"/>
      <c r="BA142" s="4224">
        <v>190296</v>
      </c>
      <c r="BB142" s="4224">
        <v>0</v>
      </c>
      <c r="BC142" s="5218"/>
      <c r="BD142" s="4217">
        <v>0</v>
      </c>
      <c r="BE142" s="4224">
        <v>2669842</v>
      </c>
    </row>
    <row r="143" spans="1:57">
      <c r="A143" s="3810">
        <v>348</v>
      </c>
      <c r="B143" s="4210" t="s">
        <v>532</v>
      </c>
      <c r="C143" s="4211" t="s">
        <v>225</v>
      </c>
      <c r="D143" s="4212">
        <v>76326447</v>
      </c>
      <c r="E143" s="4213">
        <v>69877384</v>
      </c>
      <c r="F143" s="4224">
        <v>77874133</v>
      </c>
      <c r="G143" s="4224">
        <v>71401037</v>
      </c>
      <c r="H143" s="4214">
        <v>1316.7</v>
      </c>
      <c r="I143" s="4215">
        <v>1298.2</v>
      </c>
      <c r="J143" s="4216">
        <v>139</v>
      </c>
      <c r="K143" s="4217">
        <v>10304417</v>
      </c>
      <c r="L143" s="4225">
        <v>1330.7</v>
      </c>
      <c r="M143" s="4225">
        <v>1342.5</v>
      </c>
      <c r="N143" s="4225">
        <v>1336.2</v>
      </c>
      <c r="O143" s="4225">
        <v>1313.2</v>
      </c>
      <c r="P143" s="4218">
        <v>1329087</v>
      </c>
      <c r="Q143" s="4218">
        <v>1359646</v>
      </c>
      <c r="R143" s="4220">
        <v>1347814</v>
      </c>
      <c r="S143" s="4220"/>
      <c r="T143" s="4219">
        <v>11481</v>
      </c>
      <c r="U143" s="5214">
        <v>11768</v>
      </c>
      <c r="V143" s="4222"/>
      <c r="W143" s="4224">
        <v>0</v>
      </c>
      <c r="X143" s="4217">
        <v>357</v>
      </c>
      <c r="Y143" s="4223">
        <v>113</v>
      </c>
      <c r="Z143" s="5215">
        <v>0.39</v>
      </c>
      <c r="AA143" s="5215">
        <v>0.17</v>
      </c>
      <c r="AB143" s="5205">
        <v>0.50519999999999998</v>
      </c>
      <c r="AC143" s="4224">
        <v>657549</v>
      </c>
      <c r="AD143" s="4224"/>
      <c r="AE143" s="4224">
        <v>730474</v>
      </c>
      <c r="AF143" s="4225">
        <v>1311.2</v>
      </c>
      <c r="AG143" s="4225">
        <v>1326</v>
      </c>
      <c r="AH143" s="4225">
        <v>2.1</v>
      </c>
      <c r="AI143" s="4225">
        <v>0</v>
      </c>
      <c r="AJ143" s="4225">
        <v>0</v>
      </c>
      <c r="AK143" s="4225">
        <v>0</v>
      </c>
      <c r="AL143" s="4225">
        <v>0</v>
      </c>
      <c r="AM143" s="4227">
        <v>8.8000000000000005E-3</v>
      </c>
      <c r="AN143" s="4226">
        <v>0</v>
      </c>
      <c r="AO143" s="4224"/>
      <c r="AP143" s="4224"/>
      <c r="AQ143" s="4224">
        <v>6946165</v>
      </c>
      <c r="AR143" s="4221">
        <v>0.3</v>
      </c>
      <c r="AS143" s="4217">
        <v>9416475</v>
      </c>
      <c r="AT143" s="5216">
        <v>0</v>
      </c>
      <c r="AU143" s="5216">
        <v>0</v>
      </c>
      <c r="AV143" s="4220">
        <v>6946165</v>
      </c>
      <c r="AW143" s="5243">
        <v>121985</v>
      </c>
      <c r="AX143" s="4224"/>
      <c r="AY143" s="5217">
        <v>1347814</v>
      </c>
      <c r="AZ143" s="4224"/>
      <c r="BA143" s="4224">
        <v>558392</v>
      </c>
      <c r="BB143" s="4224">
        <v>121985</v>
      </c>
      <c r="BC143" s="5218"/>
      <c r="BD143" s="4217">
        <v>0</v>
      </c>
      <c r="BE143" s="4224">
        <v>6910324</v>
      </c>
    </row>
    <row r="144" spans="1:57">
      <c r="A144" s="3810">
        <v>349</v>
      </c>
      <c r="B144" s="4210" t="s">
        <v>533</v>
      </c>
      <c r="C144" s="4211" t="s">
        <v>226</v>
      </c>
      <c r="D144" s="4212">
        <v>22457625</v>
      </c>
      <c r="E144" s="4213">
        <v>20910163</v>
      </c>
      <c r="F144" s="4224">
        <v>21383977</v>
      </c>
      <c r="G144" s="4224">
        <v>19856029</v>
      </c>
      <c r="H144" s="4214">
        <v>262.89999999999998</v>
      </c>
      <c r="I144" s="4215">
        <v>243.4</v>
      </c>
      <c r="J144" s="4216">
        <v>242</v>
      </c>
      <c r="K144" s="4217">
        <v>2618726</v>
      </c>
      <c r="L144" s="4225">
        <v>259.39999999999998</v>
      </c>
      <c r="M144" s="4225">
        <v>269.5</v>
      </c>
      <c r="N144" s="4225">
        <v>262.89999999999998</v>
      </c>
      <c r="O144" s="4225">
        <v>243.4</v>
      </c>
      <c r="P144" s="4218">
        <v>286479</v>
      </c>
      <c r="Q144" s="4218">
        <v>305855</v>
      </c>
      <c r="R144" s="4220">
        <v>235827</v>
      </c>
      <c r="S144" s="4220"/>
      <c r="T144" s="4219">
        <v>1483</v>
      </c>
      <c r="U144" s="5214">
        <v>2553</v>
      </c>
      <c r="V144" s="4222"/>
      <c r="W144" s="4224">
        <v>0</v>
      </c>
      <c r="X144" s="4217">
        <v>111</v>
      </c>
      <c r="Y144" s="4223">
        <v>31</v>
      </c>
      <c r="Z144" s="5215">
        <v>0.12</v>
      </c>
      <c r="AA144" s="5215">
        <v>0</v>
      </c>
      <c r="AB144" s="5205">
        <v>0.28089999999999998</v>
      </c>
      <c r="AC144" s="4224">
        <v>168992</v>
      </c>
      <c r="AD144" s="4224"/>
      <c r="AE144" s="4224">
        <v>185052</v>
      </c>
      <c r="AF144" s="4225">
        <v>259.39999999999998</v>
      </c>
      <c r="AG144" s="4225">
        <v>269.5</v>
      </c>
      <c r="AH144" s="4225">
        <v>0</v>
      </c>
      <c r="AI144" s="4225">
        <v>0</v>
      </c>
      <c r="AJ144" s="4225">
        <v>0</v>
      </c>
      <c r="AK144" s="4225">
        <v>0</v>
      </c>
      <c r="AL144" s="4225">
        <v>0</v>
      </c>
      <c r="AM144" s="4221">
        <v>0</v>
      </c>
      <c r="AN144" s="4226">
        <v>0</v>
      </c>
      <c r="AO144" s="4224"/>
      <c r="AP144" s="4224"/>
      <c r="AQ144" s="4224">
        <v>1866727</v>
      </c>
      <c r="AR144" s="4221">
        <v>0.3</v>
      </c>
      <c r="AS144" s="4217">
        <v>2469966</v>
      </c>
      <c r="AT144" s="5216">
        <v>0</v>
      </c>
      <c r="AU144" s="5216">
        <v>0</v>
      </c>
      <c r="AV144" s="4220">
        <v>1866727</v>
      </c>
      <c r="AW144" s="5243">
        <v>8970</v>
      </c>
      <c r="AX144" s="4224"/>
      <c r="AY144" s="5217">
        <v>232290</v>
      </c>
      <c r="AZ144" s="4224"/>
      <c r="BA144" s="4224">
        <v>140850</v>
      </c>
      <c r="BB144" s="4224">
        <v>3406</v>
      </c>
      <c r="BC144" s="5218"/>
      <c r="BD144" s="4217">
        <v>0</v>
      </c>
      <c r="BE144" s="4224">
        <v>1854260</v>
      </c>
    </row>
    <row r="145" spans="1:57">
      <c r="A145" s="3810">
        <v>350</v>
      </c>
      <c r="B145" s="4210" t="s">
        <v>534</v>
      </c>
      <c r="C145" s="4211" t="s">
        <v>226</v>
      </c>
      <c r="D145" s="4212">
        <v>43932235</v>
      </c>
      <c r="E145" s="4213">
        <v>41935722</v>
      </c>
      <c r="F145" s="4224">
        <v>34705234</v>
      </c>
      <c r="G145" s="4224">
        <v>32696861</v>
      </c>
      <c r="H145" s="4214">
        <v>345</v>
      </c>
      <c r="I145" s="4215">
        <v>327.39999999999998</v>
      </c>
      <c r="J145" s="4216">
        <v>308.3</v>
      </c>
      <c r="K145" s="4217">
        <v>2947533</v>
      </c>
      <c r="L145" s="4225">
        <v>324.5</v>
      </c>
      <c r="M145" s="4225">
        <v>331</v>
      </c>
      <c r="N145" s="4225">
        <v>345</v>
      </c>
      <c r="O145" s="4225">
        <v>327.39999999999998</v>
      </c>
      <c r="P145" s="4218">
        <v>382715</v>
      </c>
      <c r="Q145" s="4218">
        <v>419592</v>
      </c>
      <c r="R145" s="4220">
        <v>0</v>
      </c>
      <c r="S145" s="4220"/>
      <c r="T145" s="4219">
        <v>2113</v>
      </c>
      <c r="U145" s="5214">
        <v>0</v>
      </c>
      <c r="V145" s="4222"/>
      <c r="W145" s="4224">
        <v>0</v>
      </c>
      <c r="X145" s="4217">
        <v>133</v>
      </c>
      <c r="Y145" s="4223">
        <v>46</v>
      </c>
      <c r="Z145" s="5215">
        <v>0</v>
      </c>
      <c r="AA145" s="5215">
        <v>0</v>
      </c>
      <c r="AB145" s="5205">
        <v>0.14449999999999999</v>
      </c>
      <c r="AC145" s="4224">
        <v>200601</v>
      </c>
      <c r="AD145" s="4224"/>
      <c r="AE145" s="4224">
        <v>236620</v>
      </c>
      <c r="AF145" s="4225">
        <v>324.5</v>
      </c>
      <c r="AG145" s="4225">
        <v>331</v>
      </c>
      <c r="AH145" s="4225">
        <v>0</v>
      </c>
      <c r="AI145" s="4225">
        <v>0</v>
      </c>
      <c r="AJ145" s="4225">
        <v>0</v>
      </c>
      <c r="AK145" s="4225">
        <v>0</v>
      </c>
      <c r="AL145" s="4225">
        <v>0</v>
      </c>
      <c r="AM145" s="4221">
        <v>0</v>
      </c>
      <c r="AN145" s="4226">
        <v>0</v>
      </c>
      <c r="AO145" s="4224"/>
      <c r="AP145" s="4224"/>
      <c r="AQ145" s="4224">
        <v>2339443</v>
      </c>
      <c r="AR145" s="4221">
        <v>0.31</v>
      </c>
      <c r="AS145" s="4217">
        <v>3167014</v>
      </c>
      <c r="AT145" s="5216">
        <v>0</v>
      </c>
      <c r="AU145" s="5216">
        <v>0</v>
      </c>
      <c r="AV145" s="4220">
        <v>2339443</v>
      </c>
      <c r="AW145" s="5243">
        <v>0</v>
      </c>
      <c r="AX145" s="4224"/>
      <c r="AY145" s="5217">
        <v>0</v>
      </c>
      <c r="AZ145" s="4224"/>
      <c r="BA145" s="4224">
        <v>181268</v>
      </c>
      <c r="BB145" s="4224">
        <v>0</v>
      </c>
      <c r="BC145" s="5218"/>
      <c r="BD145" s="4217">
        <v>152515</v>
      </c>
      <c r="BE145" s="4224">
        <v>2330085</v>
      </c>
    </row>
    <row r="146" spans="1:57">
      <c r="A146" s="3810">
        <v>351</v>
      </c>
      <c r="B146" s="4210" t="s">
        <v>535</v>
      </c>
      <c r="C146" s="4211" t="s">
        <v>226</v>
      </c>
      <c r="D146" s="4212">
        <v>39966114</v>
      </c>
      <c r="E146" s="4213">
        <v>38752938</v>
      </c>
      <c r="F146" s="4224">
        <v>39163761</v>
      </c>
      <c r="G146" s="4224">
        <v>37954922</v>
      </c>
      <c r="H146" s="4214">
        <v>235.9</v>
      </c>
      <c r="I146" s="4215">
        <v>212.5</v>
      </c>
      <c r="J146" s="4216">
        <v>360</v>
      </c>
      <c r="K146" s="4217">
        <v>2488118</v>
      </c>
      <c r="L146" s="4225">
        <v>266.8</v>
      </c>
      <c r="M146" s="4225">
        <v>263.7</v>
      </c>
      <c r="N146" s="4225">
        <v>240.9</v>
      </c>
      <c r="O146" s="4225">
        <v>215</v>
      </c>
      <c r="P146" s="4218">
        <v>307163</v>
      </c>
      <c r="Q146" s="4218">
        <v>306375</v>
      </c>
      <c r="R146" s="4220">
        <v>0</v>
      </c>
      <c r="S146" s="4220"/>
      <c r="T146" s="4219">
        <v>0</v>
      </c>
      <c r="U146" s="5214">
        <v>0</v>
      </c>
      <c r="V146" s="4222"/>
      <c r="W146" s="4224">
        <v>0</v>
      </c>
      <c r="X146" s="4217">
        <v>93</v>
      </c>
      <c r="Y146" s="4223">
        <v>45</v>
      </c>
      <c r="Z146" s="5215">
        <v>0</v>
      </c>
      <c r="AA146" s="5215">
        <v>0</v>
      </c>
      <c r="AB146" s="5205">
        <v>0</v>
      </c>
      <c r="AC146" s="4224">
        <v>179066</v>
      </c>
      <c r="AD146" s="4224"/>
      <c r="AE146" s="4224">
        <v>216042</v>
      </c>
      <c r="AF146" s="4225">
        <v>261.3</v>
      </c>
      <c r="AG146" s="4225">
        <v>261.2</v>
      </c>
      <c r="AH146" s="4225">
        <v>0</v>
      </c>
      <c r="AI146" s="4225">
        <v>0</v>
      </c>
      <c r="AJ146" s="4225">
        <v>0</v>
      </c>
      <c r="AK146" s="4225">
        <v>0</v>
      </c>
      <c r="AL146" s="4225">
        <v>0</v>
      </c>
      <c r="AM146" s="4221">
        <v>0</v>
      </c>
      <c r="AN146" s="4226">
        <v>0</v>
      </c>
      <c r="AO146" s="4224"/>
      <c r="AP146" s="4224"/>
      <c r="AQ146" s="4224">
        <v>2009162</v>
      </c>
      <c r="AR146" s="4221">
        <v>0.29120000000000001</v>
      </c>
      <c r="AS146" s="4217">
        <v>2678157</v>
      </c>
      <c r="AT146" s="5216">
        <v>0</v>
      </c>
      <c r="AU146" s="5216">
        <v>0</v>
      </c>
      <c r="AV146" s="4220">
        <v>2009162</v>
      </c>
      <c r="AW146" s="5243">
        <v>0</v>
      </c>
      <c r="AX146" s="4224"/>
      <c r="AY146" s="5217">
        <v>0</v>
      </c>
      <c r="AZ146" s="4224"/>
      <c r="BA146" s="4224">
        <v>164823</v>
      </c>
      <c r="BB146" s="4224">
        <v>0</v>
      </c>
      <c r="BC146" s="5218"/>
      <c r="BD146" s="4217">
        <v>0</v>
      </c>
      <c r="BE146" s="4224">
        <v>2000448</v>
      </c>
    </row>
    <row r="147" spans="1:57">
      <c r="A147" s="3810">
        <v>352</v>
      </c>
      <c r="B147" s="4210" t="s">
        <v>536</v>
      </c>
      <c r="C147" s="4211" t="s">
        <v>227</v>
      </c>
      <c r="D147" s="4212">
        <v>75870241</v>
      </c>
      <c r="E147" s="4213">
        <v>70150013</v>
      </c>
      <c r="F147" s="4224">
        <v>79651038</v>
      </c>
      <c r="G147" s="4224">
        <v>73941347</v>
      </c>
      <c r="H147" s="4214">
        <v>1041.5</v>
      </c>
      <c r="I147" s="4215">
        <v>879.7</v>
      </c>
      <c r="J147" s="4216">
        <v>914.2</v>
      </c>
      <c r="K147" s="4217">
        <v>8451512</v>
      </c>
      <c r="L147" s="4225">
        <v>1024.0999999999999</v>
      </c>
      <c r="M147" s="4225">
        <v>1032.3</v>
      </c>
      <c r="N147" s="4225">
        <v>1046.5</v>
      </c>
      <c r="O147" s="4225">
        <v>901.8</v>
      </c>
      <c r="P147" s="4218">
        <v>869767</v>
      </c>
      <c r="Q147" s="4218">
        <v>936407</v>
      </c>
      <c r="R147" s="4220">
        <v>849982</v>
      </c>
      <c r="S147" s="4220"/>
      <c r="T147" s="4219">
        <v>0</v>
      </c>
      <c r="U147" s="5214">
        <v>0</v>
      </c>
      <c r="V147" s="4222"/>
      <c r="W147" s="4224">
        <v>0</v>
      </c>
      <c r="X147" s="4217">
        <v>350</v>
      </c>
      <c r="Y147" s="4223">
        <v>132</v>
      </c>
      <c r="Z147" s="5215">
        <v>0.13</v>
      </c>
      <c r="AA147" s="5215">
        <v>0</v>
      </c>
      <c r="AB147" s="5205">
        <v>0.28799999999999998</v>
      </c>
      <c r="AC147" s="4224">
        <v>571838</v>
      </c>
      <c r="AD147" s="4224"/>
      <c r="AE147" s="4224">
        <v>634419</v>
      </c>
      <c r="AF147" s="4225">
        <v>1023.1</v>
      </c>
      <c r="AG147" s="4225">
        <v>1032.3</v>
      </c>
      <c r="AH147" s="4225">
        <v>5.3</v>
      </c>
      <c r="AI147" s="4225">
        <v>0</v>
      </c>
      <c r="AJ147" s="4225">
        <v>0</v>
      </c>
      <c r="AK147" s="4225">
        <v>0</v>
      </c>
      <c r="AL147" s="4225">
        <v>30.8</v>
      </c>
      <c r="AM147" s="4221">
        <v>0</v>
      </c>
      <c r="AN147" s="4226">
        <v>0</v>
      </c>
      <c r="AO147" s="4224"/>
      <c r="AP147" s="4224"/>
      <c r="AQ147" s="4224">
        <v>6156467</v>
      </c>
      <c r="AR147" s="4221">
        <v>0.3</v>
      </c>
      <c r="AS147" s="4217">
        <v>8026827</v>
      </c>
      <c r="AT147" s="5216">
        <v>0</v>
      </c>
      <c r="AU147" s="5216">
        <v>0</v>
      </c>
      <c r="AV147" s="4220">
        <v>6156467</v>
      </c>
      <c r="AW147" s="5243">
        <v>48359</v>
      </c>
      <c r="AX147" s="4224"/>
      <c r="AY147" s="5217">
        <v>849982</v>
      </c>
      <c r="AZ147" s="4224"/>
      <c r="BA147" s="4224">
        <v>485686</v>
      </c>
      <c r="BB147" s="4224">
        <v>34887</v>
      </c>
      <c r="BC147" s="5218"/>
      <c r="BD147" s="4217">
        <v>0</v>
      </c>
      <c r="BE147" s="4224">
        <v>6141338</v>
      </c>
    </row>
    <row r="148" spans="1:57">
      <c r="A148" s="3810">
        <v>353</v>
      </c>
      <c r="B148" s="4210" t="s">
        <v>537</v>
      </c>
      <c r="C148" s="4211" t="s">
        <v>228</v>
      </c>
      <c r="D148" s="4212">
        <v>67726680</v>
      </c>
      <c r="E148" s="4213">
        <v>59447286</v>
      </c>
      <c r="F148" s="4224">
        <v>68978543</v>
      </c>
      <c r="G148" s="4224">
        <v>60586673</v>
      </c>
      <c r="H148" s="4214">
        <v>1551.5</v>
      </c>
      <c r="I148" s="4215">
        <v>1534.5</v>
      </c>
      <c r="J148" s="4216">
        <v>228.5</v>
      </c>
      <c r="K148" s="4217">
        <v>13458617</v>
      </c>
      <c r="L148" s="4225">
        <v>1578</v>
      </c>
      <c r="M148" s="4225">
        <v>1521.5</v>
      </c>
      <c r="N148" s="4225">
        <v>1558</v>
      </c>
      <c r="O148" s="4225">
        <v>1538</v>
      </c>
      <c r="P148" s="4218">
        <v>1995919</v>
      </c>
      <c r="Q148" s="4218">
        <v>2104469</v>
      </c>
      <c r="R148" s="4220">
        <v>2238469</v>
      </c>
      <c r="S148" s="4220"/>
      <c r="T148" s="4219">
        <v>0</v>
      </c>
      <c r="U148" s="5214">
        <v>0</v>
      </c>
      <c r="V148" s="4222"/>
      <c r="W148" s="4224">
        <v>0</v>
      </c>
      <c r="X148" s="4217">
        <v>743</v>
      </c>
      <c r="Y148" s="4223">
        <v>223</v>
      </c>
      <c r="Z148" s="5215">
        <v>0.55000000000000004</v>
      </c>
      <c r="AA148" s="5215">
        <v>0.33</v>
      </c>
      <c r="AB148" s="5205">
        <v>0.63529999999999998</v>
      </c>
      <c r="AC148" s="4224">
        <v>963866</v>
      </c>
      <c r="AD148" s="4224"/>
      <c r="AE148" s="4224">
        <v>1047199</v>
      </c>
      <c r="AF148" s="4225">
        <v>1571.5</v>
      </c>
      <c r="AG148" s="4225">
        <v>1515.5</v>
      </c>
      <c r="AH148" s="4225">
        <v>0</v>
      </c>
      <c r="AI148" s="4225">
        <v>0</v>
      </c>
      <c r="AJ148" s="4225">
        <v>0</v>
      </c>
      <c r="AK148" s="4225">
        <v>0</v>
      </c>
      <c r="AL148" s="4225">
        <v>0</v>
      </c>
      <c r="AM148" s="4221">
        <v>0</v>
      </c>
      <c r="AN148" s="4226">
        <v>0</v>
      </c>
      <c r="AO148" s="4224"/>
      <c r="AP148" s="4224"/>
      <c r="AQ148" s="4224">
        <v>8196519</v>
      </c>
      <c r="AR148" s="4221">
        <v>0.3</v>
      </c>
      <c r="AS148" s="4217">
        <v>11572640</v>
      </c>
      <c r="AT148" s="5216">
        <v>0</v>
      </c>
      <c r="AU148" s="5216">
        <v>0</v>
      </c>
      <c r="AV148" s="4220">
        <v>8196519</v>
      </c>
      <c r="AW148" s="5243">
        <v>122041</v>
      </c>
      <c r="AX148" s="4224"/>
      <c r="AY148" s="5217">
        <v>2238469</v>
      </c>
      <c r="AZ148" s="4224"/>
      <c r="BA148" s="4224">
        <v>795028</v>
      </c>
      <c r="BB148" s="4224">
        <v>122041</v>
      </c>
      <c r="BC148" s="5218"/>
      <c r="BD148" s="4217">
        <v>0</v>
      </c>
      <c r="BE148" s="4224">
        <v>8163733</v>
      </c>
    </row>
    <row r="149" spans="1:57">
      <c r="A149" s="3810">
        <v>355</v>
      </c>
      <c r="B149" s="4210" t="s">
        <v>538</v>
      </c>
      <c r="C149" s="4211" t="s">
        <v>229</v>
      </c>
      <c r="D149" s="4212">
        <v>41633249</v>
      </c>
      <c r="E149" s="4213">
        <v>38911662</v>
      </c>
      <c r="F149" s="4224">
        <v>31380126</v>
      </c>
      <c r="G149" s="4224">
        <v>28648414</v>
      </c>
      <c r="H149" s="4214">
        <v>414.2</v>
      </c>
      <c r="I149" s="4215">
        <v>424.3</v>
      </c>
      <c r="J149" s="4216">
        <v>154</v>
      </c>
      <c r="K149" s="4217">
        <v>3517589</v>
      </c>
      <c r="L149" s="4225">
        <v>403.4</v>
      </c>
      <c r="M149" s="4225">
        <v>409.2</v>
      </c>
      <c r="N149" s="4225">
        <v>414.2</v>
      </c>
      <c r="O149" s="4225">
        <v>424.3</v>
      </c>
      <c r="P149" s="4218">
        <v>444471</v>
      </c>
      <c r="Q149" s="4218">
        <v>474174</v>
      </c>
      <c r="R149" s="4220">
        <v>85783</v>
      </c>
      <c r="S149" s="4220"/>
      <c r="T149" s="4219">
        <v>0</v>
      </c>
      <c r="U149" s="5214">
        <v>0</v>
      </c>
      <c r="V149" s="4222"/>
      <c r="W149" s="4224">
        <v>0</v>
      </c>
      <c r="X149" s="4217">
        <v>177</v>
      </c>
      <c r="Y149" s="4223">
        <v>73</v>
      </c>
      <c r="Z149" s="5215">
        <v>0.25</v>
      </c>
      <c r="AA149" s="5215">
        <v>0.03</v>
      </c>
      <c r="AB149" s="5205">
        <v>0.38419999999999999</v>
      </c>
      <c r="AC149" s="4224">
        <v>292183</v>
      </c>
      <c r="AD149" s="4224"/>
      <c r="AE149" s="4224">
        <v>321687</v>
      </c>
      <c r="AF149" s="4225">
        <v>403.4</v>
      </c>
      <c r="AG149" s="4225">
        <v>409.2</v>
      </c>
      <c r="AH149" s="4225">
        <v>0</v>
      </c>
      <c r="AI149" s="4225">
        <v>0</v>
      </c>
      <c r="AJ149" s="4225">
        <v>0</v>
      </c>
      <c r="AK149" s="4225">
        <v>0</v>
      </c>
      <c r="AL149" s="4225">
        <v>0</v>
      </c>
      <c r="AM149" s="4221">
        <v>0</v>
      </c>
      <c r="AN149" s="4226">
        <v>0</v>
      </c>
      <c r="AO149" s="4224"/>
      <c r="AP149" s="4224"/>
      <c r="AQ149" s="4224">
        <v>2724486</v>
      </c>
      <c r="AR149" s="4221">
        <v>0.3</v>
      </c>
      <c r="AS149" s="4217">
        <v>3637310</v>
      </c>
      <c r="AT149" s="5216">
        <v>0</v>
      </c>
      <c r="AU149" s="5216">
        <v>0</v>
      </c>
      <c r="AV149" s="4220">
        <v>2724486</v>
      </c>
      <c r="AW149" s="5243">
        <v>0</v>
      </c>
      <c r="AX149" s="4224"/>
      <c r="AY149" s="5217">
        <v>70631</v>
      </c>
      <c r="AZ149" s="4224"/>
      <c r="BA149" s="4224">
        <v>246029</v>
      </c>
      <c r="BB149" s="4224">
        <v>0</v>
      </c>
      <c r="BC149" s="5218"/>
      <c r="BD149" s="4217">
        <v>0</v>
      </c>
      <c r="BE149" s="4224">
        <v>2713588</v>
      </c>
    </row>
    <row r="150" spans="1:57">
      <c r="A150" s="3810">
        <v>356</v>
      </c>
      <c r="B150" s="4210" t="s">
        <v>540</v>
      </c>
      <c r="C150" s="4211" t="s">
        <v>228</v>
      </c>
      <c r="D150" s="4212">
        <v>21495910</v>
      </c>
      <c r="E150" s="4213">
        <v>19301746</v>
      </c>
      <c r="F150" s="4224">
        <v>21805285</v>
      </c>
      <c r="G150" s="4224">
        <v>19577570</v>
      </c>
      <c r="H150" s="4214">
        <v>480.5</v>
      </c>
      <c r="I150" s="4215">
        <v>470.3</v>
      </c>
      <c r="J150" s="4216">
        <v>158.19999999999999</v>
      </c>
      <c r="K150" s="4217">
        <v>4671495</v>
      </c>
      <c r="L150" s="4225">
        <v>514.70000000000005</v>
      </c>
      <c r="M150" s="4225">
        <v>492.3</v>
      </c>
      <c r="N150" s="4225">
        <v>480.5</v>
      </c>
      <c r="O150" s="4225">
        <v>470.3</v>
      </c>
      <c r="P150" s="4218">
        <v>492406</v>
      </c>
      <c r="Q150" s="4218">
        <v>465879</v>
      </c>
      <c r="R150" s="4220">
        <v>789805</v>
      </c>
      <c r="S150" s="4220"/>
      <c r="T150" s="4219">
        <v>0</v>
      </c>
      <c r="U150" s="5214">
        <v>0</v>
      </c>
      <c r="V150" s="4222"/>
      <c r="W150" s="4224">
        <v>0</v>
      </c>
      <c r="X150" s="4217">
        <v>140</v>
      </c>
      <c r="Y150" s="4223">
        <v>67</v>
      </c>
      <c r="Z150" s="5215">
        <v>0.53</v>
      </c>
      <c r="AA150" s="5215">
        <v>0.32</v>
      </c>
      <c r="AB150" s="5205">
        <v>0.62580000000000002</v>
      </c>
      <c r="AC150" s="4224">
        <v>300326</v>
      </c>
      <c r="AD150" s="4224"/>
      <c r="AE150" s="4224">
        <v>335527</v>
      </c>
      <c r="AF150" s="4225">
        <v>514.70000000000005</v>
      </c>
      <c r="AG150" s="4225">
        <v>492.3</v>
      </c>
      <c r="AH150" s="4225">
        <v>0</v>
      </c>
      <c r="AI150" s="4225">
        <v>0</v>
      </c>
      <c r="AJ150" s="4225">
        <v>0</v>
      </c>
      <c r="AK150" s="4225">
        <v>0</v>
      </c>
      <c r="AL150" s="4225">
        <v>0</v>
      </c>
      <c r="AM150" s="4221">
        <v>0</v>
      </c>
      <c r="AN150" s="4226">
        <v>0</v>
      </c>
      <c r="AO150" s="4224"/>
      <c r="AP150" s="4224"/>
      <c r="AQ150" s="4224">
        <v>3127006</v>
      </c>
      <c r="AR150" s="4221">
        <v>0.3</v>
      </c>
      <c r="AS150" s="4217">
        <v>4162101</v>
      </c>
      <c r="AT150" s="5216">
        <v>0</v>
      </c>
      <c r="AU150" s="5216">
        <v>0</v>
      </c>
      <c r="AV150" s="4220">
        <v>3127006</v>
      </c>
      <c r="AW150" s="5243">
        <v>37436</v>
      </c>
      <c r="AX150" s="4224"/>
      <c r="AY150" s="5217">
        <v>789805</v>
      </c>
      <c r="AZ150" s="4224"/>
      <c r="BA150" s="4224">
        <v>256421</v>
      </c>
      <c r="BB150" s="4224">
        <v>37436</v>
      </c>
      <c r="BC150" s="5218"/>
      <c r="BD150" s="4217">
        <v>0</v>
      </c>
      <c r="BE150" s="4224">
        <v>3114498</v>
      </c>
    </row>
    <row r="151" spans="1:57">
      <c r="A151" s="3810">
        <v>357</v>
      </c>
      <c r="B151" s="4210" t="s">
        <v>541</v>
      </c>
      <c r="C151" s="4211" t="s">
        <v>228</v>
      </c>
      <c r="D151" s="4212">
        <v>22018454</v>
      </c>
      <c r="E151" s="4213">
        <v>18964164</v>
      </c>
      <c r="F151" s="4224">
        <v>22974923</v>
      </c>
      <c r="G151" s="4224">
        <v>19877711</v>
      </c>
      <c r="H151" s="4214">
        <v>592.29999999999995</v>
      </c>
      <c r="I151" s="4215">
        <v>574.5</v>
      </c>
      <c r="J151" s="4216">
        <v>84</v>
      </c>
      <c r="K151" s="4217">
        <v>6027109</v>
      </c>
      <c r="L151" s="4225">
        <v>616.5</v>
      </c>
      <c r="M151" s="4225">
        <v>593.5</v>
      </c>
      <c r="N151" s="4225">
        <v>599.79999999999995</v>
      </c>
      <c r="O151" s="4225">
        <v>610.79999999999995</v>
      </c>
      <c r="P151" s="4218">
        <v>800421</v>
      </c>
      <c r="Q151" s="4218">
        <v>752622</v>
      </c>
      <c r="R151" s="4220">
        <v>1077565</v>
      </c>
      <c r="S151" s="4220"/>
      <c r="T151" s="4219">
        <v>0</v>
      </c>
      <c r="U151" s="5214">
        <v>0</v>
      </c>
      <c r="V151" s="4222"/>
      <c r="W151" s="4224">
        <v>0</v>
      </c>
      <c r="X151" s="4217">
        <v>105</v>
      </c>
      <c r="Y151" s="4223">
        <v>41</v>
      </c>
      <c r="Z151" s="5215">
        <v>0.61</v>
      </c>
      <c r="AA151" s="5215">
        <v>0.39</v>
      </c>
      <c r="AB151" s="5205">
        <v>0.69</v>
      </c>
      <c r="AC151" s="4224">
        <v>349923</v>
      </c>
      <c r="AD151" s="4224"/>
      <c r="AE151" s="4224">
        <v>416676</v>
      </c>
      <c r="AF151" s="4225">
        <v>601.5</v>
      </c>
      <c r="AG151" s="4225">
        <v>582.5</v>
      </c>
      <c r="AH151" s="4225">
        <v>0</v>
      </c>
      <c r="AI151" s="4225">
        <v>0</v>
      </c>
      <c r="AJ151" s="4225">
        <v>0</v>
      </c>
      <c r="AK151" s="4225">
        <v>0</v>
      </c>
      <c r="AL151" s="4225">
        <v>0</v>
      </c>
      <c r="AM151" s="4221">
        <v>0</v>
      </c>
      <c r="AN151" s="4226">
        <v>0</v>
      </c>
      <c r="AO151" s="4224"/>
      <c r="AP151" s="4224"/>
      <c r="AQ151" s="4224">
        <v>3731346</v>
      </c>
      <c r="AR151" s="4221">
        <v>0.3</v>
      </c>
      <c r="AS151" s="4217">
        <v>5296014</v>
      </c>
      <c r="AT151" s="5216">
        <v>0</v>
      </c>
      <c r="AU151" s="5216">
        <v>0</v>
      </c>
      <c r="AV151" s="4220">
        <v>3731346</v>
      </c>
      <c r="AW151" s="5243">
        <v>71308</v>
      </c>
      <c r="AX151" s="4224"/>
      <c r="AY151" s="5217">
        <v>1077565</v>
      </c>
      <c r="AZ151" s="4224"/>
      <c r="BA151" s="4224">
        <v>317659</v>
      </c>
      <c r="BB151" s="4224">
        <v>71308</v>
      </c>
      <c r="BC151" s="5218"/>
      <c r="BD151" s="4217">
        <v>0</v>
      </c>
      <c r="BE151" s="4224">
        <v>3805858</v>
      </c>
    </row>
    <row r="152" spans="1:57">
      <c r="A152" s="3810">
        <v>358</v>
      </c>
      <c r="B152" s="4210" t="s">
        <v>542</v>
      </c>
      <c r="C152" s="4211" t="s">
        <v>228</v>
      </c>
      <c r="D152" s="4212">
        <v>17510751</v>
      </c>
      <c r="E152" s="4213">
        <v>15706317</v>
      </c>
      <c r="F152" s="4224">
        <v>16837643</v>
      </c>
      <c r="G152" s="4224">
        <v>14981709</v>
      </c>
      <c r="H152" s="4214">
        <v>315.60000000000002</v>
      </c>
      <c r="I152" s="4215">
        <v>287</v>
      </c>
      <c r="J152" s="4216">
        <v>136</v>
      </c>
      <c r="K152" s="4217">
        <v>3715829</v>
      </c>
      <c r="L152" s="4225">
        <v>349.4</v>
      </c>
      <c r="M152" s="4225">
        <v>335.2</v>
      </c>
      <c r="N152" s="4225">
        <v>353</v>
      </c>
      <c r="O152" s="4225">
        <v>423.4</v>
      </c>
      <c r="P152" s="4218">
        <v>460788</v>
      </c>
      <c r="Q152" s="4218">
        <v>426352</v>
      </c>
      <c r="R152" s="4220">
        <v>483501</v>
      </c>
      <c r="S152" s="4220"/>
      <c r="T152" s="4219">
        <v>3277</v>
      </c>
      <c r="U152" s="5214">
        <v>6653</v>
      </c>
      <c r="V152" s="4222"/>
      <c r="W152" s="4224">
        <v>0</v>
      </c>
      <c r="X152" s="4217">
        <v>115</v>
      </c>
      <c r="Y152" s="4223">
        <v>40</v>
      </c>
      <c r="Z152" s="5215">
        <v>0.59</v>
      </c>
      <c r="AA152" s="5215">
        <v>0.38</v>
      </c>
      <c r="AB152" s="5205">
        <v>0.67490000000000006</v>
      </c>
      <c r="AC152" s="4224">
        <v>200304</v>
      </c>
      <c r="AD152" s="4224"/>
      <c r="AE152" s="4224">
        <v>235344</v>
      </c>
      <c r="AF152" s="4225">
        <v>346.9</v>
      </c>
      <c r="AG152" s="4225">
        <v>315.2</v>
      </c>
      <c r="AH152" s="4225">
        <v>37.200000000000003</v>
      </c>
      <c r="AI152" s="4225">
        <v>0</v>
      </c>
      <c r="AJ152" s="4225">
        <v>0</v>
      </c>
      <c r="AK152" s="4225">
        <v>0</v>
      </c>
      <c r="AL152" s="4225">
        <v>0</v>
      </c>
      <c r="AM152" s="4221">
        <v>0</v>
      </c>
      <c r="AN152" s="4226">
        <v>0</v>
      </c>
      <c r="AO152" s="4224"/>
      <c r="AP152" s="4224"/>
      <c r="AQ152" s="4224">
        <v>2352003</v>
      </c>
      <c r="AR152" s="4221">
        <v>0.3</v>
      </c>
      <c r="AS152" s="4217">
        <v>3085096</v>
      </c>
      <c r="AT152" s="5216">
        <v>0</v>
      </c>
      <c r="AU152" s="5216">
        <v>0</v>
      </c>
      <c r="AV152" s="4220">
        <v>2352003</v>
      </c>
      <c r="AW152" s="5243">
        <v>32924</v>
      </c>
      <c r="AX152" s="4224"/>
      <c r="AY152" s="5217">
        <v>483501</v>
      </c>
      <c r="AZ152" s="4224"/>
      <c r="BA152" s="4224">
        <v>179609</v>
      </c>
      <c r="BB152" s="4224">
        <v>32924</v>
      </c>
      <c r="BC152" s="5218"/>
      <c r="BD152" s="4217">
        <v>0</v>
      </c>
      <c r="BE152" s="4224">
        <v>2590083</v>
      </c>
    </row>
    <row r="153" spans="1:57">
      <c r="A153" s="3810">
        <v>359</v>
      </c>
      <c r="B153" s="4210" t="s">
        <v>543</v>
      </c>
      <c r="C153" s="4211" t="s">
        <v>228</v>
      </c>
      <c r="D153" s="4212">
        <v>14733619</v>
      </c>
      <c r="E153" s="4213">
        <v>13696547</v>
      </c>
      <c r="F153" s="4224">
        <v>15227137</v>
      </c>
      <c r="G153" s="4224">
        <v>14180899</v>
      </c>
      <c r="H153" s="4214">
        <v>163.9</v>
      </c>
      <c r="I153" s="4215">
        <v>155</v>
      </c>
      <c r="J153" s="4216">
        <v>174</v>
      </c>
      <c r="K153" s="4217">
        <v>1757256</v>
      </c>
      <c r="L153" s="4225">
        <v>163.5</v>
      </c>
      <c r="M153" s="4225">
        <v>162</v>
      </c>
      <c r="N153" s="4225">
        <v>165.9</v>
      </c>
      <c r="O153" s="4225">
        <v>157</v>
      </c>
      <c r="P153" s="4218">
        <v>210311</v>
      </c>
      <c r="Q153" s="4218">
        <v>215139</v>
      </c>
      <c r="R153" s="4220">
        <v>103882</v>
      </c>
      <c r="S153" s="4220"/>
      <c r="T153" s="4219">
        <v>0</v>
      </c>
      <c r="U153" s="5214">
        <v>0</v>
      </c>
      <c r="V153" s="4222"/>
      <c r="W153" s="4224">
        <v>0</v>
      </c>
      <c r="X153" s="4217">
        <v>54</v>
      </c>
      <c r="Y153" s="4223">
        <v>18</v>
      </c>
      <c r="Z153" s="5215">
        <v>0.04</v>
      </c>
      <c r="AA153" s="5215">
        <v>0</v>
      </c>
      <c r="AB153" s="5205">
        <v>0.2094</v>
      </c>
      <c r="AC153" s="4224">
        <v>123721</v>
      </c>
      <c r="AD153" s="4224"/>
      <c r="AE153" s="4224">
        <v>139785</v>
      </c>
      <c r="AF153" s="4225">
        <v>161.5</v>
      </c>
      <c r="AG153" s="4225">
        <v>160</v>
      </c>
      <c r="AH153" s="4225">
        <v>0</v>
      </c>
      <c r="AI153" s="4225">
        <v>0</v>
      </c>
      <c r="AJ153" s="4225">
        <v>0</v>
      </c>
      <c r="AK153" s="4225">
        <v>0</v>
      </c>
      <c r="AL153" s="4225">
        <v>0</v>
      </c>
      <c r="AM153" s="4221">
        <v>0</v>
      </c>
      <c r="AN153" s="4226">
        <v>0</v>
      </c>
      <c r="AO153" s="4224"/>
      <c r="AP153" s="4224"/>
      <c r="AQ153" s="4224">
        <v>1345778</v>
      </c>
      <c r="AR153" s="4221">
        <v>0.27600000000000002</v>
      </c>
      <c r="AS153" s="4217">
        <v>1821451</v>
      </c>
      <c r="AT153" s="5216">
        <v>0</v>
      </c>
      <c r="AU153" s="5216">
        <v>0</v>
      </c>
      <c r="AV153" s="4220">
        <v>1345778</v>
      </c>
      <c r="AW153" s="5243">
        <v>1597</v>
      </c>
      <c r="AX153" s="4224"/>
      <c r="AY153" s="5217">
        <v>93494</v>
      </c>
      <c r="AZ153" s="4224"/>
      <c r="BA153" s="4224">
        <v>105986</v>
      </c>
      <c r="BB153" s="4224">
        <v>0</v>
      </c>
      <c r="BC153" s="5218"/>
      <c r="BD153" s="4217">
        <v>0</v>
      </c>
      <c r="BE153" s="4224">
        <v>1340395</v>
      </c>
    </row>
    <row r="154" spans="1:57">
      <c r="A154" s="3810">
        <v>360</v>
      </c>
      <c r="B154" s="4210" t="s">
        <v>544</v>
      </c>
      <c r="C154" s="4211" t="s">
        <v>228</v>
      </c>
      <c r="D154" s="4212">
        <v>17946041</v>
      </c>
      <c r="E154" s="4213">
        <v>16385978</v>
      </c>
      <c r="F154" s="4224">
        <v>17693225</v>
      </c>
      <c r="G154" s="4224">
        <v>16087228</v>
      </c>
      <c r="H154" s="4214">
        <v>243.5</v>
      </c>
      <c r="I154" s="4215">
        <v>222</v>
      </c>
      <c r="J154" s="4216">
        <v>194</v>
      </c>
      <c r="K154" s="4217">
        <v>2600861</v>
      </c>
      <c r="L154" s="4225">
        <v>243</v>
      </c>
      <c r="M154" s="4225">
        <v>243.5</v>
      </c>
      <c r="N154" s="4225">
        <v>247</v>
      </c>
      <c r="O154" s="4225">
        <v>234</v>
      </c>
      <c r="P154" s="4218">
        <v>306788</v>
      </c>
      <c r="Q154" s="4218">
        <v>296405</v>
      </c>
      <c r="R154" s="4220">
        <v>318536</v>
      </c>
      <c r="S154" s="4220"/>
      <c r="T154" s="4219">
        <v>0</v>
      </c>
      <c r="U154" s="5214">
        <v>0</v>
      </c>
      <c r="V154" s="4222"/>
      <c r="W154" s="4224">
        <v>0</v>
      </c>
      <c r="X154" s="4217">
        <v>102</v>
      </c>
      <c r="Y154" s="4223">
        <v>24</v>
      </c>
      <c r="Z154" s="5215">
        <v>0.23</v>
      </c>
      <c r="AA154" s="5215">
        <v>0.01</v>
      </c>
      <c r="AB154" s="5205">
        <v>0.37259999999999999</v>
      </c>
      <c r="AC154" s="4224">
        <v>155738</v>
      </c>
      <c r="AD154" s="4224"/>
      <c r="AE154" s="4224">
        <v>179248</v>
      </c>
      <c r="AF154" s="4225">
        <v>239</v>
      </c>
      <c r="AG154" s="4225">
        <v>240.5</v>
      </c>
      <c r="AH154" s="4225">
        <v>0</v>
      </c>
      <c r="AI154" s="4225">
        <v>0</v>
      </c>
      <c r="AJ154" s="4225">
        <v>0</v>
      </c>
      <c r="AK154" s="4225">
        <v>0</v>
      </c>
      <c r="AL154" s="4225">
        <v>0</v>
      </c>
      <c r="AM154" s="4221">
        <v>0</v>
      </c>
      <c r="AN154" s="4226">
        <v>0</v>
      </c>
      <c r="AO154" s="4224"/>
      <c r="AP154" s="4224"/>
      <c r="AQ154" s="4224">
        <v>1815605</v>
      </c>
      <c r="AR154" s="4221">
        <v>0.3</v>
      </c>
      <c r="AS154" s="4217">
        <v>2443091</v>
      </c>
      <c r="AT154" s="5216">
        <v>0</v>
      </c>
      <c r="AU154" s="5216">
        <v>0</v>
      </c>
      <c r="AV154" s="4220">
        <v>1815605</v>
      </c>
      <c r="AW154" s="5243">
        <v>23773</v>
      </c>
      <c r="AX154" s="4224"/>
      <c r="AY154" s="5217">
        <v>318536</v>
      </c>
      <c r="AZ154" s="4224"/>
      <c r="BA154" s="4224">
        <v>136987</v>
      </c>
      <c r="BB154" s="4224">
        <v>21437</v>
      </c>
      <c r="BC154" s="5218"/>
      <c r="BD154" s="4217">
        <v>0</v>
      </c>
      <c r="BE154" s="4224">
        <v>1820209</v>
      </c>
    </row>
    <row r="155" spans="1:57">
      <c r="A155" s="3810">
        <v>361</v>
      </c>
      <c r="B155" s="4210" t="s">
        <v>2615</v>
      </c>
      <c r="C155" s="4211" t="s">
        <v>230</v>
      </c>
      <c r="D155" s="4212">
        <v>113861569</v>
      </c>
      <c r="E155" s="4213">
        <v>108691227</v>
      </c>
      <c r="F155" s="4224">
        <v>105082748</v>
      </c>
      <c r="G155" s="4224">
        <v>99777885</v>
      </c>
      <c r="H155" s="4214">
        <v>839.8</v>
      </c>
      <c r="I155" s="4215">
        <v>788.5</v>
      </c>
      <c r="J155" s="4216">
        <v>597.5</v>
      </c>
      <c r="K155" s="4217">
        <v>6978382</v>
      </c>
      <c r="L155" s="4225">
        <v>842.1</v>
      </c>
      <c r="M155" s="4225">
        <v>839.2</v>
      </c>
      <c r="N155" s="4225">
        <v>847.8</v>
      </c>
      <c r="O155" s="4225">
        <v>815.5</v>
      </c>
      <c r="P155" s="4218">
        <v>1028367</v>
      </c>
      <c r="Q155" s="4218">
        <v>1099340</v>
      </c>
      <c r="R155" s="4220">
        <v>88512</v>
      </c>
      <c r="S155" s="4220"/>
      <c r="T155" s="4219">
        <v>0</v>
      </c>
      <c r="U155" s="5214">
        <v>0</v>
      </c>
      <c r="V155" s="4222"/>
      <c r="W155" s="4224">
        <v>0</v>
      </c>
      <c r="X155" s="4217">
        <v>439</v>
      </c>
      <c r="Y155" s="4223">
        <v>112</v>
      </c>
      <c r="Z155" s="5215">
        <v>0</v>
      </c>
      <c r="AA155" s="5215">
        <v>0</v>
      </c>
      <c r="AB155" s="5205">
        <v>0</v>
      </c>
      <c r="AC155" s="4224">
        <v>470101</v>
      </c>
      <c r="AD155" s="4224"/>
      <c r="AE155" s="4224">
        <v>567226</v>
      </c>
      <c r="AF155" s="4225">
        <v>828.6</v>
      </c>
      <c r="AG155" s="4225">
        <v>828.7</v>
      </c>
      <c r="AH155" s="4225">
        <v>0</v>
      </c>
      <c r="AI155" s="4225">
        <v>0</v>
      </c>
      <c r="AJ155" s="4225">
        <v>0</v>
      </c>
      <c r="AK155" s="4225">
        <v>0</v>
      </c>
      <c r="AL155" s="4225">
        <v>0</v>
      </c>
      <c r="AM155" s="4221">
        <v>0</v>
      </c>
      <c r="AN155" s="4226">
        <v>0</v>
      </c>
      <c r="AO155" s="4224"/>
      <c r="AP155" s="4224"/>
      <c r="AQ155" s="4224">
        <v>5169488</v>
      </c>
      <c r="AR155" s="4221">
        <v>0.29370000000000002</v>
      </c>
      <c r="AS155" s="4217">
        <v>7720712</v>
      </c>
      <c r="AT155" s="5216">
        <v>0</v>
      </c>
      <c r="AU155" s="5216">
        <v>0</v>
      </c>
      <c r="AV155" s="4220">
        <v>5169488</v>
      </c>
      <c r="AW155" s="5243">
        <v>0</v>
      </c>
      <c r="AX155" s="4224"/>
      <c r="AY155" s="5217">
        <v>79661</v>
      </c>
      <c r="AZ155" s="4224"/>
      <c r="BA155" s="4224">
        <v>431012</v>
      </c>
      <c r="BB155" s="4224">
        <v>0</v>
      </c>
      <c r="BC155" s="5218"/>
      <c r="BD155" s="4217">
        <v>0</v>
      </c>
      <c r="BE155" s="4224">
        <v>5168683</v>
      </c>
    </row>
    <row r="156" spans="1:57">
      <c r="A156" s="3810">
        <v>362</v>
      </c>
      <c r="B156" s="4210" t="s">
        <v>545</v>
      </c>
      <c r="C156" s="4211" t="s">
        <v>222</v>
      </c>
      <c r="D156" s="4212">
        <v>153372210</v>
      </c>
      <c r="E156" s="4213">
        <v>146953211</v>
      </c>
      <c r="F156" s="4224">
        <v>167734478</v>
      </c>
      <c r="G156" s="4224">
        <v>161258734</v>
      </c>
      <c r="H156" s="4214">
        <v>864.6</v>
      </c>
      <c r="I156" s="4215">
        <v>852.1</v>
      </c>
      <c r="J156" s="4216">
        <v>320</v>
      </c>
      <c r="K156" s="4217">
        <v>7630258</v>
      </c>
      <c r="L156" s="4225">
        <v>916.7</v>
      </c>
      <c r="M156" s="4225">
        <v>910.3</v>
      </c>
      <c r="N156" s="4225">
        <v>868.1</v>
      </c>
      <c r="O156" s="4225">
        <v>852.1</v>
      </c>
      <c r="P156" s="4218">
        <v>1231071</v>
      </c>
      <c r="Q156" s="4218">
        <v>1221718</v>
      </c>
      <c r="R156" s="4220">
        <v>0</v>
      </c>
      <c r="S156" s="4220"/>
      <c r="T156" s="4219">
        <v>0</v>
      </c>
      <c r="U156" s="5214">
        <v>0</v>
      </c>
      <c r="V156" s="4222"/>
      <c r="W156" s="4224">
        <v>0</v>
      </c>
      <c r="X156" s="4217">
        <v>346</v>
      </c>
      <c r="Y156" s="4223">
        <v>105</v>
      </c>
      <c r="Z156" s="5215">
        <v>0</v>
      </c>
      <c r="AA156" s="5215">
        <v>0</v>
      </c>
      <c r="AB156" s="5205">
        <v>0</v>
      </c>
      <c r="AC156" s="4224">
        <v>681941</v>
      </c>
      <c r="AD156" s="4224"/>
      <c r="AE156" s="4224">
        <v>716112</v>
      </c>
      <c r="AF156" s="4225">
        <v>913</v>
      </c>
      <c r="AG156" s="4225">
        <v>909.3</v>
      </c>
      <c r="AH156" s="4225">
        <v>3.7</v>
      </c>
      <c r="AI156" s="4225">
        <v>0</v>
      </c>
      <c r="AJ156" s="4225">
        <v>0</v>
      </c>
      <c r="AK156" s="4225">
        <v>0</v>
      </c>
      <c r="AL156" s="4225">
        <v>15.2</v>
      </c>
      <c r="AM156" s="4221">
        <v>0</v>
      </c>
      <c r="AN156" s="4226">
        <v>0</v>
      </c>
      <c r="AO156" s="4224"/>
      <c r="AP156" s="4224"/>
      <c r="AQ156" s="4224">
        <v>5834975</v>
      </c>
      <c r="AR156" s="4221">
        <v>0.3</v>
      </c>
      <c r="AS156" s="4217">
        <v>8198831</v>
      </c>
      <c r="AT156" s="5216">
        <v>0</v>
      </c>
      <c r="AU156" s="5216">
        <v>0</v>
      </c>
      <c r="AV156" s="4220">
        <v>5834975</v>
      </c>
      <c r="AW156" s="5243">
        <v>0</v>
      </c>
      <c r="AX156" s="4224"/>
      <c r="AY156" s="5217">
        <v>0</v>
      </c>
      <c r="AZ156" s="4224"/>
      <c r="BA156" s="4224">
        <v>547584</v>
      </c>
      <c r="BB156" s="4224">
        <v>0</v>
      </c>
      <c r="BC156" s="5218"/>
      <c r="BD156" s="4217">
        <v>0</v>
      </c>
      <c r="BE156" s="4224">
        <v>5829130</v>
      </c>
    </row>
    <row r="157" spans="1:57">
      <c r="A157" s="3810">
        <v>363</v>
      </c>
      <c r="B157" s="4210" t="s">
        <v>546</v>
      </c>
      <c r="C157" s="4211" t="s">
        <v>231</v>
      </c>
      <c r="D157" s="4212">
        <v>174309323</v>
      </c>
      <c r="E157" s="4213">
        <v>172183110</v>
      </c>
      <c r="F157" s="4224">
        <v>133899494</v>
      </c>
      <c r="G157" s="4224">
        <v>131796025</v>
      </c>
      <c r="H157" s="4214">
        <v>937.3</v>
      </c>
      <c r="I157" s="4215">
        <v>946.5</v>
      </c>
      <c r="J157" s="4216">
        <v>231</v>
      </c>
      <c r="K157" s="4217">
        <v>6698582</v>
      </c>
      <c r="L157" s="4225">
        <v>958.8</v>
      </c>
      <c r="M157" s="4225">
        <v>932.1</v>
      </c>
      <c r="N157" s="4225">
        <v>953.1</v>
      </c>
      <c r="O157" s="4225">
        <v>982.3</v>
      </c>
      <c r="P157" s="4218">
        <v>490910</v>
      </c>
      <c r="Q157" s="4218">
        <v>497963</v>
      </c>
      <c r="R157" s="4220">
        <v>0</v>
      </c>
      <c r="S157" s="4220"/>
      <c r="T157" s="4219">
        <v>0</v>
      </c>
      <c r="U157" s="5214">
        <v>0</v>
      </c>
      <c r="V157" s="4222"/>
      <c r="W157" s="4224">
        <v>0</v>
      </c>
      <c r="X157" s="4217">
        <v>467</v>
      </c>
      <c r="Y157" s="4223">
        <v>90</v>
      </c>
      <c r="Z157" s="5215">
        <v>0</v>
      </c>
      <c r="AA157" s="5215">
        <v>0</v>
      </c>
      <c r="AB157" s="5205">
        <v>0</v>
      </c>
      <c r="AC157" s="4224">
        <v>588935</v>
      </c>
      <c r="AD157" s="4224"/>
      <c r="AE157" s="4224">
        <v>620840</v>
      </c>
      <c r="AF157" s="4225">
        <v>941.2</v>
      </c>
      <c r="AG157" s="4225">
        <v>913.4</v>
      </c>
      <c r="AH157" s="4225">
        <v>4</v>
      </c>
      <c r="AI157" s="4225">
        <v>0</v>
      </c>
      <c r="AJ157" s="4225">
        <v>0</v>
      </c>
      <c r="AK157" s="4225">
        <v>0</v>
      </c>
      <c r="AL157" s="4225">
        <v>0</v>
      </c>
      <c r="AM157" s="4221">
        <v>0</v>
      </c>
      <c r="AN157" s="4226">
        <v>0</v>
      </c>
      <c r="AO157" s="4224"/>
      <c r="AP157" s="4224"/>
      <c r="AQ157" s="4224">
        <v>5677372</v>
      </c>
      <c r="AR157" s="4221">
        <v>0.29170000000000001</v>
      </c>
      <c r="AS157" s="4217">
        <v>7377175</v>
      </c>
      <c r="AT157" s="5216">
        <v>0</v>
      </c>
      <c r="AU157" s="5216">
        <v>0</v>
      </c>
      <c r="AV157" s="4220">
        <v>5677372</v>
      </c>
      <c r="AW157" s="5243">
        <v>0</v>
      </c>
      <c r="AX157" s="4224"/>
      <c r="AY157" s="5217">
        <v>0</v>
      </c>
      <c r="AZ157" s="4224"/>
      <c r="BA157" s="4224">
        <v>478548</v>
      </c>
      <c r="BB157" s="4224">
        <v>0</v>
      </c>
      <c r="BC157" s="5218"/>
      <c r="BD157" s="4217">
        <v>386010</v>
      </c>
      <c r="BE157" s="4224">
        <v>5649396</v>
      </c>
    </row>
    <row r="158" spans="1:57">
      <c r="A158" s="3810">
        <v>364</v>
      </c>
      <c r="B158" s="4210" t="s">
        <v>547</v>
      </c>
      <c r="C158" s="4211" t="s">
        <v>232</v>
      </c>
      <c r="D158" s="4212">
        <v>74668783</v>
      </c>
      <c r="E158" s="4213">
        <v>69542669</v>
      </c>
      <c r="F158" s="4224">
        <v>81901139</v>
      </c>
      <c r="G158" s="4224">
        <v>76773024</v>
      </c>
      <c r="H158" s="4214">
        <v>701.8</v>
      </c>
      <c r="I158" s="4215">
        <v>689.5</v>
      </c>
      <c r="J158" s="4216">
        <v>325</v>
      </c>
      <c r="K158" s="4217">
        <v>5708339</v>
      </c>
      <c r="L158" s="4225">
        <v>713.5</v>
      </c>
      <c r="M158" s="4225">
        <v>689.2</v>
      </c>
      <c r="N158" s="4225">
        <v>707.8</v>
      </c>
      <c r="O158" s="4225">
        <v>693.5</v>
      </c>
      <c r="P158" s="4218">
        <v>646925</v>
      </c>
      <c r="Q158" s="4218">
        <v>594924</v>
      </c>
      <c r="R158" s="4220">
        <v>193212</v>
      </c>
      <c r="S158" s="4220"/>
      <c r="T158" s="4219">
        <v>5777</v>
      </c>
      <c r="U158" s="5214">
        <v>5751</v>
      </c>
      <c r="V158" s="4222"/>
      <c r="W158" s="4224">
        <v>0</v>
      </c>
      <c r="X158" s="4217">
        <v>223</v>
      </c>
      <c r="Y158" s="4223">
        <v>112</v>
      </c>
      <c r="Z158" s="5215">
        <v>0</v>
      </c>
      <c r="AA158" s="5215">
        <v>0</v>
      </c>
      <c r="AB158" s="5205">
        <v>2.75E-2</v>
      </c>
      <c r="AC158" s="4224">
        <v>589940</v>
      </c>
      <c r="AD158" s="4224"/>
      <c r="AE158" s="4224">
        <v>625721</v>
      </c>
      <c r="AF158" s="4225">
        <v>701</v>
      </c>
      <c r="AG158" s="4225">
        <v>683.7</v>
      </c>
      <c r="AH158" s="4225">
        <v>0</v>
      </c>
      <c r="AI158" s="4225">
        <v>0</v>
      </c>
      <c r="AJ158" s="4225">
        <v>0</v>
      </c>
      <c r="AK158" s="4225">
        <v>0</v>
      </c>
      <c r="AL158" s="4225">
        <v>0</v>
      </c>
      <c r="AM158" s="4221">
        <v>0</v>
      </c>
      <c r="AN158" s="4226">
        <v>0</v>
      </c>
      <c r="AO158" s="4224"/>
      <c r="AP158" s="4224"/>
      <c r="AQ158" s="4224">
        <v>4417299</v>
      </c>
      <c r="AR158" s="4221">
        <v>0.3</v>
      </c>
      <c r="AS158" s="4217">
        <v>6012683</v>
      </c>
      <c r="AT158" s="5216">
        <v>0</v>
      </c>
      <c r="AU158" s="5216">
        <v>0</v>
      </c>
      <c r="AV158" s="4220">
        <v>4417299</v>
      </c>
      <c r="AW158" s="5243">
        <v>0</v>
      </c>
      <c r="AX158" s="4224"/>
      <c r="AY158" s="5217">
        <v>172213</v>
      </c>
      <c r="AZ158" s="4224"/>
      <c r="BA158" s="4224">
        <v>468882</v>
      </c>
      <c r="BB158" s="4224">
        <v>0</v>
      </c>
      <c r="BC158" s="5218"/>
      <c r="BD158" s="4217">
        <v>0</v>
      </c>
      <c r="BE158" s="4224">
        <v>4399630</v>
      </c>
    </row>
    <row r="159" spans="1:57">
      <c r="A159" s="3810">
        <v>365</v>
      </c>
      <c r="B159" s="4210" t="s">
        <v>548</v>
      </c>
      <c r="C159" s="4211" t="s">
        <v>233</v>
      </c>
      <c r="D159" s="4212">
        <v>68501968</v>
      </c>
      <c r="E159" s="4213">
        <v>62070975</v>
      </c>
      <c r="F159" s="4224">
        <v>70775832</v>
      </c>
      <c r="G159" s="4224">
        <v>64356073</v>
      </c>
      <c r="H159" s="4214">
        <v>1022</v>
      </c>
      <c r="I159" s="4215">
        <v>988</v>
      </c>
      <c r="J159" s="4216">
        <v>430</v>
      </c>
      <c r="K159" s="4217">
        <v>8829586</v>
      </c>
      <c r="L159" s="4225">
        <v>1050</v>
      </c>
      <c r="M159" s="4225">
        <v>1070.5999999999999</v>
      </c>
      <c r="N159" s="4225">
        <v>1022</v>
      </c>
      <c r="O159" s="4225">
        <v>988</v>
      </c>
      <c r="P159" s="4218">
        <v>973439</v>
      </c>
      <c r="Q159" s="4218">
        <v>912331</v>
      </c>
      <c r="R159" s="4220">
        <v>1090944</v>
      </c>
      <c r="S159" s="4220"/>
      <c r="T159" s="4219">
        <v>2624</v>
      </c>
      <c r="U159" s="5214">
        <v>2105</v>
      </c>
      <c r="V159" s="4222"/>
      <c r="W159" s="4224">
        <v>0</v>
      </c>
      <c r="X159" s="4217">
        <v>365</v>
      </c>
      <c r="Y159" s="4223">
        <v>148</v>
      </c>
      <c r="Z159" s="5215">
        <v>0.27</v>
      </c>
      <c r="AA159" s="5215">
        <v>0.05</v>
      </c>
      <c r="AB159" s="5205">
        <v>0.40489999999999998</v>
      </c>
      <c r="AC159" s="4224">
        <v>609590</v>
      </c>
      <c r="AD159" s="4224"/>
      <c r="AE159" s="4224">
        <v>679143</v>
      </c>
      <c r="AF159" s="4225">
        <v>1050</v>
      </c>
      <c r="AG159" s="4225">
        <v>1070.5999999999999</v>
      </c>
      <c r="AH159" s="4225">
        <v>0</v>
      </c>
      <c r="AI159" s="4225">
        <v>0</v>
      </c>
      <c r="AJ159" s="4225">
        <v>0</v>
      </c>
      <c r="AK159" s="4225">
        <v>0</v>
      </c>
      <c r="AL159" s="4225">
        <v>0</v>
      </c>
      <c r="AM159" s="4221">
        <v>0</v>
      </c>
      <c r="AN159" s="4226">
        <v>0</v>
      </c>
      <c r="AO159" s="4224"/>
      <c r="AP159" s="4224"/>
      <c r="AQ159" s="4224">
        <v>6258242</v>
      </c>
      <c r="AR159" s="4221">
        <v>0.3</v>
      </c>
      <c r="AS159" s="4217">
        <v>8281363</v>
      </c>
      <c r="AT159" s="5216">
        <v>0</v>
      </c>
      <c r="AU159" s="5216">
        <v>0</v>
      </c>
      <c r="AV159" s="4220">
        <v>6258242</v>
      </c>
      <c r="AW159" s="5243">
        <v>77100</v>
      </c>
      <c r="AX159" s="4224"/>
      <c r="AY159" s="5217">
        <v>1090944</v>
      </c>
      <c r="AZ159" s="4224"/>
      <c r="BA159" s="4224">
        <v>516389</v>
      </c>
      <c r="BB159" s="4224">
        <v>69526</v>
      </c>
      <c r="BC159" s="5218"/>
      <c r="BD159" s="4217">
        <v>0</v>
      </c>
      <c r="BE159" s="4224">
        <v>6233209</v>
      </c>
    </row>
    <row r="160" spans="1:57">
      <c r="A160" s="3810">
        <v>366</v>
      </c>
      <c r="B160" s="4210" t="s">
        <v>549</v>
      </c>
      <c r="C160" s="4211" t="s">
        <v>234</v>
      </c>
      <c r="D160" s="4212">
        <v>31376452</v>
      </c>
      <c r="E160" s="4213">
        <v>28483121</v>
      </c>
      <c r="F160" s="4224">
        <v>29205362</v>
      </c>
      <c r="G160" s="4224">
        <v>26320616</v>
      </c>
      <c r="H160" s="4214">
        <v>425.6</v>
      </c>
      <c r="I160" s="4215">
        <v>421.5</v>
      </c>
      <c r="J160" s="4216">
        <v>422</v>
      </c>
      <c r="K160" s="4217">
        <v>4300502</v>
      </c>
      <c r="L160" s="4225">
        <v>451.5</v>
      </c>
      <c r="M160" s="4225">
        <v>444</v>
      </c>
      <c r="N160" s="4225">
        <v>430.6</v>
      </c>
      <c r="O160" s="4225">
        <v>429.5</v>
      </c>
      <c r="P160" s="4218">
        <v>557011</v>
      </c>
      <c r="Q160" s="4218">
        <v>516729</v>
      </c>
      <c r="R160" s="4220">
        <v>420995</v>
      </c>
      <c r="S160" s="4220"/>
      <c r="T160" s="4219">
        <v>0</v>
      </c>
      <c r="U160" s="5214">
        <v>0</v>
      </c>
      <c r="V160" s="4222"/>
      <c r="W160" s="4224">
        <v>0</v>
      </c>
      <c r="X160" s="4217">
        <v>225</v>
      </c>
      <c r="Y160" s="4223">
        <v>60</v>
      </c>
      <c r="Z160" s="5215">
        <v>0.3</v>
      </c>
      <c r="AA160" s="5215">
        <v>0.09</v>
      </c>
      <c r="AB160" s="5205">
        <v>0.43259999999999998</v>
      </c>
      <c r="AC160" s="4224">
        <v>279347</v>
      </c>
      <c r="AD160" s="4224"/>
      <c r="AE160" s="4224">
        <v>315666</v>
      </c>
      <c r="AF160" s="4225">
        <v>445.5</v>
      </c>
      <c r="AG160" s="4225">
        <v>437.5</v>
      </c>
      <c r="AH160" s="4225">
        <v>0</v>
      </c>
      <c r="AI160" s="4225">
        <v>0</v>
      </c>
      <c r="AJ160" s="4225">
        <v>0</v>
      </c>
      <c r="AK160" s="4225">
        <v>0</v>
      </c>
      <c r="AL160" s="4225">
        <v>0</v>
      </c>
      <c r="AM160" s="4221">
        <v>0</v>
      </c>
      <c r="AN160" s="4226">
        <v>0</v>
      </c>
      <c r="AO160" s="4224"/>
      <c r="AP160" s="4224"/>
      <c r="AQ160" s="4224">
        <v>3119400</v>
      </c>
      <c r="AR160" s="4221">
        <v>0.3</v>
      </c>
      <c r="AS160" s="4217">
        <v>4203789</v>
      </c>
      <c r="AT160" s="5216">
        <v>0</v>
      </c>
      <c r="AU160" s="5216">
        <v>0</v>
      </c>
      <c r="AV160" s="4220">
        <v>3119400</v>
      </c>
      <c r="AW160" s="5243">
        <v>26738</v>
      </c>
      <c r="AX160" s="4224"/>
      <c r="AY160" s="5217">
        <v>420995</v>
      </c>
      <c r="AZ160" s="4224"/>
      <c r="BA160" s="4224">
        <v>239857</v>
      </c>
      <c r="BB160" s="4224">
        <v>15344</v>
      </c>
      <c r="BC160" s="5218"/>
      <c r="BD160" s="4217">
        <v>11435</v>
      </c>
      <c r="BE160" s="4224">
        <v>3105373</v>
      </c>
    </row>
    <row r="161" spans="1:57">
      <c r="A161" s="3810">
        <v>367</v>
      </c>
      <c r="B161" s="4210" t="s">
        <v>550</v>
      </c>
      <c r="C161" s="4211" t="s">
        <v>235</v>
      </c>
      <c r="D161" s="4212">
        <v>43153047</v>
      </c>
      <c r="E161" s="4213">
        <v>37608152</v>
      </c>
      <c r="F161" s="4224">
        <v>48643656</v>
      </c>
      <c r="G161" s="4224">
        <v>43110841</v>
      </c>
      <c r="H161" s="4214">
        <v>1159.5</v>
      </c>
      <c r="I161" s="4215">
        <v>1119</v>
      </c>
      <c r="J161" s="4216">
        <v>103</v>
      </c>
      <c r="K161" s="4217">
        <v>11667506</v>
      </c>
      <c r="L161" s="4225">
        <v>1101</v>
      </c>
      <c r="M161" s="4225">
        <v>1143</v>
      </c>
      <c r="N161" s="4225">
        <v>1171</v>
      </c>
      <c r="O161" s="4225">
        <v>1125.5</v>
      </c>
      <c r="P161" s="4218">
        <v>1683288</v>
      </c>
      <c r="Q161" s="4218">
        <v>1805011</v>
      </c>
      <c r="R161" s="4220">
        <v>1961727</v>
      </c>
      <c r="S161" s="4220"/>
      <c r="T161" s="4219">
        <v>4537</v>
      </c>
      <c r="U161" s="5214">
        <v>11325</v>
      </c>
      <c r="V161" s="4222"/>
      <c r="W161" s="4224">
        <v>0</v>
      </c>
      <c r="X161" s="4217">
        <v>631</v>
      </c>
      <c r="Y161" s="4223">
        <v>156</v>
      </c>
      <c r="Z161" s="5215">
        <v>0.55000000000000004</v>
      </c>
      <c r="AA161" s="5215">
        <v>0.34</v>
      </c>
      <c r="AB161" s="5205">
        <v>0.64119999999999999</v>
      </c>
      <c r="AC161" s="4224">
        <v>679311</v>
      </c>
      <c r="AD161" s="4224"/>
      <c r="AE161" s="4224">
        <v>766496</v>
      </c>
      <c r="AF161" s="4225">
        <v>1089</v>
      </c>
      <c r="AG161" s="4225">
        <v>1131</v>
      </c>
      <c r="AH161" s="4225">
        <v>0</v>
      </c>
      <c r="AI161" s="4225">
        <v>0</v>
      </c>
      <c r="AJ161" s="4225">
        <v>0</v>
      </c>
      <c r="AK161" s="4225">
        <v>0</v>
      </c>
      <c r="AL161" s="4225">
        <v>9.8000000000000007</v>
      </c>
      <c r="AM161" s="4221">
        <v>0</v>
      </c>
      <c r="AN161" s="4226">
        <v>0</v>
      </c>
      <c r="AO161" s="4224"/>
      <c r="AP161" s="4224"/>
      <c r="AQ161" s="4224">
        <v>7213116</v>
      </c>
      <c r="AR161" s="4221">
        <v>0.3</v>
      </c>
      <c r="AS161" s="4217">
        <v>10093058</v>
      </c>
      <c r="AT161" s="5216">
        <v>0</v>
      </c>
      <c r="AU161" s="5216">
        <v>0</v>
      </c>
      <c r="AV161" s="4220">
        <v>7213116</v>
      </c>
      <c r="AW161" s="5243">
        <v>133156</v>
      </c>
      <c r="AX161" s="4224"/>
      <c r="AY161" s="5226">
        <v>1961404</v>
      </c>
      <c r="AZ161" s="4224"/>
      <c r="BA161" s="4224">
        <v>584504</v>
      </c>
      <c r="BB161" s="4224">
        <v>133156</v>
      </c>
      <c r="BC161" s="5218"/>
      <c r="BD161" s="4217">
        <v>0</v>
      </c>
      <c r="BE161" s="5227">
        <v>7143651</v>
      </c>
    </row>
    <row r="162" spans="1:57">
      <c r="A162" s="3810">
        <v>368</v>
      </c>
      <c r="B162" s="4210" t="s">
        <v>551</v>
      </c>
      <c r="C162" s="4211" t="s">
        <v>235</v>
      </c>
      <c r="D162" s="4212">
        <v>128942899</v>
      </c>
      <c r="E162" s="4213">
        <v>119039167</v>
      </c>
      <c r="F162" s="4224">
        <v>131414040</v>
      </c>
      <c r="G162" s="4224">
        <v>121488690</v>
      </c>
      <c r="H162" s="4214">
        <v>1931</v>
      </c>
      <c r="I162" s="4215">
        <v>1936.1</v>
      </c>
      <c r="J162" s="4216">
        <v>200</v>
      </c>
      <c r="K162" s="4217">
        <v>14606115</v>
      </c>
      <c r="L162" s="4225">
        <v>1953.3</v>
      </c>
      <c r="M162" s="4225">
        <v>1919</v>
      </c>
      <c r="N162" s="4225">
        <v>1931</v>
      </c>
      <c r="O162" s="4225">
        <v>1936.1</v>
      </c>
      <c r="P162" s="4218">
        <v>1899144</v>
      </c>
      <c r="Q162" s="4218">
        <v>1867478</v>
      </c>
      <c r="R162" s="4220">
        <v>1370766</v>
      </c>
      <c r="S162" s="4220"/>
      <c r="T162" s="4219">
        <v>0</v>
      </c>
      <c r="U162" s="5214">
        <v>1771</v>
      </c>
      <c r="V162" s="4222"/>
      <c r="W162" s="4224">
        <v>0</v>
      </c>
      <c r="X162" s="4217">
        <v>548</v>
      </c>
      <c r="Y162" s="4223">
        <v>146</v>
      </c>
      <c r="Z162" s="5215">
        <v>0.31</v>
      </c>
      <c r="AA162" s="5215">
        <v>0.09</v>
      </c>
      <c r="AB162" s="5205">
        <v>0.43480000000000002</v>
      </c>
      <c r="AC162" s="4224">
        <v>2025767</v>
      </c>
      <c r="AD162" s="4224"/>
      <c r="AE162" s="4224">
        <v>2221051</v>
      </c>
      <c r="AF162" s="4225">
        <v>1953.3</v>
      </c>
      <c r="AG162" s="4225">
        <v>1919</v>
      </c>
      <c r="AH162" s="4225">
        <v>0</v>
      </c>
      <c r="AI162" s="4225">
        <v>0</v>
      </c>
      <c r="AJ162" s="4225">
        <v>0</v>
      </c>
      <c r="AK162" s="4225">
        <v>0</v>
      </c>
      <c r="AL162" s="4225">
        <v>0</v>
      </c>
      <c r="AM162" s="4227">
        <v>1.2999999999999999E-3</v>
      </c>
      <c r="AN162" s="4226">
        <v>0</v>
      </c>
      <c r="AO162" s="4224"/>
      <c r="AP162" s="4224"/>
      <c r="AQ162" s="4224">
        <v>9566548</v>
      </c>
      <c r="AR162" s="4221">
        <v>0.3</v>
      </c>
      <c r="AS162" s="4217">
        <v>13052753</v>
      </c>
      <c r="AT162" s="5216">
        <v>0</v>
      </c>
      <c r="AU162" s="5216">
        <v>0</v>
      </c>
      <c r="AV162" s="4220">
        <v>9566548</v>
      </c>
      <c r="AW162" s="5243">
        <v>142626</v>
      </c>
      <c r="AX162" s="4224"/>
      <c r="AY162" s="5217">
        <v>1370766</v>
      </c>
      <c r="AZ162" s="4224"/>
      <c r="BA162" s="4224">
        <v>1704543</v>
      </c>
      <c r="BB162" s="4224">
        <v>92603</v>
      </c>
      <c r="BC162" s="5218"/>
      <c r="BD162" s="4217">
        <v>0</v>
      </c>
      <c r="BE162" s="4224">
        <v>9528282</v>
      </c>
    </row>
    <row r="163" spans="1:57">
      <c r="A163" s="3810">
        <v>369</v>
      </c>
      <c r="B163" s="4210" t="s">
        <v>552</v>
      </c>
      <c r="C163" s="4211" t="s">
        <v>236</v>
      </c>
      <c r="D163" s="4212">
        <v>17998077</v>
      </c>
      <c r="E163" s="4213">
        <v>16646166</v>
      </c>
      <c r="F163" s="4224">
        <v>16249802</v>
      </c>
      <c r="G163" s="4224">
        <v>14872267</v>
      </c>
      <c r="H163" s="4214">
        <v>220.5</v>
      </c>
      <c r="I163" s="4215">
        <v>237</v>
      </c>
      <c r="J163" s="4216">
        <v>95</v>
      </c>
      <c r="K163" s="4217">
        <v>2327594</v>
      </c>
      <c r="L163" s="4225">
        <v>227.8</v>
      </c>
      <c r="M163" s="4225">
        <v>232.5</v>
      </c>
      <c r="N163" s="4225">
        <v>225.5</v>
      </c>
      <c r="O163" s="4225">
        <v>241.5</v>
      </c>
      <c r="P163" s="4218">
        <v>223496</v>
      </c>
      <c r="Q163" s="4218">
        <v>229783</v>
      </c>
      <c r="R163" s="4220">
        <v>163937</v>
      </c>
      <c r="S163" s="4220"/>
      <c r="T163" s="4219">
        <v>0</v>
      </c>
      <c r="U163" s="5214">
        <v>0</v>
      </c>
      <c r="V163" s="4222"/>
      <c r="W163" s="4224">
        <v>14652</v>
      </c>
      <c r="X163" s="4217">
        <v>126</v>
      </c>
      <c r="Y163" s="4223">
        <v>32</v>
      </c>
      <c r="Z163" s="5215">
        <v>0.31</v>
      </c>
      <c r="AA163" s="5215">
        <v>0.09</v>
      </c>
      <c r="AB163" s="5205">
        <v>0.4385</v>
      </c>
      <c r="AC163" s="4224">
        <v>188971</v>
      </c>
      <c r="AD163" s="4224"/>
      <c r="AE163" s="4224">
        <v>191955</v>
      </c>
      <c r="AF163" s="4225">
        <v>223.8</v>
      </c>
      <c r="AG163" s="4225">
        <v>230</v>
      </c>
      <c r="AH163" s="4225">
        <v>0</v>
      </c>
      <c r="AI163" s="4225">
        <v>0</v>
      </c>
      <c r="AJ163" s="4225">
        <v>0</v>
      </c>
      <c r="AK163" s="4225">
        <v>0</v>
      </c>
      <c r="AL163" s="4225">
        <v>0</v>
      </c>
      <c r="AM163" s="4221">
        <v>0</v>
      </c>
      <c r="AN163" s="4226">
        <v>0</v>
      </c>
      <c r="AO163" s="4224"/>
      <c r="AP163" s="4224"/>
      <c r="AQ163" s="4224">
        <v>1769499</v>
      </c>
      <c r="AR163" s="4221">
        <v>0.3</v>
      </c>
      <c r="AS163" s="4217">
        <v>2321673</v>
      </c>
      <c r="AT163" s="5216">
        <v>0</v>
      </c>
      <c r="AU163" s="5216">
        <v>0</v>
      </c>
      <c r="AV163" s="4220">
        <v>1769499</v>
      </c>
      <c r="AW163" s="5243">
        <v>6361</v>
      </c>
      <c r="AX163" s="4224"/>
      <c r="AY163" s="5217">
        <v>162944</v>
      </c>
      <c r="AZ163" s="4224"/>
      <c r="BA163" s="4224">
        <v>149752</v>
      </c>
      <c r="BB163" s="4224">
        <v>0</v>
      </c>
      <c r="BC163" s="5218"/>
      <c r="BD163" s="4217">
        <v>35251</v>
      </c>
      <c r="BE163" s="4224">
        <v>1762392</v>
      </c>
    </row>
    <row r="164" spans="1:57">
      <c r="A164" s="3810">
        <v>371</v>
      </c>
      <c r="B164" s="4210" t="s">
        <v>553</v>
      </c>
      <c r="C164" s="4211" t="s">
        <v>168</v>
      </c>
      <c r="D164" s="4212">
        <v>19175914</v>
      </c>
      <c r="E164" s="4213">
        <v>17902356</v>
      </c>
      <c r="F164" s="4224">
        <v>21045821</v>
      </c>
      <c r="G164" s="4224">
        <v>19749334</v>
      </c>
      <c r="H164" s="4214">
        <v>238.8</v>
      </c>
      <c r="I164" s="4215">
        <v>206.5</v>
      </c>
      <c r="J164" s="4216">
        <v>200.8</v>
      </c>
      <c r="K164" s="4217">
        <v>2433015</v>
      </c>
      <c r="L164" s="4225">
        <v>228.9</v>
      </c>
      <c r="M164" s="4225">
        <v>234.9</v>
      </c>
      <c r="N164" s="4225">
        <v>241.8</v>
      </c>
      <c r="O164" s="4225">
        <v>251</v>
      </c>
      <c r="P164" s="4218">
        <v>139015</v>
      </c>
      <c r="Q164" s="4218">
        <v>141108</v>
      </c>
      <c r="R164" s="4220">
        <v>202948</v>
      </c>
      <c r="S164" s="4220"/>
      <c r="T164" s="4219">
        <v>4199</v>
      </c>
      <c r="U164" s="5214">
        <v>6623</v>
      </c>
      <c r="V164" s="4222"/>
      <c r="W164" s="4224">
        <v>0</v>
      </c>
      <c r="X164" s="4217">
        <v>65</v>
      </c>
      <c r="Y164" s="4223">
        <v>27</v>
      </c>
      <c r="Z164" s="5215">
        <v>0.15</v>
      </c>
      <c r="AA164" s="5215">
        <v>0</v>
      </c>
      <c r="AB164" s="5205">
        <v>0.30249999999999999</v>
      </c>
      <c r="AC164" s="4224">
        <v>168529</v>
      </c>
      <c r="AD164" s="4224"/>
      <c r="AE164" s="4224">
        <v>188831</v>
      </c>
      <c r="AF164" s="4225">
        <v>224.9</v>
      </c>
      <c r="AG164" s="4225">
        <v>233.4</v>
      </c>
      <c r="AH164" s="4225">
        <v>0</v>
      </c>
      <c r="AI164" s="4225">
        <v>0</v>
      </c>
      <c r="AJ164" s="4225">
        <v>0</v>
      </c>
      <c r="AK164" s="4225">
        <v>0</v>
      </c>
      <c r="AL164" s="4225">
        <v>0</v>
      </c>
      <c r="AM164" s="4221">
        <v>0</v>
      </c>
      <c r="AN164" s="4226">
        <v>0</v>
      </c>
      <c r="AO164" s="4224"/>
      <c r="AP164" s="4224"/>
      <c r="AQ164" s="4224">
        <v>1839708</v>
      </c>
      <c r="AR164" s="4221">
        <v>0.3</v>
      </c>
      <c r="AS164" s="4217">
        <v>2304851</v>
      </c>
      <c r="AT164" s="5216">
        <v>0</v>
      </c>
      <c r="AU164" s="5216">
        <v>0</v>
      </c>
      <c r="AV164" s="4220">
        <v>1839708</v>
      </c>
      <c r="AW164" s="5243">
        <v>8320</v>
      </c>
      <c r="AX164" s="4224"/>
      <c r="AY164" s="5217">
        <v>202948</v>
      </c>
      <c r="AZ164" s="4224"/>
      <c r="BA164" s="4224">
        <v>144962</v>
      </c>
      <c r="BB164" s="4224">
        <v>1765</v>
      </c>
      <c r="BC164" s="5218"/>
      <c r="BD164" s="4217">
        <v>0</v>
      </c>
      <c r="BE164" s="4224">
        <v>1915448</v>
      </c>
    </row>
    <row r="165" spans="1:57">
      <c r="A165" s="3810">
        <v>372</v>
      </c>
      <c r="B165" s="4210" t="s">
        <v>554</v>
      </c>
      <c r="C165" s="4211" t="s">
        <v>223</v>
      </c>
      <c r="D165" s="4212">
        <v>30615184</v>
      </c>
      <c r="E165" s="4213">
        <v>27804305</v>
      </c>
      <c r="F165" s="4224">
        <v>31815238</v>
      </c>
      <c r="G165" s="4224">
        <v>28996027</v>
      </c>
      <c r="H165" s="4214">
        <v>681</v>
      </c>
      <c r="I165" s="4215">
        <v>656</v>
      </c>
      <c r="J165" s="4216">
        <v>94</v>
      </c>
      <c r="K165" s="4217">
        <v>5978963</v>
      </c>
      <c r="L165" s="4225">
        <v>686.9</v>
      </c>
      <c r="M165" s="4225">
        <v>690.2</v>
      </c>
      <c r="N165" s="4225">
        <v>688.5</v>
      </c>
      <c r="O165" s="4225">
        <v>664</v>
      </c>
      <c r="P165" s="4218">
        <v>580150</v>
      </c>
      <c r="Q165" s="4218">
        <v>551013</v>
      </c>
      <c r="R165" s="4220">
        <v>944864</v>
      </c>
      <c r="S165" s="4220"/>
      <c r="T165" s="4219">
        <v>3767</v>
      </c>
      <c r="U165" s="5214">
        <v>4674</v>
      </c>
      <c r="V165" s="4222"/>
      <c r="W165" s="4224">
        <v>0</v>
      </c>
      <c r="X165" s="4217">
        <v>104</v>
      </c>
      <c r="Y165" s="4223">
        <v>45</v>
      </c>
      <c r="Z165" s="5215">
        <v>0.5</v>
      </c>
      <c r="AA165" s="5215">
        <v>0.28999999999999998</v>
      </c>
      <c r="AB165" s="5205">
        <v>0.60019999999999996</v>
      </c>
      <c r="AC165" s="4224">
        <v>462498</v>
      </c>
      <c r="AD165" s="4224"/>
      <c r="AE165" s="4224">
        <v>521015</v>
      </c>
      <c r="AF165" s="4225">
        <v>679</v>
      </c>
      <c r="AG165" s="4225">
        <v>685.7</v>
      </c>
      <c r="AH165" s="4225">
        <v>0</v>
      </c>
      <c r="AI165" s="4225">
        <v>0</v>
      </c>
      <c r="AJ165" s="4225">
        <v>0</v>
      </c>
      <c r="AK165" s="4225">
        <v>0</v>
      </c>
      <c r="AL165" s="4225">
        <v>0</v>
      </c>
      <c r="AM165" s="4221">
        <v>0</v>
      </c>
      <c r="AN165" s="4226">
        <v>0</v>
      </c>
      <c r="AO165" s="4224"/>
      <c r="AP165" s="4224"/>
      <c r="AQ165" s="4224">
        <v>4021834</v>
      </c>
      <c r="AR165" s="4221">
        <v>0.3</v>
      </c>
      <c r="AS165" s="4217">
        <v>5308230</v>
      </c>
      <c r="AT165" s="5216">
        <v>0</v>
      </c>
      <c r="AU165" s="5216">
        <v>0</v>
      </c>
      <c r="AV165" s="4220">
        <v>4021834</v>
      </c>
      <c r="AW165" s="5243">
        <v>80824</v>
      </c>
      <c r="AX165" s="4224"/>
      <c r="AY165" s="5217">
        <v>944864</v>
      </c>
      <c r="AZ165" s="4224"/>
      <c r="BA165" s="4224">
        <v>394649</v>
      </c>
      <c r="BB165" s="4224">
        <v>80824</v>
      </c>
      <c r="BC165" s="5218"/>
      <c r="BD165" s="4217">
        <v>0</v>
      </c>
      <c r="BE165" s="4224">
        <v>4007613</v>
      </c>
    </row>
    <row r="166" spans="1:57">
      <c r="A166" s="3810">
        <v>373</v>
      </c>
      <c r="B166" s="4210" t="s">
        <v>555</v>
      </c>
      <c r="C166" s="4211" t="s">
        <v>236</v>
      </c>
      <c r="D166" s="4212">
        <v>152739038</v>
      </c>
      <c r="E166" s="4213">
        <v>134844493</v>
      </c>
      <c r="F166" s="4224">
        <v>158393629</v>
      </c>
      <c r="G166" s="4224">
        <v>140318541</v>
      </c>
      <c r="H166" s="4214">
        <v>3329.1</v>
      </c>
      <c r="I166" s="4215">
        <v>3289.3</v>
      </c>
      <c r="J166" s="4216">
        <v>133.5</v>
      </c>
      <c r="K166" s="4217">
        <v>26627057</v>
      </c>
      <c r="L166" s="4225">
        <v>3441.2</v>
      </c>
      <c r="M166" s="4225">
        <v>3446.1</v>
      </c>
      <c r="N166" s="4225">
        <v>3395.3</v>
      </c>
      <c r="O166" s="4225">
        <v>3327.8</v>
      </c>
      <c r="P166" s="4218">
        <v>2866623</v>
      </c>
      <c r="Q166" s="4218">
        <v>2802391</v>
      </c>
      <c r="R166" s="4220">
        <v>4245802</v>
      </c>
      <c r="S166" s="4220"/>
      <c r="T166" s="4219">
        <v>0</v>
      </c>
      <c r="U166" s="5214">
        <v>0</v>
      </c>
      <c r="V166" s="4222"/>
      <c r="W166" s="4224">
        <v>0</v>
      </c>
      <c r="X166" s="4217">
        <v>1569</v>
      </c>
      <c r="Y166" s="4223">
        <v>394</v>
      </c>
      <c r="Z166" s="5215">
        <v>0.52</v>
      </c>
      <c r="AA166" s="5215">
        <v>0.3</v>
      </c>
      <c r="AB166" s="5205">
        <v>0.61040000000000005</v>
      </c>
      <c r="AC166" s="4224">
        <v>2376933</v>
      </c>
      <c r="AD166" s="4224"/>
      <c r="AE166" s="4224">
        <v>2662239</v>
      </c>
      <c r="AF166" s="4225">
        <v>3349.9</v>
      </c>
      <c r="AG166" s="4225">
        <v>3345.4</v>
      </c>
      <c r="AH166" s="4225">
        <v>40.1</v>
      </c>
      <c r="AI166" s="4225">
        <v>0</v>
      </c>
      <c r="AJ166" s="4225">
        <v>0</v>
      </c>
      <c r="AK166" s="4225">
        <v>0</v>
      </c>
      <c r="AL166" s="4225">
        <v>0</v>
      </c>
      <c r="AM166" s="4221">
        <v>0</v>
      </c>
      <c r="AN166" s="4226">
        <v>0</v>
      </c>
      <c r="AO166" s="4224"/>
      <c r="AP166" s="4224"/>
      <c r="AQ166" s="4224">
        <v>17319386</v>
      </c>
      <c r="AR166" s="4221">
        <v>0.3</v>
      </c>
      <c r="AS166" s="4217">
        <v>23038662</v>
      </c>
      <c r="AT166" s="5216">
        <v>0</v>
      </c>
      <c r="AU166" s="5216">
        <v>0</v>
      </c>
      <c r="AV166" s="4220">
        <v>17319386</v>
      </c>
      <c r="AW166" s="5243">
        <v>406877</v>
      </c>
      <c r="AX166" s="4224"/>
      <c r="AY166" s="5217">
        <v>4245802</v>
      </c>
      <c r="AZ166" s="4224"/>
      <c r="BA166" s="4224">
        <v>2021333</v>
      </c>
      <c r="BB166" s="4224">
        <v>406877</v>
      </c>
      <c r="BC166" s="5218"/>
      <c r="BD166" s="4217">
        <v>0</v>
      </c>
      <c r="BE166" s="4224">
        <v>17138976</v>
      </c>
    </row>
    <row r="167" spans="1:57">
      <c r="A167" s="3810">
        <v>374</v>
      </c>
      <c r="B167" s="4210" t="s">
        <v>556</v>
      </c>
      <c r="C167" s="4211" t="s">
        <v>237</v>
      </c>
      <c r="D167" s="4212">
        <v>113065172</v>
      </c>
      <c r="E167" s="4213">
        <v>111122142</v>
      </c>
      <c r="F167" s="4224">
        <v>74381256</v>
      </c>
      <c r="G167" s="4224">
        <v>72407329</v>
      </c>
      <c r="H167" s="4214">
        <v>476.4</v>
      </c>
      <c r="I167" s="4215">
        <v>432.7</v>
      </c>
      <c r="J167" s="4216">
        <v>355.5</v>
      </c>
      <c r="K167" s="4217">
        <v>4081772</v>
      </c>
      <c r="L167" s="4225">
        <v>459.2</v>
      </c>
      <c r="M167" s="4225">
        <v>454</v>
      </c>
      <c r="N167" s="4225">
        <v>488.2</v>
      </c>
      <c r="O167" s="4225">
        <v>440.7</v>
      </c>
      <c r="P167" s="4218">
        <v>246872</v>
      </c>
      <c r="Q167" s="4218">
        <v>262404</v>
      </c>
      <c r="R167" s="4220">
        <v>0</v>
      </c>
      <c r="S167" s="4220"/>
      <c r="T167" s="4219">
        <v>8287</v>
      </c>
      <c r="U167" s="5214">
        <v>4778</v>
      </c>
      <c r="V167" s="4222"/>
      <c r="W167" s="4224">
        <v>0</v>
      </c>
      <c r="X167" s="4217">
        <v>252</v>
      </c>
      <c r="Y167" s="4223">
        <v>47</v>
      </c>
      <c r="Z167" s="5215">
        <v>0</v>
      </c>
      <c r="AA167" s="5215">
        <v>0</v>
      </c>
      <c r="AB167" s="5205">
        <v>0</v>
      </c>
      <c r="AC167" s="4224">
        <v>346766</v>
      </c>
      <c r="AD167" s="4224"/>
      <c r="AE167" s="4224">
        <v>404912</v>
      </c>
      <c r="AF167" s="4225">
        <v>450.7</v>
      </c>
      <c r="AG167" s="4225">
        <v>443.5</v>
      </c>
      <c r="AH167" s="4225">
        <v>4.5</v>
      </c>
      <c r="AI167" s="4225">
        <v>0</v>
      </c>
      <c r="AJ167" s="4225">
        <v>0</v>
      </c>
      <c r="AK167" s="4225">
        <v>0</v>
      </c>
      <c r="AL167" s="4225">
        <v>0</v>
      </c>
      <c r="AM167" s="4221">
        <v>0</v>
      </c>
      <c r="AN167" s="4226">
        <v>0</v>
      </c>
      <c r="AO167" s="4224"/>
      <c r="AP167" s="4224"/>
      <c r="AQ167" s="4224">
        <v>3490135</v>
      </c>
      <c r="AR167" s="4221">
        <v>0.3</v>
      </c>
      <c r="AS167" s="4217">
        <v>4509641</v>
      </c>
      <c r="AT167" s="5216">
        <v>0</v>
      </c>
      <c r="AU167" s="5216">
        <v>0</v>
      </c>
      <c r="AV167" s="4220">
        <v>3490135</v>
      </c>
      <c r="AW167" s="5243">
        <v>0</v>
      </c>
      <c r="AX167" s="4224"/>
      <c r="AY167" s="5217">
        <v>0</v>
      </c>
      <c r="AZ167" s="4224"/>
      <c r="BA167" s="4224">
        <v>309839</v>
      </c>
      <c r="BB167" s="4224">
        <v>0</v>
      </c>
      <c r="BC167" s="5218"/>
      <c r="BD167" s="4217">
        <v>345275</v>
      </c>
      <c r="BE167" s="4224">
        <v>3463109</v>
      </c>
    </row>
    <row r="168" spans="1:57">
      <c r="A168" s="3810">
        <v>375</v>
      </c>
      <c r="B168" s="4210" t="s">
        <v>557</v>
      </c>
      <c r="C168" s="4211" t="s">
        <v>177</v>
      </c>
      <c r="D168" s="4212">
        <v>172186852</v>
      </c>
      <c r="E168" s="4213">
        <v>164535781</v>
      </c>
      <c r="F168" s="4224">
        <v>180453710</v>
      </c>
      <c r="G168" s="4224">
        <v>172718658</v>
      </c>
      <c r="H168" s="4214">
        <v>1854.8</v>
      </c>
      <c r="I168" s="4215">
        <v>1860.8</v>
      </c>
      <c r="J168" s="4216">
        <v>175</v>
      </c>
      <c r="K168" s="4217">
        <v>12224372</v>
      </c>
      <c r="L168" s="4225">
        <v>1838.4</v>
      </c>
      <c r="M168" s="4225">
        <v>1826.4</v>
      </c>
      <c r="N168" s="4225">
        <v>1882.6</v>
      </c>
      <c r="O168" s="4225">
        <v>1921.3</v>
      </c>
      <c r="P168" s="4218">
        <v>1466498</v>
      </c>
      <c r="Q168" s="4218">
        <v>1456715</v>
      </c>
      <c r="R168" s="4220">
        <v>530627</v>
      </c>
      <c r="S168" s="4220"/>
      <c r="T168" s="4219">
        <v>0</v>
      </c>
      <c r="U168" s="5214">
        <v>0</v>
      </c>
      <c r="V168" s="4222"/>
      <c r="W168" s="4224">
        <v>0</v>
      </c>
      <c r="X168" s="4217">
        <v>390</v>
      </c>
      <c r="Y168" s="4223">
        <v>183</v>
      </c>
      <c r="Z168" s="5215">
        <v>0.05</v>
      </c>
      <c r="AA168" s="5215">
        <v>0</v>
      </c>
      <c r="AB168" s="5205">
        <v>0.21729999999999999</v>
      </c>
      <c r="AC168" s="4224">
        <v>1031512</v>
      </c>
      <c r="AD168" s="4224"/>
      <c r="AE168" s="4224">
        <v>1114697</v>
      </c>
      <c r="AF168" s="4225">
        <v>1811</v>
      </c>
      <c r="AG168" s="4225">
        <v>1804.3</v>
      </c>
      <c r="AH168" s="4225">
        <v>29.2</v>
      </c>
      <c r="AI168" s="4225">
        <v>0</v>
      </c>
      <c r="AJ168" s="4225">
        <v>0</v>
      </c>
      <c r="AK168" s="4225">
        <v>0</v>
      </c>
      <c r="AL168" s="4225">
        <v>32.5</v>
      </c>
      <c r="AM168" s="4221">
        <v>0</v>
      </c>
      <c r="AN168" s="4226">
        <v>0</v>
      </c>
      <c r="AO168" s="4224"/>
      <c r="AP168" s="4224"/>
      <c r="AQ168" s="4224">
        <v>9025965</v>
      </c>
      <c r="AR168" s="4221">
        <v>0.3</v>
      </c>
      <c r="AS168" s="4217">
        <v>11856358</v>
      </c>
      <c r="AT168" s="5216">
        <v>0</v>
      </c>
      <c r="AU168" s="5216">
        <v>0</v>
      </c>
      <c r="AV168" s="4220">
        <v>9025965</v>
      </c>
      <c r="AW168" s="5243">
        <v>0</v>
      </c>
      <c r="AX168" s="4224"/>
      <c r="AY168" s="5217">
        <v>467378</v>
      </c>
      <c r="AZ168" s="4224"/>
      <c r="BA168" s="4224">
        <v>854703</v>
      </c>
      <c r="BB168" s="4224">
        <v>0</v>
      </c>
      <c r="BC168" s="5218"/>
      <c r="BD168" s="4217">
        <v>0</v>
      </c>
      <c r="BE168" s="4224">
        <v>9432570</v>
      </c>
    </row>
    <row r="169" spans="1:57">
      <c r="A169" s="3810">
        <v>376</v>
      </c>
      <c r="B169" s="4210" t="s">
        <v>558</v>
      </c>
      <c r="C169" s="4211" t="s">
        <v>238</v>
      </c>
      <c r="D169" s="4212">
        <v>28976470</v>
      </c>
      <c r="E169" s="4213">
        <v>26376185</v>
      </c>
      <c r="F169" s="4224">
        <v>28661838</v>
      </c>
      <c r="G169" s="4224">
        <v>26060916</v>
      </c>
      <c r="H169" s="4214">
        <v>514.4</v>
      </c>
      <c r="I169" s="4215">
        <v>505.2</v>
      </c>
      <c r="J169" s="4216">
        <v>158</v>
      </c>
      <c r="K169" s="4217">
        <v>4957128</v>
      </c>
      <c r="L169" s="4225">
        <v>483.5</v>
      </c>
      <c r="M169" s="4225">
        <v>499.9</v>
      </c>
      <c r="N169" s="4225">
        <v>520.4</v>
      </c>
      <c r="O169" s="4225">
        <v>509.2</v>
      </c>
      <c r="P169" s="4218">
        <v>585681</v>
      </c>
      <c r="Q169" s="4218">
        <v>617355</v>
      </c>
      <c r="R169" s="4220">
        <v>722010</v>
      </c>
      <c r="S169" s="4220"/>
      <c r="T169" s="4219">
        <v>3525</v>
      </c>
      <c r="U169" s="5214">
        <v>3243</v>
      </c>
      <c r="V169" s="4222"/>
      <c r="W169" s="4224">
        <v>0</v>
      </c>
      <c r="X169" s="4217">
        <v>166</v>
      </c>
      <c r="Y169" s="4223">
        <v>68</v>
      </c>
      <c r="Z169" s="5215">
        <v>0.45</v>
      </c>
      <c r="AA169" s="5215">
        <v>0.23</v>
      </c>
      <c r="AB169" s="5205">
        <v>0.55110000000000003</v>
      </c>
      <c r="AC169" s="4224">
        <v>303993</v>
      </c>
      <c r="AD169" s="4224"/>
      <c r="AE169" s="4224">
        <v>367530</v>
      </c>
      <c r="AF169" s="4225">
        <v>479.5</v>
      </c>
      <c r="AG169" s="4225">
        <v>495.4</v>
      </c>
      <c r="AH169" s="4225">
        <v>0</v>
      </c>
      <c r="AI169" s="4225">
        <v>0</v>
      </c>
      <c r="AJ169" s="4225">
        <v>0</v>
      </c>
      <c r="AK169" s="4225">
        <v>0</v>
      </c>
      <c r="AL169" s="4225">
        <v>0</v>
      </c>
      <c r="AM169" s="4221">
        <v>0</v>
      </c>
      <c r="AN169" s="4226">
        <v>0</v>
      </c>
      <c r="AO169" s="4224"/>
      <c r="AP169" s="4224"/>
      <c r="AQ169" s="4224">
        <v>3297696</v>
      </c>
      <c r="AR169" s="4221">
        <v>0.3</v>
      </c>
      <c r="AS169" s="4217">
        <v>4458500</v>
      </c>
      <c r="AT169" s="5216">
        <v>0</v>
      </c>
      <c r="AU169" s="5216">
        <v>0</v>
      </c>
      <c r="AV169" s="4220">
        <v>3297696</v>
      </c>
      <c r="AW169" s="5243">
        <v>49063</v>
      </c>
      <c r="AX169" s="4224"/>
      <c r="AY169" s="5217">
        <v>722010</v>
      </c>
      <c r="AZ169" s="4224"/>
      <c r="BA169" s="4224">
        <v>281427</v>
      </c>
      <c r="BB169" s="4224">
        <v>49063</v>
      </c>
      <c r="BC169" s="5218"/>
      <c r="BD169" s="4217">
        <v>0</v>
      </c>
      <c r="BE169" s="4224">
        <v>3284505</v>
      </c>
    </row>
    <row r="170" spans="1:57">
      <c r="A170" s="3810">
        <v>377</v>
      </c>
      <c r="B170" s="4210" t="s">
        <v>559</v>
      </c>
      <c r="C170" s="4211" t="s">
        <v>239</v>
      </c>
      <c r="D170" s="4212">
        <v>51623420</v>
      </c>
      <c r="E170" s="4213">
        <v>47439098</v>
      </c>
      <c r="F170" s="4224">
        <v>56402530</v>
      </c>
      <c r="G170" s="4224">
        <v>52183019</v>
      </c>
      <c r="H170" s="4214">
        <v>574</v>
      </c>
      <c r="I170" s="4215">
        <v>550</v>
      </c>
      <c r="J170" s="4216">
        <v>350</v>
      </c>
      <c r="K170" s="4217">
        <v>5652537</v>
      </c>
      <c r="L170" s="4225">
        <v>604.70000000000005</v>
      </c>
      <c r="M170" s="4225">
        <v>588</v>
      </c>
      <c r="N170" s="4225">
        <v>580</v>
      </c>
      <c r="O170" s="4225">
        <v>556.9</v>
      </c>
      <c r="P170" s="4218">
        <v>760503</v>
      </c>
      <c r="Q170" s="4218">
        <v>807668</v>
      </c>
      <c r="R170" s="4220">
        <v>464230</v>
      </c>
      <c r="S170" s="4220"/>
      <c r="T170" s="4219">
        <v>4994</v>
      </c>
      <c r="U170" s="5214">
        <v>3417</v>
      </c>
      <c r="V170" s="4222"/>
      <c r="W170" s="4224">
        <v>0</v>
      </c>
      <c r="X170" s="4217">
        <v>253</v>
      </c>
      <c r="Y170" s="4223">
        <v>76</v>
      </c>
      <c r="Z170" s="5215">
        <v>0.02</v>
      </c>
      <c r="AA170" s="5215">
        <v>0</v>
      </c>
      <c r="AB170" s="5205">
        <v>0.19670000000000001</v>
      </c>
      <c r="AC170" s="4224">
        <v>356499</v>
      </c>
      <c r="AD170" s="4224"/>
      <c r="AE170" s="4224">
        <v>388834</v>
      </c>
      <c r="AF170" s="4225">
        <v>599.20000000000005</v>
      </c>
      <c r="AG170" s="4225">
        <v>580</v>
      </c>
      <c r="AH170" s="4225">
        <v>0</v>
      </c>
      <c r="AI170" s="4225">
        <v>0</v>
      </c>
      <c r="AJ170" s="4225">
        <v>0</v>
      </c>
      <c r="AK170" s="4225">
        <v>0</v>
      </c>
      <c r="AL170" s="4225">
        <v>0</v>
      </c>
      <c r="AM170" s="4221">
        <v>0</v>
      </c>
      <c r="AN170" s="4226">
        <v>0</v>
      </c>
      <c r="AO170" s="4224"/>
      <c r="AP170" s="4224"/>
      <c r="AQ170" s="4224">
        <v>4078941</v>
      </c>
      <c r="AR170" s="4221">
        <v>0.3</v>
      </c>
      <c r="AS170" s="4217">
        <v>5626460</v>
      </c>
      <c r="AT170" s="5216">
        <v>0</v>
      </c>
      <c r="AU170" s="5216">
        <v>0</v>
      </c>
      <c r="AV170" s="4220">
        <v>4078941</v>
      </c>
      <c r="AW170" s="5243">
        <v>14649</v>
      </c>
      <c r="AX170" s="4224"/>
      <c r="AY170" s="5217">
        <v>464230</v>
      </c>
      <c r="AZ170" s="4224"/>
      <c r="BA170" s="4224">
        <v>295486</v>
      </c>
      <c r="BB170" s="4224">
        <v>0</v>
      </c>
      <c r="BC170" s="5218"/>
      <c r="BD170" s="4217">
        <v>0</v>
      </c>
      <c r="BE170" s="4224">
        <v>4082333</v>
      </c>
    </row>
    <row r="171" spans="1:57">
      <c r="A171" s="3810">
        <v>378</v>
      </c>
      <c r="B171" s="4210" t="s">
        <v>560</v>
      </c>
      <c r="C171" s="4211" t="s">
        <v>240</v>
      </c>
      <c r="D171" s="4212">
        <v>42347682</v>
      </c>
      <c r="E171" s="4213">
        <v>38504675</v>
      </c>
      <c r="F171" s="4224">
        <v>46133671</v>
      </c>
      <c r="G171" s="4224">
        <v>42151438</v>
      </c>
      <c r="H171" s="4214">
        <v>656.5</v>
      </c>
      <c r="I171" s="4215">
        <v>669.4</v>
      </c>
      <c r="J171" s="4216">
        <v>160</v>
      </c>
      <c r="K171" s="4217">
        <v>5991462</v>
      </c>
      <c r="L171" s="4225">
        <v>698</v>
      </c>
      <c r="M171" s="4225">
        <v>685.8</v>
      </c>
      <c r="N171" s="4225">
        <v>656.5</v>
      </c>
      <c r="O171" s="4225">
        <v>669.4</v>
      </c>
      <c r="P171" s="4218">
        <v>707637</v>
      </c>
      <c r="Q171" s="4218">
        <v>704933</v>
      </c>
      <c r="R171" s="4220">
        <v>772699</v>
      </c>
      <c r="S171" s="4220"/>
      <c r="T171" s="4219">
        <v>0</v>
      </c>
      <c r="U171" s="5214">
        <v>0</v>
      </c>
      <c r="V171" s="4222"/>
      <c r="W171" s="4224">
        <v>0</v>
      </c>
      <c r="X171" s="4217">
        <v>153</v>
      </c>
      <c r="Y171" s="4223">
        <v>84</v>
      </c>
      <c r="Z171" s="5215">
        <v>0.28999999999999998</v>
      </c>
      <c r="AA171" s="5215">
        <v>0.08</v>
      </c>
      <c r="AB171" s="5205">
        <v>0.4249</v>
      </c>
      <c r="AC171" s="4224">
        <v>365744</v>
      </c>
      <c r="AD171" s="4224"/>
      <c r="AE171" s="4224">
        <v>396792</v>
      </c>
      <c r="AF171" s="4225">
        <v>698</v>
      </c>
      <c r="AG171" s="4225">
        <v>685.8</v>
      </c>
      <c r="AH171" s="4225">
        <v>0</v>
      </c>
      <c r="AI171" s="4225">
        <v>0</v>
      </c>
      <c r="AJ171" s="4225">
        <v>0</v>
      </c>
      <c r="AK171" s="4225">
        <v>0</v>
      </c>
      <c r="AL171" s="4225">
        <v>0</v>
      </c>
      <c r="AM171" s="4221">
        <v>0</v>
      </c>
      <c r="AN171" s="4226">
        <v>9790</v>
      </c>
      <c r="AO171" s="4224"/>
      <c r="AP171" s="4224"/>
      <c r="AQ171" s="4224">
        <v>4185784</v>
      </c>
      <c r="AR171" s="4221">
        <v>0.3</v>
      </c>
      <c r="AS171" s="4217">
        <v>5598145</v>
      </c>
      <c r="AT171" s="5216">
        <v>0</v>
      </c>
      <c r="AU171" s="5216">
        <v>0</v>
      </c>
      <c r="AV171" s="4220">
        <v>4185784</v>
      </c>
      <c r="AW171" s="5243">
        <v>61980</v>
      </c>
      <c r="AX171" s="4224"/>
      <c r="AY171" s="5217">
        <v>772699</v>
      </c>
      <c r="AZ171" s="4224"/>
      <c r="BA171" s="4224">
        <v>269930</v>
      </c>
      <c r="BB171" s="4224">
        <v>60973</v>
      </c>
      <c r="BC171" s="5218"/>
      <c r="BD171" s="4217">
        <v>0</v>
      </c>
      <c r="BE171" s="4224">
        <v>4178832</v>
      </c>
    </row>
    <row r="172" spans="1:57">
      <c r="A172" s="3810">
        <v>379</v>
      </c>
      <c r="B172" s="4210" t="s">
        <v>561</v>
      </c>
      <c r="C172" s="4211" t="s">
        <v>241</v>
      </c>
      <c r="D172" s="4212">
        <v>82505369</v>
      </c>
      <c r="E172" s="4213">
        <v>74575089</v>
      </c>
      <c r="F172" s="4224">
        <v>86985097</v>
      </c>
      <c r="G172" s="4224">
        <v>79043777</v>
      </c>
      <c r="H172" s="4214">
        <v>1327.4</v>
      </c>
      <c r="I172" s="4215">
        <v>1312.1</v>
      </c>
      <c r="J172" s="4216">
        <v>632.5</v>
      </c>
      <c r="K172" s="4217">
        <v>10824133</v>
      </c>
      <c r="L172" s="4225">
        <v>1343.6</v>
      </c>
      <c r="M172" s="4225">
        <v>1357.6</v>
      </c>
      <c r="N172" s="4225">
        <v>1336.9</v>
      </c>
      <c r="O172" s="4225">
        <v>1324.1</v>
      </c>
      <c r="P172" s="4218">
        <v>1198016</v>
      </c>
      <c r="Q172" s="4218">
        <v>1214769</v>
      </c>
      <c r="R172" s="4220">
        <v>1394177</v>
      </c>
      <c r="S172" s="4220"/>
      <c r="T172" s="4219">
        <v>0</v>
      </c>
      <c r="U172" s="5214">
        <v>0</v>
      </c>
      <c r="V172" s="4222"/>
      <c r="W172" s="4224">
        <v>0</v>
      </c>
      <c r="X172" s="4217">
        <v>410</v>
      </c>
      <c r="Y172" s="4223">
        <v>172</v>
      </c>
      <c r="Z172" s="5215">
        <v>0.36</v>
      </c>
      <c r="AA172" s="5215">
        <v>0.14000000000000001</v>
      </c>
      <c r="AB172" s="5205">
        <v>0.47610000000000002</v>
      </c>
      <c r="AC172" s="4224">
        <v>1015520</v>
      </c>
      <c r="AD172" s="4224"/>
      <c r="AE172" s="4224">
        <v>1146303</v>
      </c>
      <c r="AF172" s="4225">
        <v>1336.9</v>
      </c>
      <c r="AG172" s="4225">
        <v>1346.3</v>
      </c>
      <c r="AH172" s="4225">
        <v>10</v>
      </c>
      <c r="AI172" s="4225">
        <v>0</v>
      </c>
      <c r="AJ172" s="4225">
        <v>0</v>
      </c>
      <c r="AK172" s="4225">
        <v>0</v>
      </c>
      <c r="AL172" s="4225">
        <v>0</v>
      </c>
      <c r="AM172" s="4221">
        <v>0</v>
      </c>
      <c r="AN172" s="4226">
        <v>27645</v>
      </c>
      <c r="AO172" s="4224"/>
      <c r="AP172" s="4224"/>
      <c r="AQ172" s="4224">
        <v>7213610</v>
      </c>
      <c r="AR172" s="4221">
        <v>0.3</v>
      </c>
      <c r="AS172" s="4217">
        <v>9601533</v>
      </c>
      <c r="AT172" s="5216">
        <v>0</v>
      </c>
      <c r="AU172" s="5216">
        <v>0</v>
      </c>
      <c r="AV172" s="4220">
        <v>7213610</v>
      </c>
      <c r="AW172" s="5243">
        <v>89511</v>
      </c>
      <c r="AX172" s="4224"/>
      <c r="AY172" s="5217">
        <v>1394177</v>
      </c>
      <c r="AZ172" s="4224"/>
      <c r="BA172" s="4224">
        <v>873772</v>
      </c>
      <c r="BB172" s="4224">
        <v>89511</v>
      </c>
      <c r="BC172" s="5218"/>
      <c r="BD172" s="4217">
        <v>0</v>
      </c>
      <c r="BE172" s="4224">
        <v>7224902</v>
      </c>
    </row>
    <row r="173" spans="1:57">
      <c r="A173" s="3810">
        <v>380</v>
      </c>
      <c r="B173" s="4210" t="s">
        <v>562</v>
      </c>
      <c r="C173" s="4211" t="s">
        <v>232</v>
      </c>
      <c r="D173" s="4212">
        <v>32259317</v>
      </c>
      <c r="E173" s="4213">
        <v>29660090</v>
      </c>
      <c r="F173" s="4224">
        <v>36667461</v>
      </c>
      <c r="G173" s="4224">
        <v>34047395</v>
      </c>
      <c r="H173" s="4214">
        <v>509</v>
      </c>
      <c r="I173" s="4215">
        <v>521</v>
      </c>
      <c r="J173" s="4216">
        <v>402</v>
      </c>
      <c r="K173" s="4217">
        <v>4768274</v>
      </c>
      <c r="L173" s="4225">
        <v>511</v>
      </c>
      <c r="M173" s="4225">
        <v>524.5</v>
      </c>
      <c r="N173" s="4225">
        <v>518</v>
      </c>
      <c r="O173" s="4225">
        <v>530</v>
      </c>
      <c r="P173" s="4218">
        <v>307615</v>
      </c>
      <c r="Q173" s="4218">
        <v>291608</v>
      </c>
      <c r="R173" s="4220">
        <v>635988</v>
      </c>
      <c r="S173" s="4220"/>
      <c r="T173" s="4219">
        <v>2695</v>
      </c>
      <c r="U173" s="5214">
        <v>7042</v>
      </c>
      <c r="V173" s="4222"/>
      <c r="W173" s="4224">
        <v>0</v>
      </c>
      <c r="X173" s="4217">
        <v>110</v>
      </c>
      <c r="Y173" s="4223">
        <v>63</v>
      </c>
      <c r="Z173" s="5215">
        <v>0.28999999999999998</v>
      </c>
      <c r="AA173" s="5215">
        <v>7.0000000000000007E-2</v>
      </c>
      <c r="AB173" s="5205">
        <v>0.42309999999999998</v>
      </c>
      <c r="AC173" s="4224">
        <v>307667</v>
      </c>
      <c r="AD173" s="4224"/>
      <c r="AE173" s="4224">
        <v>351157</v>
      </c>
      <c r="AF173" s="4225">
        <v>502</v>
      </c>
      <c r="AG173" s="4225">
        <v>515.5</v>
      </c>
      <c r="AH173" s="4225">
        <v>0</v>
      </c>
      <c r="AI173" s="4225">
        <v>0</v>
      </c>
      <c r="AJ173" s="4225">
        <v>0</v>
      </c>
      <c r="AK173" s="4225">
        <v>0</v>
      </c>
      <c r="AL173" s="4225">
        <v>0</v>
      </c>
      <c r="AM173" s="4221">
        <v>0</v>
      </c>
      <c r="AN173" s="4226">
        <v>0</v>
      </c>
      <c r="AO173" s="4224"/>
      <c r="AP173" s="4224"/>
      <c r="AQ173" s="4224">
        <v>3432589</v>
      </c>
      <c r="AR173" s="4221">
        <v>0.3</v>
      </c>
      <c r="AS173" s="4217">
        <v>4383304</v>
      </c>
      <c r="AT173" s="5216">
        <v>0</v>
      </c>
      <c r="AU173" s="5216">
        <v>0</v>
      </c>
      <c r="AV173" s="4220">
        <v>3432589</v>
      </c>
      <c r="AW173" s="5243">
        <v>54102</v>
      </c>
      <c r="AX173" s="4224"/>
      <c r="AY173" s="5217">
        <v>635988</v>
      </c>
      <c r="AZ173" s="4224"/>
      <c r="BA173" s="4224">
        <v>267404</v>
      </c>
      <c r="BB173" s="4224">
        <v>54102</v>
      </c>
      <c r="BC173" s="5218"/>
      <c r="BD173" s="4217">
        <v>0</v>
      </c>
      <c r="BE173" s="4224">
        <v>3418859</v>
      </c>
    </row>
    <row r="174" spans="1:57">
      <c r="A174" s="3810">
        <v>381</v>
      </c>
      <c r="B174" s="4210" t="s">
        <v>563</v>
      </c>
      <c r="C174" s="4211" t="s">
        <v>242</v>
      </c>
      <c r="D174" s="4212">
        <v>22430254</v>
      </c>
      <c r="E174" s="4213">
        <v>21343090</v>
      </c>
      <c r="F174" s="4224">
        <v>25031114</v>
      </c>
      <c r="G174" s="4224">
        <v>23940997</v>
      </c>
      <c r="H174" s="4214">
        <v>338.5</v>
      </c>
      <c r="I174" s="4215">
        <v>341.5</v>
      </c>
      <c r="J174" s="4216">
        <v>182</v>
      </c>
      <c r="K174" s="4217">
        <v>2980436</v>
      </c>
      <c r="L174" s="4225">
        <v>344.5</v>
      </c>
      <c r="M174" s="4225">
        <v>339.5</v>
      </c>
      <c r="N174" s="4225">
        <v>338.5</v>
      </c>
      <c r="O174" s="4225">
        <v>341.5</v>
      </c>
      <c r="P174" s="4218">
        <v>247078</v>
      </c>
      <c r="Q174" s="4218">
        <v>253437</v>
      </c>
      <c r="R174" s="4220">
        <v>359761</v>
      </c>
      <c r="S174" s="4220"/>
      <c r="T174" s="4219">
        <v>0</v>
      </c>
      <c r="U174" s="5214">
        <v>0</v>
      </c>
      <c r="V174" s="4222"/>
      <c r="W174" s="4224">
        <v>0</v>
      </c>
      <c r="X174" s="4217">
        <v>93</v>
      </c>
      <c r="Y174" s="4223">
        <v>30</v>
      </c>
      <c r="Z174" s="5215">
        <v>0.25</v>
      </c>
      <c r="AA174" s="5215">
        <v>0.04</v>
      </c>
      <c r="AB174" s="5205">
        <v>0.39179999999999998</v>
      </c>
      <c r="AC174" s="4224">
        <v>189236</v>
      </c>
      <c r="AD174" s="4224"/>
      <c r="AE174" s="4224">
        <v>207964</v>
      </c>
      <c r="AF174" s="4225">
        <v>344.5</v>
      </c>
      <c r="AG174" s="4225">
        <v>339.5</v>
      </c>
      <c r="AH174" s="4225">
        <v>0</v>
      </c>
      <c r="AI174" s="4225">
        <v>0</v>
      </c>
      <c r="AJ174" s="4225">
        <v>0</v>
      </c>
      <c r="AK174" s="4225">
        <v>0</v>
      </c>
      <c r="AL174" s="4225">
        <v>19.899999999999999</v>
      </c>
      <c r="AM174" s="4221">
        <v>0</v>
      </c>
      <c r="AN174" s="4226">
        <v>0</v>
      </c>
      <c r="AO174" s="4224"/>
      <c r="AP174" s="4224"/>
      <c r="AQ174" s="4224">
        <v>2272767</v>
      </c>
      <c r="AR174" s="4221">
        <v>0.3</v>
      </c>
      <c r="AS174" s="4217">
        <v>2947716</v>
      </c>
      <c r="AT174" s="5216">
        <v>0</v>
      </c>
      <c r="AU174" s="5216">
        <v>0</v>
      </c>
      <c r="AV174" s="4220">
        <v>2272767</v>
      </c>
      <c r="AW174" s="5243">
        <v>0</v>
      </c>
      <c r="AX174" s="4224"/>
      <c r="AY174" s="5217">
        <v>359761</v>
      </c>
      <c r="AZ174" s="4224"/>
      <c r="BA174" s="4224">
        <v>159781</v>
      </c>
      <c r="BB174" s="4224">
        <v>0</v>
      </c>
      <c r="BC174" s="5218"/>
      <c r="BD174" s="4217">
        <v>0</v>
      </c>
      <c r="BE174" s="4224">
        <v>2203199</v>
      </c>
    </row>
    <row r="175" spans="1:57">
      <c r="A175" s="3810">
        <v>382</v>
      </c>
      <c r="B175" s="4210" t="s">
        <v>564</v>
      </c>
      <c r="C175" s="4211" t="s">
        <v>243</v>
      </c>
      <c r="D175" s="4212">
        <v>93498188</v>
      </c>
      <c r="E175" s="4213">
        <v>85930748</v>
      </c>
      <c r="F175" s="4224">
        <v>100519736</v>
      </c>
      <c r="G175" s="4224">
        <v>92904281</v>
      </c>
      <c r="H175" s="4214">
        <v>1160.7</v>
      </c>
      <c r="I175" s="4215">
        <v>1033.9000000000001</v>
      </c>
      <c r="J175" s="4216">
        <v>266.5</v>
      </c>
      <c r="K175" s="4217">
        <v>9216678</v>
      </c>
      <c r="L175" s="4225">
        <v>1145.0999999999999</v>
      </c>
      <c r="M175" s="4225">
        <v>1173.2</v>
      </c>
      <c r="N175" s="4225">
        <v>1170.7</v>
      </c>
      <c r="O175" s="4225">
        <v>1154.8</v>
      </c>
      <c r="P175" s="4218">
        <v>1191225</v>
      </c>
      <c r="Q175" s="4218">
        <v>1188750</v>
      </c>
      <c r="R175" s="4220">
        <v>862111</v>
      </c>
      <c r="S175" s="4220"/>
      <c r="T175" s="4219">
        <v>0</v>
      </c>
      <c r="U175" s="5214">
        <v>0</v>
      </c>
      <c r="V175" s="4222"/>
      <c r="W175" s="4224">
        <v>0</v>
      </c>
      <c r="X175" s="4217">
        <v>477</v>
      </c>
      <c r="Y175" s="4223">
        <v>85</v>
      </c>
      <c r="Z175" s="5215">
        <v>0.19</v>
      </c>
      <c r="AA175" s="5215">
        <v>0</v>
      </c>
      <c r="AB175" s="5205">
        <v>0.34010000000000001</v>
      </c>
      <c r="AC175" s="4224">
        <v>640241</v>
      </c>
      <c r="AD175" s="4224"/>
      <c r="AE175" s="4224">
        <v>651204</v>
      </c>
      <c r="AF175" s="4225">
        <v>1137.0999999999999</v>
      </c>
      <c r="AG175" s="4225">
        <v>1163.2</v>
      </c>
      <c r="AH175" s="4225">
        <v>0</v>
      </c>
      <c r="AI175" s="4225">
        <v>0</v>
      </c>
      <c r="AJ175" s="4225">
        <v>0</v>
      </c>
      <c r="AK175" s="4225">
        <v>0</v>
      </c>
      <c r="AL175" s="4225">
        <v>0</v>
      </c>
      <c r="AM175" s="4221">
        <v>0</v>
      </c>
      <c r="AN175" s="4226">
        <v>0</v>
      </c>
      <c r="AO175" s="4224"/>
      <c r="AP175" s="4224"/>
      <c r="AQ175" s="4224">
        <v>6443824</v>
      </c>
      <c r="AR175" s="4221">
        <v>0.3</v>
      </c>
      <c r="AS175" s="4217">
        <v>8702546</v>
      </c>
      <c r="AT175" s="5216">
        <v>0</v>
      </c>
      <c r="AU175" s="5216">
        <v>0</v>
      </c>
      <c r="AV175" s="4220">
        <v>6443824</v>
      </c>
      <c r="AW175" s="5243">
        <v>51118</v>
      </c>
      <c r="AX175" s="4224"/>
      <c r="AY175" s="5217">
        <v>862111</v>
      </c>
      <c r="AZ175" s="4224"/>
      <c r="BA175" s="4224">
        <v>504563</v>
      </c>
      <c r="BB175" s="4224">
        <v>29334</v>
      </c>
      <c r="BC175" s="5218"/>
      <c r="BD175" s="4217">
        <v>0</v>
      </c>
      <c r="BE175" s="4224">
        <v>6631920</v>
      </c>
    </row>
    <row r="176" spans="1:57">
      <c r="A176" s="3810">
        <v>383</v>
      </c>
      <c r="B176" s="4210" t="s">
        <v>565</v>
      </c>
      <c r="C176" s="4211" t="s">
        <v>240</v>
      </c>
      <c r="D176" s="4212">
        <v>607585031</v>
      </c>
      <c r="E176" s="4213">
        <v>570988162</v>
      </c>
      <c r="F176" s="4224">
        <v>632493754</v>
      </c>
      <c r="G176" s="4224">
        <v>595611219</v>
      </c>
      <c r="H176" s="5198">
        <v>5925.9</v>
      </c>
      <c r="I176" s="4215">
        <v>5808.3</v>
      </c>
      <c r="J176" s="4216">
        <v>163</v>
      </c>
      <c r="K176" s="4217">
        <v>41552091</v>
      </c>
      <c r="L176" s="4225">
        <v>6075.7</v>
      </c>
      <c r="M176" s="4225">
        <v>6014.7</v>
      </c>
      <c r="N176" s="4225">
        <v>6077.5</v>
      </c>
      <c r="O176" s="4225">
        <v>5976.6</v>
      </c>
      <c r="P176" s="4218">
        <v>6683971</v>
      </c>
      <c r="Q176" s="4218">
        <v>6764502</v>
      </c>
      <c r="R176" s="4220">
        <v>1691752</v>
      </c>
      <c r="S176" s="4220"/>
      <c r="T176" s="4219">
        <v>0</v>
      </c>
      <c r="U176" s="5214">
        <v>0</v>
      </c>
      <c r="V176" s="4222"/>
      <c r="W176" s="4224">
        <v>0</v>
      </c>
      <c r="X176" s="4217">
        <v>1896</v>
      </c>
      <c r="Y176" s="4223">
        <v>618</v>
      </c>
      <c r="Z176" s="5215">
        <v>0</v>
      </c>
      <c r="AA176" s="5215">
        <v>0</v>
      </c>
      <c r="AB176" s="5205">
        <v>0.13700000000000001</v>
      </c>
      <c r="AC176" s="4224">
        <v>3873866</v>
      </c>
      <c r="AD176" s="4224"/>
      <c r="AE176" s="4224">
        <v>4637714</v>
      </c>
      <c r="AF176" s="4225">
        <v>5776</v>
      </c>
      <c r="AG176" s="4225">
        <v>5726</v>
      </c>
      <c r="AH176" s="4225">
        <v>131.9</v>
      </c>
      <c r="AI176" s="4225">
        <v>0</v>
      </c>
      <c r="AJ176" s="4225">
        <v>0</v>
      </c>
      <c r="AK176" s="4225">
        <v>0</v>
      </c>
      <c r="AL176" s="4225">
        <v>12</v>
      </c>
      <c r="AM176" s="4227">
        <v>0.02</v>
      </c>
      <c r="AN176" s="4226">
        <v>116077</v>
      </c>
      <c r="AO176" s="4224"/>
      <c r="AP176" s="4224"/>
      <c r="AQ176" s="4224">
        <v>29381454</v>
      </c>
      <c r="AR176" s="4221">
        <v>0.3</v>
      </c>
      <c r="AS176" s="4217">
        <v>40497712</v>
      </c>
      <c r="AT176" s="5216">
        <v>0</v>
      </c>
      <c r="AU176" s="5216">
        <v>0</v>
      </c>
      <c r="AV176" s="4220">
        <v>29381454</v>
      </c>
      <c r="AW176" s="5243">
        <v>0</v>
      </c>
      <c r="AX176" s="4224"/>
      <c r="AY176" s="5217">
        <v>1522578</v>
      </c>
      <c r="AZ176" s="4224"/>
      <c r="BA176" s="4224">
        <v>3346213</v>
      </c>
      <c r="BB176" s="4224">
        <v>0</v>
      </c>
      <c r="BC176" s="5218"/>
      <c r="BD176" s="4217">
        <v>0</v>
      </c>
      <c r="BE176" s="4224">
        <v>29397357</v>
      </c>
    </row>
    <row r="177" spans="1:57">
      <c r="A177" s="3810">
        <v>384</v>
      </c>
      <c r="B177" s="4210" t="s">
        <v>566</v>
      </c>
      <c r="C177" s="4211" t="s">
        <v>240</v>
      </c>
      <c r="D177" s="4212">
        <v>18726928</v>
      </c>
      <c r="E177" s="4213">
        <v>16816660</v>
      </c>
      <c r="F177" s="4224">
        <v>19922028</v>
      </c>
      <c r="G177" s="4224">
        <v>18015782</v>
      </c>
      <c r="H177" s="4214">
        <v>178</v>
      </c>
      <c r="I177" s="4215">
        <v>184</v>
      </c>
      <c r="J177" s="4216">
        <v>319</v>
      </c>
      <c r="K177" s="4217">
        <v>1962656</v>
      </c>
      <c r="L177" s="4225">
        <v>188</v>
      </c>
      <c r="M177" s="4225">
        <v>179</v>
      </c>
      <c r="N177" s="4225">
        <v>180</v>
      </c>
      <c r="O177" s="4225">
        <v>187.5</v>
      </c>
      <c r="P177" s="4218">
        <v>269548</v>
      </c>
      <c r="Q177" s="4218">
        <v>270392</v>
      </c>
      <c r="R177" s="4220">
        <v>70486</v>
      </c>
      <c r="S177" s="4220"/>
      <c r="T177" s="4219">
        <v>0</v>
      </c>
      <c r="U177" s="5214">
        <v>0</v>
      </c>
      <c r="V177" s="4222"/>
      <c r="W177" s="4224">
        <v>0</v>
      </c>
      <c r="X177" s="4217">
        <v>31</v>
      </c>
      <c r="Y177" s="4223">
        <v>28</v>
      </c>
      <c r="Z177" s="5215">
        <v>0</v>
      </c>
      <c r="AA177" s="5215">
        <v>0</v>
      </c>
      <c r="AB177" s="5205">
        <v>0.1134</v>
      </c>
      <c r="AC177" s="4224">
        <v>124883</v>
      </c>
      <c r="AD177" s="4224"/>
      <c r="AE177" s="4224">
        <v>129851</v>
      </c>
      <c r="AF177" s="4225">
        <v>187.5</v>
      </c>
      <c r="AG177" s="4225">
        <v>178</v>
      </c>
      <c r="AH177" s="4225">
        <v>0</v>
      </c>
      <c r="AI177" s="4225">
        <v>0</v>
      </c>
      <c r="AJ177" s="4225">
        <v>0</v>
      </c>
      <c r="AK177" s="4225">
        <v>0</v>
      </c>
      <c r="AL177" s="4225">
        <v>0</v>
      </c>
      <c r="AM177" s="4221">
        <v>0</v>
      </c>
      <c r="AN177" s="4226">
        <v>57646</v>
      </c>
      <c r="AO177" s="4224"/>
      <c r="AP177" s="4224"/>
      <c r="AQ177" s="4224">
        <v>1442570</v>
      </c>
      <c r="AR177" s="4221">
        <v>0.3</v>
      </c>
      <c r="AS177" s="4217">
        <v>2035257</v>
      </c>
      <c r="AT177" s="5216">
        <v>0</v>
      </c>
      <c r="AU177" s="5216">
        <v>0</v>
      </c>
      <c r="AV177" s="4220">
        <v>1442570</v>
      </c>
      <c r="AW177" s="5243">
        <v>0</v>
      </c>
      <c r="AX177" s="4224"/>
      <c r="AY177" s="5217">
        <v>62338</v>
      </c>
      <c r="AZ177" s="4224"/>
      <c r="BA177" s="4224">
        <v>98081</v>
      </c>
      <c r="BB177" s="4224">
        <v>0</v>
      </c>
      <c r="BC177" s="5218"/>
      <c r="BD177" s="4217">
        <v>0</v>
      </c>
      <c r="BE177" s="4224">
        <v>1473446</v>
      </c>
    </row>
    <row r="178" spans="1:57">
      <c r="A178" s="3810">
        <v>385</v>
      </c>
      <c r="B178" s="4210" t="s">
        <v>567</v>
      </c>
      <c r="C178" s="4211" t="s">
        <v>177</v>
      </c>
      <c r="D178" s="4212">
        <v>285389072</v>
      </c>
      <c r="E178" s="4213">
        <v>266453608</v>
      </c>
      <c r="F178" s="4224">
        <v>296088314</v>
      </c>
      <c r="G178" s="4224">
        <v>276787115</v>
      </c>
      <c r="H178" s="4214">
        <v>4924.5</v>
      </c>
      <c r="I178" s="4215">
        <v>4940.2</v>
      </c>
      <c r="J178" s="4216">
        <v>46.8</v>
      </c>
      <c r="K178" s="4217">
        <v>37347553</v>
      </c>
      <c r="L178" s="4225">
        <v>5200.6000000000004</v>
      </c>
      <c r="M178" s="4225">
        <v>5729.2</v>
      </c>
      <c r="N178" s="4225">
        <v>5656.1</v>
      </c>
      <c r="O178" s="4225">
        <v>5628.3</v>
      </c>
      <c r="P178" s="4218">
        <v>4145406</v>
      </c>
      <c r="Q178" s="4218">
        <v>4240465</v>
      </c>
      <c r="R178" s="4220">
        <v>5432120</v>
      </c>
      <c r="S178" s="4220"/>
      <c r="T178" s="4219">
        <v>0</v>
      </c>
      <c r="U178" s="5214">
        <v>0</v>
      </c>
      <c r="V178" s="4222"/>
      <c r="W178" s="4224">
        <v>0</v>
      </c>
      <c r="X178" s="4217">
        <v>652</v>
      </c>
      <c r="Y178" s="4223">
        <v>252</v>
      </c>
      <c r="Z178" s="5215">
        <v>0.46</v>
      </c>
      <c r="AA178" s="5215">
        <v>0.24</v>
      </c>
      <c r="AB178" s="5205">
        <v>0.56100000000000005</v>
      </c>
      <c r="AC178" s="4224">
        <v>2592063</v>
      </c>
      <c r="AD178" s="4224"/>
      <c r="AE178" s="4224">
        <v>2859678</v>
      </c>
      <c r="AF178" s="4225">
        <v>4818.6000000000004</v>
      </c>
      <c r="AG178" s="4225">
        <v>4800.2</v>
      </c>
      <c r="AH178" s="4225">
        <v>744.6</v>
      </c>
      <c r="AI178" s="4225">
        <v>0</v>
      </c>
      <c r="AJ178" s="4225">
        <v>0</v>
      </c>
      <c r="AK178" s="4225">
        <v>0</v>
      </c>
      <c r="AL178" s="4225">
        <v>0</v>
      </c>
      <c r="AM178" s="4227">
        <v>0.05</v>
      </c>
      <c r="AN178" s="4226">
        <v>0</v>
      </c>
      <c r="AO178" s="4224"/>
      <c r="AP178" s="4224"/>
      <c r="AQ178" s="4224">
        <v>24917228</v>
      </c>
      <c r="AR178" s="4221">
        <v>0.31</v>
      </c>
      <c r="AS178" s="4217">
        <v>29849758</v>
      </c>
      <c r="AT178" s="5216">
        <v>0</v>
      </c>
      <c r="AU178" s="5216">
        <v>0</v>
      </c>
      <c r="AV178" s="4220">
        <v>24917228</v>
      </c>
      <c r="AW178" s="5243">
        <v>639242</v>
      </c>
      <c r="AX178" s="4224"/>
      <c r="AY178" s="5217">
        <v>5432120</v>
      </c>
      <c r="AZ178" s="4224"/>
      <c r="BA178" s="4224">
        <v>2186449</v>
      </c>
      <c r="BB178" s="4224">
        <v>639242</v>
      </c>
      <c r="BC178" s="5218"/>
      <c r="BD178" s="4217">
        <v>0</v>
      </c>
      <c r="BE178" s="4224">
        <v>24844205</v>
      </c>
    </row>
    <row r="179" spans="1:57">
      <c r="A179" s="3810">
        <v>386</v>
      </c>
      <c r="B179" s="4210" t="s">
        <v>568</v>
      </c>
      <c r="C179" s="4211" t="s">
        <v>244</v>
      </c>
      <c r="D179" s="4212">
        <v>16283693</v>
      </c>
      <c r="E179" s="4213">
        <v>14825934</v>
      </c>
      <c r="F179" s="4224">
        <v>16025331</v>
      </c>
      <c r="G179" s="4224">
        <v>14559073</v>
      </c>
      <c r="H179" s="4214">
        <v>225.5</v>
      </c>
      <c r="I179" s="4215">
        <v>220.5</v>
      </c>
      <c r="J179" s="4216">
        <v>253</v>
      </c>
      <c r="K179" s="4217">
        <v>2531837</v>
      </c>
      <c r="L179" s="4225">
        <v>230.5</v>
      </c>
      <c r="M179" s="4225">
        <v>242</v>
      </c>
      <c r="N179" s="4225">
        <v>228.5</v>
      </c>
      <c r="O179" s="4225">
        <v>222</v>
      </c>
      <c r="P179" s="4218">
        <v>324817</v>
      </c>
      <c r="Q179" s="4218">
        <v>329226</v>
      </c>
      <c r="R179" s="4220">
        <v>256997</v>
      </c>
      <c r="S179" s="4220"/>
      <c r="T179" s="4219">
        <v>5281</v>
      </c>
      <c r="U179" s="5214">
        <v>4976</v>
      </c>
      <c r="V179" s="4222"/>
      <c r="W179" s="4224">
        <v>0</v>
      </c>
      <c r="X179" s="4217">
        <v>91</v>
      </c>
      <c r="Y179" s="4223">
        <v>23</v>
      </c>
      <c r="Z179" s="5215">
        <v>0.26</v>
      </c>
      <c r="AA179" s="5215">
        <v>0.04</v>
      </c>
      <c r="AB179" s="5205">
        <v>0.39839999999999998</v>
      </c>
      <c r="AC179" s="4224">
        <v>159256</v>
      </c>
      <c r="AD179" s="4224"/>
      <c r="AE179" s="4224">
        <v>173146</v>
      </c>
      <c r="AF179" s="4225">
        <v>228</v>
      </c>
      <c r="AG179" s="4225">
        <v>240</v>
      </c>
      <c r="AH179" s="4225">
        <v>0</v>
      </c>
      <c r="AI179" s="4225">
        <v>0</v>
      </c>
      <c r="AJ179" s="4225">
        <v>0</v>
      </c>
      <c r="AK179" s="4225">
        <v>0</v>
      </c>
      <c r="AL179" s="4225">
        <v>0</v>
      </c>
      <c r="AM179" s="4221">
        <v>0</v>
      </c>
      <c r="AN179" s="4226">
        <v>0</v>
      </c>
      <c r="AO179" s="4224"/>
      <c r="AP179" s="4224"/>
      <c r="AQ179" s="4224">
        <v>1814435</v>
      </c>
      <c r="AR179" s="4221">
        <v>0.3</v>
      </c>
      <c r="AS179" s="4217">
        <v>2442301</v>
      </c>
      <c r="AT179" s="5216">
        <v>0</v>
      </c>
      <c r="AU179" s="5216">
        <v>0</v>
      </c>
      <c r="AV179" s="4220">
        <v>1814435</v>
      </c>
      <c r="AW179" s="5243">
        <v>8911</v>
      </c>
      <c r="AX179" s="4224"/>
      <c r="AY179" s="5217">
        <v>256997</v>
      </c>
      <c r="AZ179" s="4224"/>
      <c r="BA179" s="4224">
        <v>131338</v>
      </c>
      <c r="BB179" s="4224">
        <v>6429</v>
      </c>
      <c r="BC179" s="5218"/>
      <c r="BD179" s="4217">
        <v>0</v>
      </c>
      <c r="BE179" s="4224">
        <v>1807177</v>
      </c>
    </row>
    <row r="180" spans="1:57">
      <c r="A180" s="3810">
        <v>387</v>
      </c>
      <c r="B180" s="4210" t="s">
        <v>569</v>
      </c>
      <c r="C180" s="4211" t="s">
        <v>245</v>
      </c>
      <c r="D180" s="4212">
        <v>22849680</v>
      </c>
      <c r="E180" s="4213">
        <v>21151318</v>
      </c>
      <c r="F180" s="4224">
        <v>35683867</v>
      </c>
      <c r="G180" s="4224">
        <v>33983438</v>
      </c>
      <c r="H180" s="4214">
        <v>204</v>
      </c>
      <c r="I180" s="4215">
        <v>177.5</v>
      </c>
      <c r="J180" s="4216">
        <v>192</v>
      </c>
      <c r="K180" s="4217">
        <v>2148639</v>
      </c>
      <c r="L180" s="4225">
        <v>200</v>
      </c>
      <c r="M180" s="4225">
        <v>186.5</v>
      </c>
      <c r="N180" s="4225">
        <v>209.5</v>
      </c>
      <c r="O180" s="4225">
        <v>180</v>
      </c>
      <c r="P180" s="4218">
        <v>220349</v>
      </c>
      <c r="Q180" s="4218">
        <v>232181</v>
      </c>
      <c r="R180" s="4220">
        <v>43926</v>
      </c>
      <c r="S180" s="4220"/>
      <c r="T180" s="4219">
        <v>3964</v>
      </c>
      <c r="U180" s="5214">
        <v>4432</v>
      </c>
      <c r="V180" s="4222"/>
      <c r="W180" s="4224">
        <v>0</v>
      </c>
      <c r="X180" s="4217">
        <v>106</v>
      </c>
      <c r="Y180" s="4223">
        <v>25</v>
      </c>
      <c r="Z180" s="5215">
        <v>0</v>
      </c>
      <c r="AA180" s="5215">
        <v>0</v>
      </c>
      <c r="AB180" s="5205">
        <v>0</v>
      </c>
      <c r="AC180" s="4224">
        <v>132396</v>
      </c>
      <c r="AD180" s="4224"/>
      <c r="AE180" s="4224">
        <v>134591</v>
      </c>
      <c r="AF180" s="4225">
        <v>195.5</v>
      </c>
      <c r="AG180" s="4225">
        <v>184.5</v>
      </c>
      <c r="AH180" s="4225">
        <v>0</v>
      </c>
      <c r="AI180" s="4225">
        <v>0</v>
      </c>
      <c r="AJ180" s="4225">
        <v>0</v>
      </c>
      <c r="AK180" s="4225">
        <v>0</v>
      </c>
      <c r="AL180" s="4225">
        <v>0</v>
      </c>
      <c r="AM180" s="4221">
        <v>0</v>
      </c>
      <c r="AN180" s="4226">
        <v>0</v>
      </c>
      <c r="AO180" s="4224"/>
      <c r="AP180" s="4224"/>
      <c r="AQ180" s="4224">
        <v>1778360</v>
      </c>
      <c r="AR180" s="4221">
        <v>0.25800000000000001</v>
      </c>
      <c r="AS180" s="4217">
        <v>2348179</v>
      </c>
      <c r="AT180" s="5216">
        <v>0</v>
      </c>
      <c r="AU180" s="5216">
        <v>0</v>
      </c>
      <c r="AV180" s="4220">
        <v>1778360</v>
      </c>
      <c r="AW180" s="5243">
        <v>0</v>
      </c>
      <c r="AX180" s="4224"/>
      <c r="AY180" s="5217">
        <v>39534</v>
      </c>
      <c r="AZ180" s="4224"/>
      <c r="BA180" s="4224">
        <v>103683</v>
      </c>
      <c r="BB180" s="4224">
        <v>0</v>
      </c>
      <c r="BC180" s="5218"/>
      <c r="BD180" s="4217">
        <v>0</v>
      </c>
      <c r="BE180" s="4224">
        <v>1747495</v>
      </c>
    </row>
    <row r="181" spans="1:57">
      <c r="A181" s="3810">
        <v>388</v>
      </c>
      <c r="B181" s="4210" t="s">
        <v>570</v>
      </c>
      <c r="C181" s="4211" t="s">
        <v>246</v>
      </c>
      <c r="D181" s="4212">
        <v>38305166</v>
      </c>
      <c r="E181" s="4213">
        <v>35716687</v>
      </c>
      <c r="F181" s="4224">
        <v>31563451</v>
      </c>
      <c r="G181" s="4224">
        <v>28965763</v>
      </c>
      <c r="H181" s="4214">
        <v>411</v>
      </c>
      <c r="I181" s="4215">
        <v>419.6</v>
      </c>
      <c r="J181" s="4216">
        <v>280.5</v>
      </c>
      <c r="K181" s="4217">
        <v>3199366</v>
      </c>
      <c r="L181" s="4225">
        <v>410.9</v>
      </c>
      <c r="M181" s="4225">
        <v>413</v>
      </c>
      <c r="N181" s="4225">
        <v>411</v>
      </c>
      <c r="O181" s="4225">
        <v>419.6</v>
      </c>
      <c r="P181" s="4218">
        <v>316443</v>
      </c>
      <c r="Q181" s="4218">
        <v>309119</v>
      </c>
      <c r="R181" s="4220">
        <v>142395</v>
      </c>
      <c r="S181" s="4220"/>
      <c r="T181" s="4219">
        <v>3430</v>
      </c>
      <c r="U181" s="5214">
        <v>0</v>
      </c>
      <c r="V181" s="4222"/>
      <c r="W181" s="4224">
        <v>0</v>
      </c>
      <c r="X181" s="4217">
        <v>102</v>
      </c>
      <c r="Y181" s="4223">
        <v>61</v>
      </c>
      <c r="Z181" s="5215">
        <v>0.26</v>
      </c>
      <c r="AA181" s="5215">
        <v>0.04</v>
      </c>
      <c r="AB181" s="5205">
        <v>0.3947</v>
      </c>
      <c r="AC181" s="4224">
        <v>246632</v>
      </c>
      <c r="AD181" s="4224"/>
      <c r="AE181" s="4224">
        <v>280839</v>
      </c>
      <c r="AF181" s="4225">
        <v>410.9</v>
      </c>
      <c r="AG181" s="4225">
        <v>412</v>
      </c>
      <c r="AH181" s="4225">
        <v>0</v>
      </c>
      <c r="AI181" s="4225">
        <v>0</v>
      </c>
      <c r="AJ181" s="4225">
        <v>0</v>
      </c>
      <c r="AK181" s="4225">
        <v>0</v>
      </c>
      <c r="AL181" s="4225">
        <v>0</v>
      </c>
      <c r="AM181" s="4221">
        <v>0</v>
      </c>
      <c r="AN181" s="4226">
        <v>0</v>
      </c>
      <c r="AO181" s="4224"/>
      <c r="AP181" s="4224"/>
      <c r="AQ181" s="4224">
        <v>2549614</v>
      </c>
      <c r="AR181" s="4221">
        <v>0.3</v>
      </c>
      <c r="AS181" s="4217">
        <v>3369679</v>
      </c>
      <c r="AT181" s="5216">
        <v>0</v>
      </c>
      <c r="AU181" s="5216">
        <v>0</v>
      </c>
      <c r="AV181" s="4220">
        <v>2549614</v>
      </c>
      <c r="AW181" s="5243">
        <v>0</v>
      </c>
      <c r="AX181" s="4224"/>
      <c r="AY181" s="5217">
        <v>127738</v>
      </c>
      <c r="AZ181" s="4224"/>
      <c r="BA181" s="4224">
        <v>214630</v>
      </c>
      <c r="BB181" s="4224">
        <v>0</v>
      </c>
      <c r="BC181" s="5218"/>
      <c r="BD181" s="4217">
        <v>0</v>
      </c>
      <c r="BE181" s="4224">
        <v>2539416</v>
      </c>
    </row>
    <row r="182" spans="1:57">
      <c r="A182" s="3810">
        <v>389</v>
      </c>
      <c r="B182" s="4210" t="s">
        <v>571</v>
      </c>
      <c r="C182" s="4211" t="s">
        <v>244</v>
      </c>
      <c r="D182" s="4212">
        <v>31137858</v>
      </c>
      <c r="E182" s="4213">
        <v>25944945</v>
      </c>
      <c r="F182" s="4224">
        <v>32548227</v>
      </c>
      <c r="G182" s="4224">
        <v>27368499</v>
      </c>
      <c r="H182" s="4214">
        <v>621.5</v>
      </c>
      <c r="I182" s="4215">
        <v>606</v>
      </c>
      <c r="J182" s="4216">
        <v>580</v>
      </c>
      <c r="K182" s="4217">
        <v>6400359</v>
      </c>
      <c r="L182" s="4225">
        <v>635.5</v>
      </c>
      <c r="M182" s="4225">
        <v>643</v>
      </c>
      <c r="N182" s="4225">
        <v>636.5</v>
      </c>
      <c r="O182" s="4225">
        <v>616.5</v>
      </c>
      <c r="P182" s="4218">
        <v>542230</v>
      </c>
      <c r="Q182" s="4218">
        <v>532823</v>
      </c>
      <c r="R182" s="4220">
        <v>951011</v>
      </c>
      <c r="S182" s="4220"/>
      <c r="T182" s="4219">
        <v>8822</v>
      </c>
      <c r="U182" s="5214">
        <v>9825</v>
      </c>
      <c r="V182" s="4222"/>
      <c r="W182" s="4224">
        <v>0</v>
      </c>
      <c r="X182" s="4217">
        <v>339</v>
      </c>
      <c r="Y182" s="4223">
        <v>60</v>
      </c>
      <c r="Z182" s="5215">
        <v>0.46</v>
      </c>
      <c r="AA182" s="5215">
        <v>0.24</v>
      </c>
      <c r="AB182" s="5205">
        <v>0.56030000000000002</v>
      </c>
      <c r="AC182" s="4224">
        <v>490855</v>
      </c>
      <c r="AD182" s="4224"/>
      <c r="AE182" s="4224">
        <v>550166</v>
      </c>
      <c r="AF182" s="4225">
        <v>621</v>
      </c>
      <c r="AG182" s="4225">
        <v>628</v>
      </c>
      <c r="AH182" s="4225">
        <v>0</v>
      </c>
      <c r="AI182" s="4225">
        <v>0</v>
      </c>
      <c r="AJ182" s="4225">
        <v>0</v>
      </c>
      <c r="AK182" s="4225">
        <v>0</v>
      </c>
      <c r="AL182" s="4225">
        <v>0</v>
      </c>
      <c r="AM182" s="4221">
        <v>0</v>
      </c>
      <c r="AN182" s="4226">
        <v>8342</v>
      </c>
      <c r="AO182" s="4224"/>
      <c r="AP182" s="4224"/>
      <c r="AQ182" s="4224">
        <v>4439243</v>
      </c>
      <c r="AR182" s="4221">
        <v>0.3</v>
      </c>
      <c r="AS182" s="4217">
        <v>5748460</v>
      </c>
      <c r="AT182" s="5216">
        <v>0</v>
      </c>
      <c r="AU182" s="5216">
        <v>0</v>
      </c>
      <c r="AV182" s="4220">
        <v>4439243</v>
      </c>
      <c r="AW182" s="5243">
        <v>69331</v>
      </c>
      <c r="AX182" s="4224"/>
      <c r="AY182" s="5217">
        <v>951011</v>
      </c>
      <c r="AZ182" s="4224"/>
      <c r="BA182" s="4224">
        <v>417134</v>
      </c>
      <c r="BB182" s="4224">
        <v>69331</v>
      </c>
      <c r="BC182" s="5218"/>
      <c r="BD182" s="4217">
        <v>0</v>
      </c>
      <c r="BE182" s="4224">
        <v>4421485</v>
      </c>
    </row>
    <row r="183" spans="1:57">
      <c r="A183" s="3810">
        <v>390</v>
      </c>
      <c r="B183" s="4210" t="s">
        <v>572</v>
      </c>
      <c r="C183" s="4211" t="s">
        <v>244</v>
      </c>
      <c r="D183" s="4212">
        <v>9383751</v>
      </c>
      <c r="E183" s="4213">
        <v>8816114</v>
      </c>
      <c r="F183" s="4224">
        <v>8991591</v>
      </c>
      <c r="G183" s="4224">
        <v>8429654</v>
      </c>
      <c r="H183" s="4214">
        <v>86.5</v>
      </c>
      <c r="I183" s="4215">
        <v>75.5</v>
      </c>
      <c r="J183" s="4216">
        <v>210</v>
      </c>
      <c r="K183" s="4217">
        <v>1047533</v>
      </c>
      <c r="L183" s="4225">
        <v>83.5</v>
      </c>
      <c r="M183" s="4225">
        <v>82.5</v>
      </c>
      <c r="N183" s="4225">
        <v>88</v>
      </c>
      <c r="O183" s="4225">
        <v>76.5</v>
      </c>
      <c r="P183" s="4218">
        <v>148478</v>
      </c>
      <c r="Q183" s="4218">
        <v>140690</v>
      </c>
      <c r="R183" s="4220">
        <v>7860</v>
      </c>
      <c r="S183" s="4220"/>
      <c r="T183" s="4219">
        <v>6581</v>
      </c>
      <c r="U183" s="5214">
        <v>6485</v>
      </c>
      <c r="V183" s="4222"/>
      <c r="W183" s="4224">
        <v>0</v>
      </c>
      <c r="X183" s="4217">
        <v>52</v>
      </c>
      <c r="Y183" s="4223">
        <v>2</v>
      </c>
      <c r="Z183" s="5215">
        <v>0</v>
      </c>
      <c r="AA183" s="5215">
        <v>0</v>
      </c>
      <c r="AB183" s="5205">
        <v>1.9199999999999998E-2</v>
      </c>
      <c r="AC183" s="4224">
        <v>63327</v>
      </c>
      <c r="AD183" s="4224"/>
      <c r="AE183" s="4224">
        <v>70408</v>
      </c>
      <c r="AF183" s="4225">
        <v>82.5</v>
      </c>
      <c r="AG183" s="4225">
        <v>82</v>
      </c>
      <c r="AH183" s="4225">
        <v>0</v>
      </c>
      <c r="AI183" s="4225">
        <v>0</v>
      </c>
      <c r="AJ183" s="4225">
        <v>0</v>
      </c>
      <c r="AK183" s="4225">
        <v>0</v>
      </c>
      <c r="AL183" s="4225">
        <v>0</v>
      </c>
      <c r="AM183" s="4221">
        <v>0</v>
      </c>
      <c r="AN183" s="4226">
        <v>0</v>
      </c>
      <c r="AO183" s="4224"/>
      <c r="AP183" s="4224"/>
      <c r="AQ183" s="4224">
        <v>849170</v>
      </c>
      <c r="AR183" s="4221">
        <v>0.28060000000000002</v>
      </c>
      <c r="AS183" s="4217">
        <v>1140319</v>
      </c>
      <c r="AT183" s="5216">
        <v>0</v>
      </c>
      <c r="AU183" s="5216">
        <v>0</v>
      </c>
      <c r="AV183" s="4220">
        <v>849170</v>
      </c>
      <c r="AW183" s="5243">
        <v>0</v>
      </c>
      <c r="AX183" s="4224"/>
      <c r="AY183" s="5217">
        <v>7073</v>
      </c>
      <c r="AZ183" s="4224"/>
      <c r="BA183" s="4224">
        <v>53573</v>
      </c>
      <c r="BB183" s="4224">
        <v>0</v>
      </c>
      <c r="BC183" s="5218"/>
      <c r="BD183" s="4217">
        <v>0</v>
      </c>
      <c r="BE183" s="4224">
        <v>845773</v>
      </c>
    </row>
    <row r="184" spans="1:57">
      <c r="A184" s="3810">
        <v>392</v>
      </c>
      <c r="B184" s="4210" t="s">
        <v>573</v>
      </c>
      <c r="C184" s="4211" t="s">
        <v>247</v>
      </c>
      <c r="D184" s="4212">
        <v>23621102</v>
      </c>
      <c r="E184" s="4213">
        <v>21477705</v>
      </c>
      <c r="F184" s="4224">
        <v>24693383</v>
      </c>
      <c r="G184" s="4224">
        <v>22390905</v>
      </c>
      <c r="H184" s="4214">
        <v>280.10000000000002</v>
      </c>
      <c r="I184" s="4215">
        <v>273.60000000000002</v>
      </c>
      <c r="J184" s="4216">
        <v>511</v>
      </c>
      <c r="K184" s="4217">
        <v>2787614</v>
      </c>
      <c r="L184" s="4225">
        <v>297</v>
      </c>
      <c r="M184" s="4225">
        <v>285.60000000000002</v>
      </c>
      <c r="N184" s="4225">
        <v>280.10000000000002</v>
      </c>
      <c r="O184" s="4225">
        <v>273.60000000000002</v>
      </c>
      <c r="P184" s="4218">
        <v>361926</v>
      </c>
      <c r="Q184" s="4218">
        <v>341892</v>
      </c>
      <c r="R184" s="4220">
        <v>232843</v>
      </c>
      <c r="S184" s="4220"/>
      <c r="T184" s="4219">
        <v>0</v>
      </c>
      <c r="U184" s="5214">
        <v>0</v>
      </c>
      <c r="V184" s="4222"/>
      <c r="W184" s="4224">
        <v>0</v>
      </c>
      <c r="X184" s="4217">
        <v>114</v>
      </c>
      <c r="Y184" s="4223">
        <v>49</v>
      </c>
      <c r="Z184" s="5215">
        <v>0.1</v>
      </c>
      <c r="AA184" s="5215">
        <v>0</v>
      </c>
      <c r="AB184" s="5205">
        <v>0.25890000000000002</v>
      </c>
      <c r="AC184" s="4224">
        <v>180830</v>
      </c>
      <c r="AD184" s="4224"/>
      <c r="AE184" s="4224">
        <v>188083</v>
      </c>
      <c r="AF184" s="4225">
        <v>297</v>
      </c>
      <c r="AG184" s="4225">
        <v>285.60000000000002</v>
      </c>
      <c r="AH184" s="4225">
        <v>0</v>
      </c>
      <c r="AI184" s="4225">
        <v>0</v>
      </c>
      <c r="AJ184" s="4225">
        <v>0</v>
      </c>
      <c r="AK184" s="4225">
        <v>0</v>
      </c>
      <c r="AL184" s="4225">
        <v>0</v>
      </c>
      <c r="AM184" s="4221">
        <v>0</v>
      </c>
      <c r="AN184" s="4226">
        <v>0</v>
      </c>
      <c r="AO184" s="4224"/>
      <c r="AP184" s="4224"/>
      <c r="AQ184" s="4224">
        <v>2070739</v>
      </c>
      <c r="AR184" s="4221">
        <v>0.3</v>
      </c>
      <c r="AS184" s="4217">
        <v>2818692</v>
      </c>
      <c r="AT184" s="5216">
        <v>0</v>
      </c>
      <c r="AU184" s="5216">
        <v>0</v>
      </c>
      <c r="AV184" s="4220">
        <v>2070739</v>
      </c>
      <c r="AW184" s="5243">
        <v>14410</v>
      </c>
      <c r="AX184" s="4224"/>
      <c r="AY184" s="5217">
        <v>232843</v>
      </c>
      <c r="AZ184" s="4224"/>
      <c r="BA184" s="4224">
        <v>143307</v>
      </c>
      <c r="BB184" s="4224">
        <v>0</v>
      </c>
      <c r="BC184" s="5218"/>
      <c r="BD184" s="4217">
        <v>0</v>
      </c>
      <c r="BE184" s="4224">
        <v>2062456</v>
      </c>
    </row>
    <row r="185" spans="1:57">
      <c r="A185" s="3810">
        <v>393</v>
      </c>
      <c r="B185" s="4210" t="s">
        <v>574</v>
      </c>
      <c r="C185" s="4211" t="s">
        <v>248</v>
      </c>
      <c r="D185" s="4212">
        <v>23032072</v>
      </c>
      <c r="E185" s="4213">
        <v>21233732</v>
      </c>
      <c r="F185" s="4224">
        <v>24991158</v>
      </c>
      <c r="G185" s="4224">
        <v>23186812</v>
      </c>
      <c r="H185" s="5198">
        <v>311</v>
      </c>
      <c r="I185" s="4215">
        <v>302.60000000000002</v>
      </c>
      <c r="J185" s="4216">
        <v>187.5</v>
      </c>
      <c r="K185" s="4217">
        <v>2977377</v>
      </c>
      <c r="L185" s="4225">
        <v>340.2</v>
      </c>
      <c r="M185" s="4225">
        <v>324.2</v>
      </c>
      <c r="N185" s="4225">
        <v>326</v>
      </c>
      <c r="O185" s="4225">
        <v>302.60000000000002</v>
      </c>
      <c r="P185" s="4218">
        <v>313846</v>
      </c>
      <c r="Q185" s="4218">
        <v>305434</v>
      </c>
      <c r="R185" s="4220">
        <v>300756</v>
      </c>
      <c r="S185" s="4220"/>
      <c r="T185" s="4219">
        <v>3195</v>
      </c>
      <c r="U185" s="5214">
        <v>7007</v>
      </c>
      <c r="V185" s="4222"/>
      <c r="W185" s="4224">
        <v>0</v>
      </c>
      <c r="X185" s="4217">
        <v>116</v>
      </c>
      <c r="Y185" s="4223">
        <v>42</v>
      </c>
      <c r="Z185" s="5215">
        <v>0.18</v>
      </c>
      <c r="AA185" s="5215">
        <v>0</v>
      </c>
      <c r="AB185" s="5205">
        <v>0.32650000000000001</v>
      </c>
      <c r="AC185" s="4224">
        <v>215875</v>
      </c>
      <c r="AD185" s="4224"/>
      <c r="AE185" s="4224">
        <v>227246</v>
      </c>
      <c r="AF185" s="4225">
        <v>340.2</v>
      </c>
      <c r="AG185" s="4225">
        <v>324.2</v>
      </c>
      <c r="AH185" s="4225">
        <v>15.8</v>
      </c>
      <c r="AI185" s="4225">
        <v>0</v>
      </c>
      <c r="AJ185" s="4225">
        <v>0</v>
      </c>
      <c r="AK185" s="4225">
        <v>0</v>
      </c>
      <c r="AL185" s="4225">
        <v>0</v>
      </c>
      <c r="AM185" s="4221">
        <v>0</v>
      </c>
      <c r="AN185" s="4226">
        <v>0</v>
      </c>
      <c r="AO185" s="4224"/>
      <c r="AP185" s="4224"/>
      <c r="AQ185" s="4224">
        <v>2248864</v>
      </c>
      <c r="AR185" s="4221">
        <v>0.3</v>
      </c>
      <c r="AS185" s="4217">
        <v>2917860</v>
      </c>
      <c r="AT185" s="5216">
        <v>0</v>
      </c>
      <c r="AU185" s="5216">
        <v>0</v>
      </c>
      <c r="AV185" s="4220">
        <v>2248864</v>
      </c>
      <c r="AW185" s="5243">
        <v>17486</v>
      </c>
      <c r="AX185" s="4224"/>
      <c r="AY185" s="5217">
        <v>300756</v>
      </c>
      <c r="AZ185" s="4224"/>
      <c r="BA185" s="4224">
        <v>175300</v>
      </c>
      <c r="BB185" s="4224">
        <v>11826</v>
      </c>
      <c r="BC185" s="5218"/>
      <c r="BD185" s="4217">
        <v>0</v>
      </c>
      <c r="BE185" s="4224">
        <v>2179250</v>
      </c>
    </row>
    <row r="186" spans="1:57">
      <c r="A186" s="3810">
        <v>394</v>
      </c>
      <c r="B186" s="4210" t="s">
        <v>575</v>
      </c>
      <c r="C186" s="4211" t="s">
        <v>177</v>
      </c>
      <c r="D186" s="4212">
        <v>62414938</v>
      </c>
      <c r="E186" s="4213">
        <v>55762033</v>
      </c>
      <c r="F186" s="4224">
        <v>65160554</v>
      </c>
      <c r="G186" s="4224">
        <v>58483805</v>
      </c>
      <c r="H186" s="4214">
        <v>1562.8</v>
      </c>
      <c r="I186" s="4215">
        <v>1520</v>
      </c>
      <c r="J186" s="4216">
        <v>55</v>
      </c>
      <c r="K186" s="4217">
        <v>12020085</v>
      </c>
      <c r="L186" s="4225">
        <v>1638.1</v>
      </c>
      <c r="M186" s="4225">
        <v>1612.4</v>
      </c>
      <c r="N186" s="4225">
        <v>1603.1</v>
      </c>
      <c r="O186" s="4225">
        <v>1589.5</v>
      </c>
      <c r="P186" s="4218">
        <v>1373917</v>
      </c>
      <c r="Q186" s="4218">
        <v>1323684</v>
      </c>
      <c r="R186" s="4220">
        <v>2025917</v>
      </c>
      <c r="S186" s="4220"/>
      <c r="T186" s="4219">
        <v>0</v>
      </c>
      <c r="U186" s="5214">
        <v>0</v>
      </c>
      <c r="V186" s="4222"/>
      <c r="W186" s="4224">
        <v>0</v>
      </c>
      <c r="X186" s="4217">
        <v>376</v>
      </c>
      <c r="Y186" s="4223">
        <v>145</v>
      </c>
      <c r="Z186" s="5215">
        <v>0.57999999999999996</v>
      </c>
      <c r="AA186" s="5215">
        <v>0.36</v>
      </c>
      <c r="AB186" s="5205">
        <v>0.66010000000000002</v>
      </c>
      <c r="AC186" s="4224">
        <v>780412</v>
      </c>
      <c r="AD186" s="4224"/>
      <c r="AE186" s="4224">
        <v>902104</v>
      </c>
      <c r="AF186" s="4225">
        <v>1624.1</v>
      </c>
      <c r="AG186" s="4225">
        <v>1583.7</v>
      </c>
      <c r="AH186" s="4225">
        <v>29.7</v>
      </c>
      <c r="AI186" s="4225">
        <v>0</v>
      </c>
      <c r="AJ186" s="4225">
        <v>0</v>
      </c>
      <c r="AK186" s="4225">
        <v>0</v>
      </c>
      <c r="AL186" s="4225">
        <v>0</v>
      </c>
      <c r="AM186" s="4221">
        <v>0</v>
      </c>
      <c r="AN186" s="4226">
        <v>0</v>
      </c>
      <c r="AO186" s="4224"/>
      <c r="AP186" s="4224"/>
      <c r="AQ186" s="4224">
        <v>7770890</v>
      </c>
      <c r="AR186" s="4221">
        <v>0.3</v>
      </c>
      <c r="AS186" s="4217">
        <v>10298690</v>
      </c>
      <c r="AT186" s="5216">
        <v>0</v>
      </c>
      <c r="AU186" s="5216">
        <v>0</v>
      </c>
      <c r="AV186" s="4220">
        <v>7770890</v>
      </c>
      <c r="AW186" s="5243">
        <v>194297</v>
      </c>
      <c r="AX186" s="4224"/>
      <c r="AY186" s="5217">
        <v>2025917</v>
      </c>
      <c r="AZ186" s="4224"/>
      <c r="BA186" s="4224">
        <v>690041</v>
      </c>
      <c r="BB186" s="4224">
        <v>194297</v>
      </c>
      <c r="BC186" s="5218"/>
      <c r="BD186" s="4217">
        <v>0</v>
      </c>
      <c r="BE186" s="4224">
        <v>7786111</v>
      </c>
    </row>
    <row r="187" spans="1:57">
      <c r="A187" s="3810">
        <v>395</v>
      </c>
      <c r="B187" s="4210" t="s">
        <v>577</v>
      </c>
      <c r="C187" s="4211" t="s">
        <v>249</v>
      </c>
      <c r="D187" s="4212">
        <v>27312601</v>
      </c>
      <c r="E187" s="4213">
        <v>24976295</v>
      </c>
      <c r="F187" s="4224">
        <v>26011454</v>
      </c>
      <c r="G187" s="4224">
        <v>23612089</v>
      </c>
      <c r="H187" s="4214">
        <v>291</v>
      </c>
      <c r="I187" s="4215">
        <v>282</v>
      </c>
      <c r="J187" s="4216">
        <v>486</v>
      </c>
      <c r="K187" s="4217">
        <v>2633429</v>
      </c>
      <c r="L187" s="4225">
        <v>277.5</v>
      </c>
      <c r="M187" s="4225">
        <v>272</v>
      </c>
      <c r="N187" s="4225">
        <v>291</v>
      </c>
      <c r="O187" s="4225">
        <v>282</v>
      </c>
      <c r="P187" s="4218">
        <v>241590</v>
      </c>
      <c r="Q187" s="4218">
        <v>250262</v>
      </c>
      <c r="R187" s="4220">
        <v>151732</v>
      </c>
      <c r="S187" s="4220"/>
      <c r="T187" s="4219">
        <v>0</v>
      </c>
      <c r="U187" s="5214">
        <v>0</v>
      </c>
      <c r="V187" s="4222"/>
      <c r="W187" s="4224">
        <v>0</v>
      </c>
      <c r="X187" s="4217">
        <v>108</v>
      </c>
      <c r="Y187" s="4223">
        <v>21</v>
      </c>
      <c r="Z187" s="5215">
        <v>0.06</v>
      </c>
      <c r="AA187" s="5215">
        <v>0</v>
      </c>
      <c r="AB187" s="5205">
        <v>0.2303</v>
      </c>
      <c r="AC187" s="4224">
        <v>208340</v>
      </c>
      <c r="AD187" s="4224"/>
      <c r="AE187" s="4224">
        <v>230603</v>
      </c>
      <c r="AF187" s="4225">
        <v>277.5</v>
      </c>
      <c r="AG187" s="4225">
        <v>272</v>
      </c>
      <c r="AH187" s="4225">
        <v>0</v>
      </c>
      <c r="AI187" s="4225">
        <v>0</v>
      </c>
      <c r="AJ187" s="4225">
        <v>0</v>
      </c>
      <c r="AK187" s="4225">
        <v>0</v>
      </c>
      <c r="AL187" s="4225">
        <v>0</v>
      </c>
      <c r="AM187" s="4221">
        <v>0</v>
      </c>
      <c r="AN187" s="4226">
        <v>0</v>
      </c>
      <c r="AO187" s="4224"/>
      <c r="AP187" s="4224"/>
      <c r="AQ187" s="4224">
        <v>2075017</v>
      </c>
      <c r="AR187" s="4221">
        <v>0.3</v>
      </c>
      <c r="AS187" s="4217">
        <v>2796806</v>
      </c>
      <c r="AT187" s="5216">
        <v>0</v>
      </c>
      <c r="AU187" s="5216">
        <v>0</v>
      </c>
      <c r="AV187" s="4220">
        <v>2075017</v>
      </c>
      <c r="AW187" s="5243">
        <v>1479</v>
      </c>
      <c r="AX187" s="4224"/>
      <c r="AY187" s="5217">
        <v>136560</v>
      </c>
      <c r="AZ187" s="4224"/>
      <c r="BA187" s="4224">
        <v>177517</v>
      </c>
      <c r="BB187" s="4224">
        <v>0</v>
      </c>
      <c r="BC187" s="5218"/>
      <c r="BD187" s="4217">
        <v>0</v>
      </c>
      <c r="BE187" s="4224">
        <v>2066717</v>
      </c>
    </row>
    <row r="188" spans="1:57">
      <c r="A188" s="3810">
        <v>396</v>
      </c>
      <c r="B188" s="4210" t="s">
        <v>578</v>
      </c>
      <c r="C188" s="4211" t="s">
        <v>177</v>
      </c>
      <c r="D188" s="4212">
        <v>25756254</v>
      </c>
      <c r="E188" s="4213">
        <v>22659804</v>
      </c>
      <c r="F188" s="4224">
        <v>27831025</v>
      </c>
      <c r="G188" s="4224">
        <v>24748530</v>
      </c>
      <c r="H188" s="4214">
        <v>654.20000000000005</v>
      </c>
      <c r="I188" s="4215">
        <v>649.1</v>
      </c>
      <c r="J188" s="4216">
        <v>125</v>
      </c>
      <c r="K188" s="4217">
        <v>6354919</v>
      </c>
      <c r="L188" s="4225">
        <v>711.8</v>
      </c>
      <c r="M188" s="4225">
        <v>688.3</v>
      </c>
      <c r="N188" s="4225">
        <v>684</v>
      </c>
      <c r="O188" s="4225">
        <v>684.8</v>
      </c>
      <c r="P188" s="4218">
        <v>681547</v>
      </c>
      <c r="Q188" s="4218">
        <v>688565</v>
      </c>
      <c r="R188" s="4220">
        <v>1102834</v>
      </c>
      <c r="S188" s="4220"/>
      <c r="T188" s="4219">
        <v>5202</v>
      </c>
      <c r="U188" s="5214">
        <v>3586</v>
      </c>
      <c r="V188" s="4222"/>
      <c r="W188" s="4224">
        <v>0</v>
      </c>
      <c r="X188" s="4217">
        <v>212</v>
      </c>
      <c r="Y188" s="4223">
        <v>81</v>
      </c>
      <c r="Z188" s="5215">
        <v>0.57999999999999996</v>
      </c>
      <c r="AA188" s="5215">
        <v>0.36</v>
      </c>
      <c r="AB188" s="5205">
        <v>0.66490000000000005</v>
      </c>
      <c r="AC188" s="4224">
        <v>393688</v>
      </c>
      <c r="AD188" s="4224"/>
      <c r="AE188" s="4224">
        <v>437910</v>
      </c>
      <c r="AF188" s="4225">
        <v>683.8</v>
      </c>
      <c r="AG188" s="4225">
        <v>664.3</v>
      </c>
      <c r="AH188" s="4225">
        <v>27.6</v>
      </c>
      <c r="AI188" s="4225">
        <v>0</v>
      </c>
      <c r="AJ188" s="4225">
        <v>0</v>
      </c>
      <c r="AK188" s="4225">
        <v>0</v>
      </c>
      <c r="AL188" s="4225">
        <v>0</v>
      </c>
      <c r="AM188" s="4221">
        <v>0</v>
      </c>
      <c r="AN188" s="4226">
        <v>0</v>
      </c>
      <c r="AO188" s="4224"/>
      <c r="AP188" s="4224"/>
      <c r="AQ188" s="4224">
        <v>4217186</v>
      </c>
      <c r="AR188" s="4221">
        <v>0.3</v>
      </c>
      <c r="AS188" s="4217">
        <v>5538225</v>
      </c>
      <c r="AT188" s="5216">
        <v>0</v>
      </c>
      <c r="AU188" s="5216">
        <v>0</v>
      </c>
      <c r="AV188" s="4220">
        <v>4217186</v>
      </c>
      <c r="AW188" s="5243">
        <v>79368</v>
      </c>
      <c r="AX188" s="4224"/>
      <c r="AY188" s="5217">
        <v>1102834</v>
      </c>
      <c r="AZ188" s="4224"/>
      <c r="BA188" s="4224">
        <v>333554</v>
      </c>
      <c r="BB188" s="4224">
        <v>79368</v>
      </c>
      <c r="BC188" s="5218"/>
      <c r="BD188" s="4217">
        <v>0</v>
      </c>
      <c r="BE188" s="4224">
        <v>4148253</v>
      </c>
    </row>
    <row r="189" spans="1:57">
      <c r="A189" s="3810">
        <v>397</v>
      </c>
      <c r="B189" s="4210" t="s">
        <v>579</v>
      </c>
      <c r="C189" s="4211" t="s">
        <v>250</v>
      </c>
      <c r="D189" s="4212">
        <v>22927599</v>
      </c>
      <c r="E189" s="4213">
        <v>21466164</v>
      </c>
      <c r="F189" s="4224">
        <v>24491085</v>
      </c>
      <c r="G189" s="4224">
        <v>23033158</v>
      </c>
      <c r="H189" s="4214">
        <v>213.5</v>
      </c>
      <c r="I189" s="4215">
        <v>209.5</v>
      </c>
      <c r="J189" s="4216">
        <v>400</v>
      </c>
      <c r="K189" s="4217">
        <v>3190581</v>
      </c>
      <c r="L189" s="4225">
        <v>315.39999999999998</v>
      </c>
      <c r="M189" s="4225">
        <v>391.1</v>
      </c>
      <c r="N189" s="4225">
        <v>482.8</v>
      </c>
      <c r="O189" s="4225">
        <v>475.7</v>
      </c>
      <c r="P189" s="4218">
        <v>416630</v>
      </c>
      <c r="Q189" s="4218">
        <v>435185</v>
      </c>
      <c r="R189" s="4220">
        <v>364370</v>
      </c>
      <c r="S189" s="4220"/>
      <c r="T189" s="4219">
        <v>3093</v>
      </c>
      <c r="U189" s="5214">
        <v>2093</v>
      </c>
      <c r="V189" s="4222"/>
      <c r="W189" s="4224">
        <v>0</v>
      </c>
      <c r="X189" s="4217">
        <v>65</v>
      </c>
      <c r="Y189" s="4223">
        <v>56</v>
      </c>
      <c r="Z189" s="5215">
        <v>0.47</v>
      </c>
      <c r="AA189" s="5215">
        <v>0.26</v>
      </c>
      <c r="AB189" s="5205">
        <v>0.57410000000000005</v>
      </c>
      <c r="AC189" s="4224">
        <v>148148</v>
      </c>
      <c r="AD189" s="4224"/>
      <c r="AE189" s="4224">
        <v>165838</v>
      </c>
      <c r="AF189" s="4225">
        <v>230.5</v>
      </c>
      <c r="AG189" s="4225">
        <v>226.3</v>
      </c>
      <c r="AH189" s="4225">
        <v>282.8</v>
      </c>
      <c r="AI189" s="4225">
        <v>0</v>
      </c>
      <c r="AJ189" s="4225">
        <v>0</v>
      </c>
      <c r="AK189" s="4225">
        <v>0</v>
      </c>
      <c r="AL189" s="4225">
        <v>0</v>
      </c>
      <c r="AM189" s="4221">
        <v>0</v>
      </c>
      <c r="AN189" s="4226">
        <v>0</v>
      </c>
      <c r="AO189" s="4224"/>
      <c r="AP189" s="4224"/>
      <c r="AQ189" s="4224">
        <v>2916428</v>
      </c>
      <c r="AR189" s="4221">
        <v>0.3</v>
      </c>
      <c r="AS189" s="4217">
        <v>2547135</v>
      </c>
      <c r="AT189" s="5216">
        <v>0</v>
      </c>
      <c r="AU189" s="5216">
        <v>0</v>
      </c>
      <c r="AV189" s="4220">
        <v>2916428</v>
      </c>
      <c r="AW189" s="5243">
        <v>22682</v>
      </c>
      <c r="AX189" s="4224"/>
      <c r="AY189" s="5217">
        <v>364370</v>
      </c>
      <c r="AZ189" s="4224"/>
      <c r="BA189" s="4224">
        <v>125768</v>
      </c>
      <c r="BB189" s="4224">
        <v>22682</v>
      </c>
      <c r="BC189" s="5218"/>
      <c r="BD189" s="4217">
        <v>0</v>
      </c>
      <c r="BE189" s="4224">
        <v>2242559</v>
      </c>
    </row>
    <row r="190" spans="1:57">
      <c r="A190" s="3810">
        <v>398</v>
      </c>
      <c r="B190" s="4210" t="s">
        <v>580</v>
      </c>
      <c r="C190" s="4211" t="s">
        <v>250</v>
      </c>
      <c r="D190" s="4212">
        <v>27265218</v>
      </c>
      <c r="E190" s="4213">
        <v>25104086</v>
      </c>
      <c r="F190" s="4224">
        <v>24527892</v>
      </c>
      <c r="G190" s="4224">
        <v>22369812</v>
      </c>
      <c r="H190" s="4214">
        <v>246.5</v>
      </c>
      <c r="I190" s="4215">
        <v>239</v>
      </c>
      <c r="J190" s="4216">
        <v>235</v>
      </c>
      <c r="K190" s="4217">
        <v>2634049</v>
      </c>
      <c r="L190" s="4225">
        <v>277.10000000000002</v>
      </c>
      <c r="M190" s="4225">
        <v>259.5</v>
      </c>
      <c r="N190" s="4225">
        <v>254</v>
      </c>
      <c r="O190" s="4225">
        <v>245.5</v>
      </c>
      <c r="P190" s="4218">
        <v>383205</v>
      </c>
      <c r="Q190" s="4218">
        <v>359832</v>
      </c>
      <c r="R190" s="4220">
        <v>139746</v>
      </c>
      <c r="S190" s="4220"/>
      <c r="T190" s="4219">
        <v>5405</v>
      </c>
      <c r="U190" s="5214">
        <v>0</v>
      </c>
      <c r="V190" s="4222"/>
      <c r="W190" s="4224">
        <v>0</v>
      </c>
      <c r="X190" s="4217">
        <v>105</v>
      </c>
      <c r="Y190" s="4223">
        <v>42</v>
      </c>
      <c r="Z190" s="5215">
        <v>0</v>
      </c>
      <c r="AA190" s="5215">
        <v>0</v>
      </c>
      <c r="AB190" s="5205">
        <v>0.1759</v>
      </c>
      <c r="AC190" s="4224">
        <v>189475</v>
      </c>
      <c r="AD190" s="4224"/>
      <c r="AE190" s="4224">
        <v>201237</v>
      </c>
      <c r="AF190" s="4225">
        <v>271.10000000000002</v>
      </c>
      <c r="AG190" s="4225">
        <v>255.5</v>
      </c>
      <c r="AH190" s="4225">
        <v>1.1000000000000001</v>
      </c>
      <c r="AI190" s="4225">
        <v>0</v>
      </c>
      <c r="AJ190" s="4225">
        <v>0</v>
      </c>
      <c r="AK190" s="4225">
        <v>0</v>
      </c>
      <c r="AL190" s="4225">
        <v>0</v>
      </c>
      <c r="AM190" s="4221">
        <v>0</v>
      </c>
      <c r="AN190" s="4226">
        <v>0</v>
      </c>
      <c r="AO190" s="4224"/>
      <c r="AP190" s="4224"/>
      <c r="AQ190" s="4224">
        <v>1990028</v>
      </c>
      <c r="AR190" s="4221">
        <v>0.3</v>
      </c>
      <c r="AS190" s="4217">
        <v>2746780</v>
      </c>
      <c r="AT190" s="5216">
        <v>0</v>
      </c>
      <c r="AU190" s="5216">
        <v>0</v>
      </c>
      <c r="AV190" s="4220">
        <v>1990028</v>
      </c>
      <c r="AW190" s="5243">
        <v>0</v>
      </c>
      <c r="AX190" s="4224"/>
      <c r="AY190" s="5217">
        <v>124179</v>
      </c>
      <c r="AZ190" s="4224"/>
      <c r="BA190" s="4224">
        <v>152619</v>
      </c>
      <c r="BB190" s="4224">
        <v>0</v>
      </c>
      <c r="BC190" s="5218"/>
      <c r="BD190" s="4217">
        <v>0</v>
      </c>
      <c r="BE190" s="4224">
        <v>1992848</v>
      </c>
    </row>
    <row r="191" spans="1:57">
      <c r="A191" s="3810">
        <v>399</v>
      </c>
      <c r="B191" s="4210" t="s">
        <v>581</v>
      </c>
      <c r="C191" s="4211" t="s">
        <v>251</v>
      </c>
      <c r="D191" s="4212">
        <v>33023321</v>
      </c>
      <c r="E191" s="4213">
        <v>32290166</v>
      </c>
      <c r="F191" s="4224">
        <v>22708284</v>
      </c>
      <c r="G191" s="4224">
        <v>21913661</v>
      </c>
      <c r="H191" s="4214">
        <v>116.8</v>
      </c>
      <c r="I191" s="4215">
        <v>109.7</v>
      </c>
      <c r="J191" s="4216">
        <v>439</v>
      </c>
      <c r="K191" s="4217">
        <v>1346490</v>
      </c>
      <c r="L191" s="4225">
        <v>143</v>
      </c>
      <c r="M191" s="4225">
        <v>129.6</v>
      </c>
      <c r="N191" s="4225">
        <v>117.8</v>
      </c>
      <c r="O191" s="4225">
        <v>113.2</v>
      </c>
      <c r="P191" s="4218">
        <v>145647</v>
      </c>
      <c r="Q191" s="4218">
        <v>138660</v>
      </c>
      <c r="R191" s="4220">
        <v>0</v>
      </c>
      <c r="S191" s="4220"/>
      <c r="T191" s="4219">
        <v>0</v>
      </c>
      <c r="U191" s="5214">
        <v>0</v>
      </c>
      <c r="V191" s="4222"/>
      <c r="W191" s="4224">
        <v>0</v>
      </c>
      <c r="X191" s="4217">
        <v>51</v>
      </c>
      <c r="Y191" s="4223">
        <v>11</v>
      </c>
      <c r="Z191" s="5215">
        <v>0</v>
      </c>
      <c r="AA191" s="5215">
        <v>0</v>
      </c>
      <c r="AB191" s="5205">
        <v>0</v>
      </c>
      <c r="AC191" s="4224">
        <v>115231</v>
      </c>
      <c r="AD191" s="4224"/>
      <c r="AE191" s="4224">
        <v>130191</v>
      </c>
      <c r="AF191" s="4225">
        <v>139.5</v>
      </c>
      <c r="AG191" s="4225">
        <v>127.1</v>
      </c>
      <c r="AH191" s="4225">
        <v>0</v>
      </c>
      <c r="AI191" s="4225">
        <v>0</v>
      </c>
      <c r="AJ191" s="4225">
        <v>0</v>
      </c>
      <c r="AK191" s="4225">
        <v>0</v>
      </c>
      <c r="AL191" s="4225">
        <v>0</v>
      </c>
      <c r="AM191" s="4221">
        <v>0</v>
      </c>
      <c r="AN191" s="4226">
        <v>0</v>
      </c>
      <c r="AO191" s="4224"/>
      <c r="AP191" s="4224"/>
      <c r="AQ191" s="4224">
        <v>1101749</v>
      </c>
      <c r="AR191" s="4221">
        <v>0.3</v>
      </c>
      <c r="AS191" s="4217">
        <v>1488242</v>
      </c>
      <c r="AT191" s="5216">
        <v>0</v>
      </c>
      <c r="AU191" s="5216">
        <v>0</v>
      </c>
      <c r="AV191" s="4220">
        <v>1101749</v>
      </c>
      <c r="AW191" s="5243">
        <v>0</v>
      </c>
      <c r="AX191" s="4224"/>
      <c r="AY191" s="5217">
        <v>0</v>
      </c>
      <c r="AZ191" s="4224"/>
      <c r="BA191" s="4224">
        <v>100572</v>
      </c>
      <c r="BB191" s="4224">
        <v>0</v>
      </c>
      <c r="BC191" s="5218"/>
      <c r="BD191" s="4217">
        <v>0</v>
      </c>
      <c r="BE191" s="4224">
        <v>1097342</v>
      </c>
    </row>
    <row r="192" spans="1:57">
      <c r="A192" s="3810">
        <v>400</v>
      </c>
      <c r="B192" s="4210" t="s">
        <v>582</v>
      </c>
      <c r="C192" s="4211" t="s">
        <v>252</v>
      </c>
      <c r="D192" s="4212">
        <v>60800349</v>
      </c>
      <c r="E192" s="4213">
        <v>54879328</v>
      </c>
      <c r="F192" s="4224">
        <v>67976092</v>
      </c>
      <c r="G192" s="4224">
        <v>62024937</v>
      </c>
      <c r="H192" s="4214">
        <v>823.1</v>
      </c>
      <c r="I192" s="4215">
        <v>836.1</v>
      </c>
      <c r="J192" s="4216">
        <v>395.5</v>
      </c>
      <c r="K192" s="4217">
        <v>8327623</v>
      </c>
      <c r="L192" s="4225">
        <v>942.1</v>
      </c>
      <c r="M192" s="4225">
        <v>950.8</v>
      </c>
      <c r="N192" s="4225">
        <v>916.3</v>
      </c>
      <c r="O192" s="4225">
        <v>1024.0999999999999</v>
      </c>
      <c r="P192" s="4218">
        <v>1091145</v>
      </c>
      <c r="Q192" s="4218">
        <v>1027321</v>
      </c>
      <c r="R192" s="4220">
        <v>986531</v>
      </c>
      <c r="S192" s="4220"/>
      <c r="T192" s="4219">
        <v>10796</v>
      </c>
      <c r="U192" s="5214">
        <v>9365</v>
      </c>
      <c r="V192" s="4222"/>
      <c r="W192" s="4224">
        <v>0</v>
      </c>
      <c r="X192" s="4217">
        <v>235</v>
      </c>
      <c r="Y192" s="4223">
        <v>114</v>
      </c>
      <c r="Z192" s="5215">
        <v>0.32</v>
      </c>
      <c r="AA192" s="5215">
        <v>0.1</v>
      </c>
      <c r="AB192" s="5205">
        <v>0.4461</v>
      </c>
      <c r="AC192" s="4224">
        <v>480775</v>
      </c>
      <c r="AD192" s="4224"/>
      <c r="AE192" s="4224">
        <v>542236</v>
      </c>
      <c r="AF192" s="4225">
        <v>861.7</v>
      </c>
      <c r="AG192" s="4225">
        <v>857.2</v>
      </c>
      <c r="AH192" s="4225">
        <v>86.3</v>
      </c>
      <c r="AI192" s="4225">
        <v>0</v>
      </c>
      <c r="AJ192" s="4225">
        <v>0</v>
      </c>
      <c r="AK192" s="4225">
        <v>0</v>
      </c>
      <c r="AL192" s="4225">
        <v>0</v>
      </c>
      <c r="AM192" s="4221">
        <v>0</v>
      </c>
      <c r="AN192" s="4226">
        <v>0</v>
      </c>
      <c r="AO192" s="4224"/>
      <c r="AP192" s="4224"/>
      <c r="AQ192" s="4224">
        <v>5458024</v>
      </c>
      <c r="AR192" s="4221">
        <v>0.31</v>
      </c>
      <c r="AS192" s="4217">
        <v>7065539</v>
      </c>
      <c r="AT192" s="5216">
        <v>0</v>
      </c>
      <c r="AU192" s="5216">
        <v>0</v>
      </c>
      <c r="AV192" s="4220">
        <v>5458024</v>
      </c>
      <c r="AW192" s="5243">
        <v>75476</v>
      </c>
      <c r="AX192" s="4224"/>
      <c r="AY192" s="5217">
        <v>986531</v>
      </c>
      <c r="AZ192" s="4224"/>
      <c r="BA192" s="4224">
        <v>410420</v>
      </c>
      <c r="BB192" s="4224">
        <v>63201</v>
      </c>
      <c r="BC192" s="5218"/>
      <c r="BD192" s="4217">
        <v>0</v>
      </c>
      <c r="BE192" s="4224">
        <v>5840106</v>
      </c>
    </row>
    <row r="193" spans="1:57">
      <c r="A193" s="3810">
        <v>401</v>
      </c>
      <c r="B193" s="4210" t="s">
        <v>583</v>
      </c>
      <c r="C193" s="4211" t="s">
        <v>238</v>
      </c>
      <c r="D193" s="4212">
        <v>27569133</v>
      </c>
      <c r="E193" s="4213">
        <v>26829357</v>
      </c>
      <c r="F193" s="4224">
        <v>21153757</v>
      </c>
      <c r="G193" s="4224">
        <v>20417435</v>
      </c>
      <c r="H193" s="4214">
        <v>160.5</v>
      </c>
      <c r="I193" s="4215">
        <v>159</v>
      </c>
      <c r="J193" s="4216">
        <v>196</v>
      </c>
      <c r="K193" s="4217">
        <v>1770593</v>
      </c>
      <c r="L193" s="4225">
        <v>149</v>
      </c>
      <c r="M193" s="4225">
        <v>162</v>
      </c>
      <c r="N193" s="4225">
        <v>164.5</v>
      </c>
      <c r="O193" s="4225">
        <v>163</v>
      </c>
      <c r="P193" s="4218">
        <v>191243</v>
      </c>
      <c r="Q193" s="4218">
        <v>202986</v>
      </c>
      <c r="R193" s="4220">
        <v>0</v>
      </c>
      <c r="S193" s="4220"/>
      <c r="T193" s="4219">
        <v>0</v>
      </c>
      <c r="U193" s="5214">
        <v>0</v>
      </c>
      <c r="V193" s="4222"/>
      <c r="W193" s="4224">
        <v>0</v>
      </c>
      <c r="X193" s="4217">
        <v>112</v>
      </c>
      <c r="Y193" s="4223">
        <v>18</v>
      </c>
      <c r="Z193" s="5215">
        <v>0</v>
      </c>
      <c r="AA193" s="5215">
        <v>0</v>
      </c>
      <c r="AB193" s="5205">
        <v>0</v>
      </c>
      <c r="AC193" s="4224">
        <v>119036</v>
      </c>
      <c r="AD193" s="4224"/>
      <c r="AE193" s="4224">
        <v>136141</v>
      </c>
      <c r="AF193" s="4225">
        <v>146</v>
      </c>
      <c r="AG193" s="4225">
        <v>158</v>
      </c>
      <c r="AH193" s="4225">
        <v>0</v>
      </c>
      <c r="AI193" s="4225">
        <v>0</v>
      </c>
      <c r="AJ193" s="4225">
        <v>0</v>
      </c>
      <c r="AK193" s="4225">
        <v>0</v>
      </c>
      <c r="AL193" s="4225">
        <v>0</v>
      </c>
      <c r="AM193" s="4221">
        <v>0</v>
      </c>
      <c r="AN193" s="4226">
        <v>0</v>
      </c>
      <c r="AO193" s="4224"/>
      <c r="AP193" s="4224"/>
      <c r="AQ193" s="4224">
        <v>1464364</v>
      </c>
      <c r="AR193" s="4221">
        <v>0.3</v>
      </c>
      <c r="AS193" s="4217">
        <v>1930220</v>
      </c>
      <c r="AT193" s="5216">
        <v>0</v>
      </c>
      <c r="AU193" s="5216">
        <v>0</v>
      </c>
      <c r="AV193" s="4220">
        <v>1464364</v>
      </c>
      <c r="AW193" s="5243">
        <v>0</v>
      </c>
      <c r="AX193" s="4224"/>
      <c r="AY193" s="5217">
        <v>0</v>
      </c>
      <c r="AZ193" s="4224"/>
      <c r="BA193" s="4224">
        <v>105279</v>
      </c>
      <c r="BB193" s="4224">
        <v>0</v>
      </c>
      <c r="BC193" s="5218"/>
      <c r="BD193" s="4217">
        <v>0</v>
      </c>
      <c r="BE193" s="4224">
        <v>1458507</v>
      </c>
    </row>
    <row r="194" spans="1:57">
      <c r="A194" s="3810">
        <v>402</v>
      </c>
      <c r="B194" s="4210" t="s">
        <v>584</v>
      </c>
      <c r="C194" s="4211" t="s">
        <v>177</v>
      </c>
      <c r="D194" s="4212">
        <v>82865033</v>
      </c>
      <c r="E194" s="4213">
        <v>72867000</v>
      </c>
      <c r="F194" s="4224">
        <v>85864430</v>
      </c>
      <c r="G194" s="4224">
        <v>75887270</v>
      </c>
      <c r="H194" s="4214">
        <v>2158.6999999999998</v>
      </c>
      <c r="I194" s="4215">
        <v>2077.6999999999998</v>
      </c>
      <c r="J194" s="4216">
        <v>69.5</v>
      </c>
      <c r="K194" s="4217">
        <v>16042723</v>
      </c>
      <c r="L194" s="4225">
        <v>2146.8000000000002</v>
      </c>
      <c r="M194" s="4225">
        <v>2174.6999999999998</v>
      </c>
      <c r="N194" s="4225">
        <v>2173.6999999999998</v>
      </c>
      <c r="O194" s="4225">
        <v>2113.9</v>
      </c>
      <c r="P194" s="4218">
        <v>1659965</v>
      </c>
      <c r="Q194" s="4218">
        <v>1665619</v>
      </c>
      <c r="R194" s="4220">
        <v>2828686</v>
      </c>
      <c r="S194" s="4220"/>
      <c r="T194" s="4219">
        <v>4515</v>
      </c>
      <c r="U194" s="5214">
        <v>8253</v>
      </c>
      <c r="V194" s="4222"/>
      <c r="W194" s="4224">
        <v>0</v>
      </c>
      <c r="X194" s="4217">
        <v>771</v>
      </c>
      <c r="Y194" s="4223">
        <v>182</v>
      </c>
      <c r="Z194" s="5215">
        <v>0.57999999999999996</v>
      </c>
      <c r="AA194" s="5215">
        <v>0.37</v>
      </c>
      <c r="AB194" s="5205">
        <v>0.66610000000000003</v>
      </c>
      <c r="AC194" s="4224">
        <v>994314</v>
      </c>
      <c r="AD194" s="4224"/>
      <c r="AE194" s="4224">
        <v>1181323</v>
      </c>
      <c r="AF194" s="4225">
        <v>2131.8000000000002</v>
      </c>
      <c r="AG194" s="4225">
        <v>2160.1999999999998</v>
      </c>
      <c r="AH194" s="4225">
        <v>0</v>
      </c>
      <c r="AI194" s="4225">
        <v>0</v>
      </c>
      <c r="AJ194" s="4225">
        <v>0</v>
      </c>
      <c r="AK194" s="4225">
        <v>0</v>
      </c>
      <c r="AL194" s="4225">
        <v>78.8</v>
      </c>
      <c r="AM194" s="4221">
        <v>0</v>
      </c>
      <c r="AN194" s="4226">
        <v>0</v>
      </c>
      <c r="AO194" s="4224"/>
      <c r="AP194" s="4224"/>
      <c r="AQ194" s="4224">
        <v>10768777</v>
      </c>
      <c r="AR194" s="4221">
        <v>0.3</v>
      </c>
      <c r="AS194" s="4217">
        <v>14217597</v>
      </c>
      <c r="AT194" s="5216">
        <v>0</v>
      </c>
      <c r="AU194" s="5216">
        <v>0</v>
      </c>
      <c r="AV194" s="4220">
        <v>10768777</v>
      </c>
      <c r="AW194" s="5243">
        <v>191825</v>
      </c>
      <c r="AX194" s="4224"/>
      <c r="AY194" s="5217">
        <v>2828686</v>
      </c>
      <c r="AZ194" s="4224"/>
      <c r="BA194" s="4224">
        <v>903675</v>
      </c>
      <c r="BB194" s="4224">
        <v>191825</v>
      </c>
      <c r="BC194" s="5218"/>
      <c r="BD194" s="4217">
        <v>0</v>
      </c>
      <c r="BE194" s="4224">
        <v>10450982</v>
      </c>
    </row>
    <row r="195" spans="1:57">
      <c r="A195" s="3810">
        <v>403</v>
      </c>
      <c r="B195" s="4210" t="s">
        <v>585</v>
      </c>
      <c r="C195" s="4211" t="s">
        <v>249</v>
      </c>
      <c r="D195" s="4212">
        <v>29329045</v>
      </c>
      <c r="E195" s="4213">
        <v>27864351</v>
      </c>
      <c r="F195" s="4224">
        <v>25378961</v>
      </c>
      <c r="G195" s="4224">
        <v>23878078</v>
      </c>
      <c r="H195" s="4214">
        <v>222.9</v>
      </c>
      <c r="I195" s="4215">
        <v>214.3</v>
      </c>
      <c r="J195" s="4216">
        <v>339.5</v>
      </c>
      <c r="K195" s="4217">
        <v>2227756</v>
      </c>
      <c r="L195" s="4225">
        <v>187.5</v>
      </c>
      <c r="M195" s="4225">
        <v>217.7</v>
      </c>
      <c r="N195" s="4225">
        <v>230.5</v>
      </c>
      <c r="O195" s="4225">
        <v>220</v>
      </c>
      <c r="P195" s="4218">
        <v>279301</v>
      </c>
      <c r="Q195" s="4218">
        <v>300980</v>
      </c>
      <c r="R195" s="4220">
        <v>0</v>
      </c>
      <c r="S195" s="4220"/>
      <c r="T195" s="4219">
        <v>0</v>
      </c>
      <c r="U195" s="5214">
        <v>0</v>
      </c>
      <c r="V195" s="4222"/>
      <c r="W195" s="4224">
        <v>0</v>
      </c>
      <c r="X195" s="4217">
        <v>93</v>
      </c>
      <c r="Y195" s="4223">
        <v>21</v>
      </c>
      <c r="Z195" s="5215">
        <v>0</v>
      </c>
      <c r="AA195" s="5215">
        <v>0</v>
      </c>
      <c r="AB195" s="5205">
        <v>3.7400000000000003E-2</v>
      </c>
      <c r="AC195" s="4224">
        <v>155047</v>
      </c>
      <c r="AD195" s="4224"/>
      <c r="AE195" s="4224">
        <v>177773</v>
      </c>
      <c r="AF195" s="4225">
        <v>187.5</v>
      </c>
      <c r="AG195" s="4225">
        <v>205.5</v>
      </c>
      <c r="AH195" s="4225">
        <v>8</v>
      </c>
      <c r="AI195" s="4225">
        <v>0</v>
      </c>
      <c r="AJ195" s="4225">
        <v>0</v>
      </c>
      <c r="AK195" s="4225">
        <v>0</v>
      </c>
      <c r="AL195" s="4225">
        <v>0</v>
      </c>
      <c r="AM195" s="4221">
        <v>0</v>
      </c>
      <c r="AN195" s="4226">
        <v>0</v>
      </c>
      <c r="AO195" s="4224"/>
      <c r="AP195" s="4224"/>
      <c r="AQ195" s="4224">
        <v>1799947</v>
      </c>
      <c r="AR195" s="4221">
        <v>0.29349999999999998</v>
      </c>
      <c r="AS195" s="4217">
        <v>2355477</v>
      </c>
      <c r="AT195" s="5216">
        <v>0</v>
      </c>
      <c r="AU195" s="5216">
        <v>0</v>
      </c>
      <c r="AV195" s="4220">
        <v>1799947</v>
      </c>
      <c r="AW195" s="5243">
        <v>0</v>
      </c>
      <c r="AX195" s="4224"/>
      <c r="AY195" s="5217">
        <v>0</v>
      </c>
      <c r="AZ195" s="4224"/>
      <c r="BA195" s="4224">
        <v>135452</v>
      </c>
      <c r="BB195" s="4224">
        <v>0</v>
      </c>
      <c r="BC195" s="5218"/>
      <c r="BD195" s="4217">
        <v>0</v>
      </c>
      <c r="BE195" s="4224">
        <v>1789886</v>
      </c>
    </row>
    <row r="196" spans="1:57">
      <c r="A196" s="3810">
        <v>404</v>
      </c>
      <c r="B196" s="4210" t="s">
        <v>586</v>
      </c>
      <c r="C196" s="4211" t="s">
        <v>253</v>
      </c>
      <c r="D196" s="4212">
        <v>35641956</v>
      </c>
      <c r="E196" s="4213">
        <v>32177871</v>
      </c>
      <c r="F196" s="4224">
        <v>35173674</v>
      </c>
      <c r="G196" s="4224">
        <v>31752644</v>
      </c>
      <c r="H196" s="4214">
        <v>726.4</v>
      </c>
      <c r="I196" s="4215">
        <v>705</v>
      </c>
      <c r="J196" s="4216">
        <v>60</v>
      </c>
      <c r="K196" s="4217">
        <v>6944197</v>
      </c>
      <c r="L196" s="4225">
        <v>752</v>
      </c>
      <c r="M196" s="4225">
        <v>732.7</v>
      </c>
      <c r="N196" s="4225">
        <v>730.9</v>
      </c>
      <c r="O196" s="4225">
        <v>713.5</v>
      </c>
      <c r="P196" s="4218">
        <v>641988</v>
      </c>
      <c r="Q196" s="4218">
        <v>671522</v>
      </c>
      <c r="R196" s="4220">
        <v>1026501</v>
      </c>
      <c r="S196" s="4220"/>
      <c r="T196" s="4219">
        <v>4495</v>
      </c>
      <c r="U196" s="5214">
        <v>4059</v>
      </c>
      <c r="V196" s="4222"/>
      <c r="W196" s="4224">
        <v>0</v>
      </c>
      <c r="X196" s="4217">
        <v>308</v>
      </c>
      <c r="Y196" s="4223">
        <v>125</v>
      </c>
      <c r="Z196" s="5215">
        <v>0.49</v>
      </c>
      <c r="AA196" s="5215">
        <v>0.27</v>
      </c>
      <c r="AB196" s="5205">
        <v>0.58860000000000001</v>
      </c>
      <c r="AC196" s="4224">
        <v>492862</v>
      </c>
      <c r="AD196" s="4224"/>
      <c r="AE196" s="4224">
        <v>531785</v>
      </c>
      <c r="AF196" s="4225">
        <v>745</v>
      </c>
      <c r="AG196" s="4225">
        <v>725.7</v>
      </c>
      <c r="AH196" s="4225">
        <v>0</v>
      </c>
      <c r="AI196" s="4225">
        <v>0</v>
      </c>
      <c r="AJ196" s="4225">
        <v>0</v>
      </c>
      <c r="AK196" s="4225">
        <v>0</v>
      </c>
      <c r="AL196" s="4225">
        <v>0</v>
      </c>
      <c r="AM196" s="4221">
        <v>0</v>
      </c>
      <c r="AN196" s="4226">
        <v>0</v>
      </c>
      <c r="AO196" s="4224"/>
      <c r="AP196" s="4224"/>
      <c r="AQ196" s="4224">
        <v>4750427</v>
      </c>
      <c r="AR196" s="4221">
        <v>0.3</v>
      </c>
      <c r="AS196" s="4217">
        <v>6212071</v>
      </c>
      <c r="AT196" s="5216">
        <v>0</v>
      </c>
      <c r="AU196" s="5216">
        <v>0</v>
      </c>
      <c r="AV196" s="4220">
        <v>4750427</v>
      </c>
      <c r="AW196" s="5243">
        <v>57711</v>
      </c>
      <c r="AX196" s="4224"/>
      <c r="AY196" s="5217">
        <v>1026501</v>
      </c>
      <c r="AZ196" s="4224"/>
      <c r="BA196" s="4224">
        <v>409439</v>
      </c>
      <c r="BB196" s="4224">
        <v>57711</v>
      </c>
      <c r="BC196" s="5218"/>
      <c r="BD196" s="4217">
        <v>0</v>
      </c>
      <c r="BE196" s="4224">
        <v>4759356</v>
      </c>
    </row>
    <row r="197" spans="1:57">
      <c r="A197" s="3810">
        <v>405</v>
      </c>
      <c r="B197" s="4210" t="s">
        <v>587</v>
      </c>
      <c r="C197" s="4211" t="s">
        <v>238</v>
      </c>
      <c r="D197" s="4212">
        <v>41008573</v>
      </c>
      <c r="E197" s="4213">
        <v>37391074</v>
      </c>
      <c r="F197" s="4224">
        <v>37017256</v>
      </c>
      <c r="G197" s="4224">
        <v>33388366</v>
      </c>
      <c r="H197" s="4214">
        <v>753.4</v>
      </c>
      <c r="I197" s="4215">
        <v>755.8</v>
      </c>
      <c r="J197" s="4216">
        <v>116</v>
      </c>
      <c r="K197" s="4217">
        <v>7920059</v>
      </c>
      <c r="L197" s="4225">
        <v>761.5</v>
      </c>
      <c r="M197" s="4225">
        <v>773.5</v>
      </c>
      <c r="N197" s="4225">
        <v>793.9</v>
      </c>
      <c r="O197" s="4225">
        <v>774.8</v>
      </c>
      <c r="P197" s="4218">
        <v>841386</v>
      </c>
      <c r="Q197" s="4218">
        <v>880182</v>
      </c>
      <c r="R197" s="4220">
        <v>1039500</v>
      </c>
      <c r="S197" s="4220"/>
      <c r="T197" s="4219">
        <v>0</v>
      </c>
      <c r="U197" s="5214">
        <v>0</v>
      </c>
      <c r="V197" s="4222"/>
      <c r="W197" s="4224">
        <v>0</v>
      </c>
      <c r="X197" s="4217">
        <v>470</v>
      </c>
      <c r="Y197" s="4223">
        <v>83</v>
      </c>
      <c r="Z197" s="5215">
        <v>0.51</v>
      </c>
      <c r="AA197" s="5215">
        <v>0.28999999999999998</v>
      </c>
      <c r="AB197" s="5205">
        <v>0.60670000000000002</v>
      </c>
      <c r="AC197" s="4224">
        <v>758477</v>
      </c>
      <c r="AD197" s="4224"/>
      <c r="AE197" s="4224">
        <v>872605</v>
      </c>
      <c r="AF197" s="4225">
        <v>744.5</v>
      </c>
      <c r="AG197" s="4225">
        <v>727.5</v>
      </c>
      <c r="AH197" s="4225">
        <v>26.3</v>
      </c>
      <c r="AI197" s="4225">
        <v>0</v>
      </c>
      <c r="AJ197" s="4225">
        <v>0</v>
      </c>
      <c r="AK197" s="4225">
        <v>0</v>
      </c>
      <c r="AL197" s="4225">
        <v>0</v>
      </c>
      <c r="AM197" s="4221">
        <v>0</v>
      </c>
      <c r="AN197" s="4226">
        <v>0</v>
      </c>
      <c r="AO197" s="4224"/>
      <c r="AP197" s="4224"/>
      <c r="AQ197" s="4224">
        <v>5250959</v>
      </c>
      <c r="AR197" s="4221">
        <v>0.27760000000000001</v>
      </c>
      <c r="AS197" s="4217">
        <v>6845074</v>
      </c>
      <c r="AT197" s="5216">
        <v>0</v>
      </c>
      <c r="AU197" s="5216">
        <v>0</v>
      </c>
      <c r="AV197" s="4220">
        <v>5250959</v>
      </c>
      <c r="AW197" s="5243">
        <v>39672</v>
      </c>
      <c r="AX197" s="4224"/>
      <c r="AY197" s="5217">
        <v>1039500</v>
      </c>
      <c r="AZ197" s="4224"/>
      <c r="BA197" s="4224">
        <v>656029</v>
      </c>
      <c r="BB197" s="4224">
        <v>39672</v>
      </c>
      <c r="BC197" s="5218"/>
      <c r="BD197" s="4217">
        <v>0</v>
      </c>
      <c r="BE197" s="4224">
        <v>5295844</v>
      </c>
    </row>
    <row r="198" spans="1:57">
      <c r="A198" s="3810">
        <v>407</v>
      </c>
      <c r="B198" s="4210" t="s">
        <v>588</v>
      </c>
      <c r="C198" s="4211" t="s">
        <v>251</v>
      </c>
      <c r="D198" s="4212">
        <v>96654981</v>
      </c>
      <c r="E198" s="4213">
        <v>90900860</v>
      </c>
      <c r="F198" s="4224">
        <v>69698169</v>
      </c>
      <c r="G198" s="4224">
        <v>63932444</v>
      </c>
      <c r="H198" s="4214">
        <v>762.7</v>
      </c>
      <c r="I198" s="4215">
        <v>792.5</v>
      </c>
      <c r="J198" s="4216">
        <v>489</v>
      </c>
      <c r="K198" s="4217">
        <v>5905894</v>
      </c>
      <c r="L198" s="4225">
        <v>772.5</v>
      </c>
      <c r="M198" s="4225">
        <v>778.5</v>
      </c>
      <c r="N198" s="4225">
        <v>762.7</v>
      </c>
      <c r="O198" s="4225">
        <v>792.5</v>
      </c>
      <c r="P198" s="4218">
        <v>765667</v>
      </c>
      <c r="Q198" s="4218">
        <v>730435</v>
      </c>
      <c r="R198" s="4220">
        <v>18839</v>
      </c>
      <c r="S198" s="4220"/>
      <c r="T198" s="4219">
        <v>0</v>
      </c>
      <c r="U198" s="5214">
        <v>0</v>
      </c>
      <c r="V198" s="4222"/>
      <c r="W198" s="4224">
        <v>0</v>
      </c>
      <c r="X198" s="4217">
        <v>332</v>
      </c>
      <c r="Y198" s="4223">
        <v>117</v>
      </c>
      <c r="Z198" s="5215">
        <v>0.13</v>
      </c>
      <c r="AA198" s="5215">
        <v>0</v>
      </c>
      <c r="AB198" s="5205">
        <v>0.2843</v>
      </c>
      <c r="AC198" s="4224">
        <v>540741</v>
      </c>
      <c r="AD198" s="4224"/>
      <c r="AE198" s="4224">
        <v>601610</v>
      </c>
      <c r="AF198" s="4225">
        <v>772.5</v>
      </c>
      <c r="AG198" s="4225">
        <v>778.5</v>
      </c>
      <c r="AH198" s="4225">
        <v>0</v>
      </c>
      <c r="AI198" s="4225">
        <v>0</v>
      </c>
      <c r="AJ198" s="4225">
        <v>0</v>
      </c>
      <c r="AK198" s="4225">
        <v>0</v>
      </c>
      <c r="AL198" s="4225">
        <v>0</v>
      </c>
      <c r="AM198" s="4221">
        <v>0</v>
      </c>
      <c r="AN198" s="4226">
        <v>0</v>
      </c>
      <c r="AO198" s="4224"/>
      <c r="AP198" s="4224"/>
      <c r="AQ198" s="4224">
        <v>4703585</v>
      </c>
      <c r="AR198" s="4221">
        <v>0.31</v>
      </c>
      <c r="AS198" s="4217">
        <v>6398486</v>
      </c>
      <c r="AT198" s="5216">
        <v>0</v>
      </c>
      <c r="AU198" s="5216">
        <v>0</v>
      </c>
      <c r="AV198" s="4220">
        <v>4703585</v>
      </c>
      <c r="AW198" s="5243">
        <v>0</v>
      </c>
      <c r="AX198" s="4224"/>
      <c r="AY198" s="5217">
        <v>16955</v>
      </c>
      <c r="AZ198" s="4224"/>
      <c r="BA198" s="4224">
        <v>455941</v>
      </c>
      <c r="BB198" s="4224">
        <v>0</v>
      </c>
      <c r="BC198" s="5218"/>
      <c r="BD198" s="4217">
        <v>406392</v>
      </c>
      <c r="BE198" s="4224">
        <v>4680087</v>
      </c>
    </row>
    <row r="199" spans="1:57">
      <c r="A199" s="3810">
        <v>408</v>
      </c>
      <c r="B199" s="4210" t="s">
        <v>589</v>
      </c>
      <c r="C199" s="4211" t="s">
        <v>250</v>
      </c>
      <c r="D199" s="4212">
        <v>32469193</v>
      </c>
      <c r="E199" s="4213">
        <v>28529527</v>
      </c>
      <c r="F199" s="4224">
        <v>33463854</v>
      </c>
      <c r="G199" s="4224">
        <v>29521221</v>
      </c>
      <c r="H199" s="4214">
        <v>486</v>
      </c>
      <c r="I199" s="4215">
        <v>498</v>
      </c>
      <c r="J199" s="4216">
        <v>237</v>
      </c>
      <c r="K199" s="4217">
        <v>4759403</v>
      </c>
      <c r="L199" s="4225">
        <v>534.1</v>
      </c>
      <c r="M199" s="4225">
        <v>500.4</v>
      </c>
      <c r="N199" s="4225">
        <v>486</v>
      </c>
      <c r="O199" s="4225">
        <v>502</v>
      </c>
      <c r="P199" s="4218">
        <v>685987</v>
      </c>
      <c r="Q199" s="4218">
        <v>663868</v>
      </c>
      <c r="R199" s="4220">
        <v>587829</v>
      </c>
      <c r="S199" s="4220"/>
      <c r="T199" s="4219">
        <v>0</v>
      </c>
      <c r="U199" s="5214">
        <v>0</v>
      </c>
      <c r="V199" s="4222"/>
      <c r="W199" s="4224">
        <v>0</v>
      </c>
      <c r="X199" s="4217">
        <v>158</v>
      </c>
      <c r="Y199" s="4223">
        <v>57</v>
      </c>
      <c r="Z199" s="5215">
        <v>0.34</v>
      </c>
      <c r="AA199" s="5215">
        <v>0.12</v>
      </c>
      <c r="AB199" s="5205">
        <v>0.46160000000000001</v>
      </c>
      <c r="AC199" s="4224">
        <v>314014</v>
      </c>
      <c r="AD199" s="4224"/>
      <c r="AE199" s="4224">
        <v>352319</v>
      </c>
      <c r="AF199" s="4225">
        <v>534.1</v>
      </c>
      <c r="AG199" s="4225">
        <v>500.4</v>
      </c>
      <c r="AH199" s="4225">
        <v>0</v>
      </c>
      <c r="AI199" s="4225">
        <v>0</v>
      </c>
      <c r="AJ199" s="4225">
        <v>0</v>
      </c>
      <c r="AK199" s="4225">
        <v>0</v>
      </c>
      <c r="AL199" s="4225">
        <v>0</v>
      </c>
      <c r="AM199" s="4221">
        <v>0</v>
      </c>
      <c r="AN199" s="4226">
        <v>0</v>
      </c>
      <c r="AO199" s="4224"/>
      <c r="AP199" s="4224"/>
      <c r="AQ199" s="4224">
        <v>3230669</v>
      </c>
      <c r="AR199" s="4221">
        <v>0.3</v>
      </c>
      <c r="AS199" s="4217">
        <v>4499923</v>
      </c>
      <c r="AT199" s="5216">
        <v>0</v>
      </c>
      <c r="AU199" s="5216">
        <v>0</v>
      </c>
      <c r="AV199" s="4220">
        <v>3230669</v>
      </c>
      <c r="AW199" s="5243">
        <v>0</v>
      </c>
      <c r="AX199" s="4224"/>
      <c r="AY199" s="5217">
        <v>587829</v>
      </c>
      <c r="AZ199" s="4224"/>
      <c r="BA199" s="4224">
        <v>269594</v>
      </c>
      <c r="BB199" s="4224">
        <v>0</v>
      </c>
      <c r="BC199" s="5218"/>
      <c r="BD199" s="4217">
        <v>0</v>
      </c>
      <c r="BE199" s="4224">
        <v>3237746</v>
      </c>
    </row>
    <row r="200" spans="1:57">
      <c r="A200" s="3810">
        <v>409</v>
      </c>
      <c r="B200" s="4210" t="s">
        <v>590</v>
      </c>
      <c r="C200" s="4211" t="s">
        <v>239</v>
      </c>
      <c r="D200" s="4212">
        <v>87545491</v>
      </c>
      <c r="E200" s="4213">
        <v>78076087</v>
      </c>
      <c r="F200" s="4224">
        <v>88311425</v>
      </c>
      <c r="G200" s="4224">
        <v>78833165</v>
      </c>
      <c r="H200" s="4214">
        <v>1564.5</v>
      </c>
      <c r="I200" s="4215">
        <v>1606.3</v>
      </c>
      <c r="J200" s="4216">
        <v>52.7</v>
      </c>
      <c r="K200" s="4217">
        <v>13567845</v>
      </c>
      <c r="L200" s="4225">
        <v>1601</v>
      </c>
      <c r="M200" s="4225">
        <v>1564.4</v>
      </c>
      <c r="N200" s="4225">
        <v>1582.5</v>
      </c>
      <c r="O200" s="4225">
        <v>1625.3</v>
      </c>
      <c r="P200" s="4218">
        <v>1768685</v>
      </c>
      <c r="Q200" s="4218">
        <v>1888829</v>
      </c>
      <c r="R200" s="4220">
        <v>1959154</v>
      </c>
      <c r="S200" s="4220"/>
      <c r="T200" s="4219">
        <v>0</v>
      </c>
      <c r="U200" s="5214">
        <v>0</v>
      </c>
      <c r="V200" s="4222"/>
      <c r="W200" s="4224">
        <v>0</v>
      </c>
      <c r="X200" s="4217">
        <v>965</v>
      </c>
      <c r="Y200" s="4223">
        <v>190</v>
      </c>
      <c r="Z200" s="5215">
        <v>0.49</v>
      </c>
      <c r="AA200" s="5215">
        <v>0.27</v>
      </c>
      <c r="AB200" s="5205">
        <v>0.59019999999999995</v>
      </c>
      <c r="AC200" s="4224">
        <v>1072487</v>
      </c>
      <c r="AD200" s="4224"/>
      <c r="AE200" s="4224">
        <v>1235173</v>
      </c>
      <c r="AF200" s="4225">
        <v>1584</v>
      </c>
      <c r="AG200" s="4225">
        <v>1546.4</v>
      </c>
      <c r="AH200" s="4225">
        <v>0</v>
      </c>
      <c r="AI200" s="4225">
        <v>0</v>
      </c>
      <c r="AJ200" s="4225">
        <v>0</v>
      </c>
      <c r="AK200" s="4225">
        <v>0</v>
      </c>
      <c r="AL200" s="4225">
        <v>25.7</v>
      </c>
      <c r="AM200" s="4221">
        <v>0</v>
      </c>
      <c r="AN200" s="4226">
        <v>0</v>
      </c>
      <c r="AO200" s="4224"/>
      <c r="AP200" s="4224"/>
      <c r="AQ200" s="4224">
        <v>8716074</v>
      </c>
      <c r="AR200" s="4221">
        <v>0.3</v>
      </c>
      <c r="AS200" s="4217">
        <v>11928208</v>
      </c>
      <c r="AT200" s="5216">
        <v>0</v>
      </c>
      <c r="AU200" s="5216">
        <v>0</v>
      </c>
      <c r="AV200" s="4220">
        <v>8716074</v>
      </c>
      <c r="AW200" s="5243">
        <v>82759</v>
      </c>
      <c r="AX200" s="4224"/>
      <c r="AY200" s="5217">
        <v>1959154</v>
      </c>
      <c r="AZ200" s="4224"/>
      <c r="BA200" s="4224">
        <v>957433</v>
      </c>
      <c r="BB200" s="4224">
        <v>82759</v>
      </c>
      <c r="BC200" s="5218"/>
      <c r="BD200" s="4217">
        <v>0</v>
      </c>
      <c r="BE200" s="4224">
        <v>8679670</v>
      </c>
    </row>
    <row r="201" spans="1:57">
      <c r="A201" s="3810">
        <v>410</v>
      </c>
      <c r="B201" s="4210" t="s">
        <v>1805</v>
      </c>
      <c r="C201" s="4211" t="s">
        <v>250</v>
      </c>
      <c r="D201" s="4212">
        <v>36648654</v>
      </c>
      <c r="E201" s="4213">
        <v>33020261</v>
      </c>
      <c r="F201" s="4224">
        <v>37478859</v>
      </c>
      <c r="G201" s="4224">
        <v>33849585</v>
      </c>
      <c r="H201" s="4214">
        <v>534.29999999999995</v>
      </c>
      <c r="I201" s="4215">
        <v>523.4</v>
      </c>
      <c r="J201" s="4216">
        <v>231.8</v>
      </c>
      <c r="K201" s="4217">
        <v>5260502</v>
      </c>
      <c r="L201" s="4225">
        <v>587.79999999999995</v>
      </c>
      <c r="M201" s="4225">
        <v>538.4</v>
      </c>
      <c r="N201" s="4225">
        <v>545.70000000000005</v>
      </c>
      <c r="O201" s="4225">
        <v>530.29999999999995</v>
      </c>
      <c r="P201" s="4218">
        <v>743005</v>
      </c>
      <c r="Q201" s="4218">
        <v>746318</v>
      </c>
      <c r="R201" s="4220">
        <v>649819</v>
      </c>
      <c r="S201" s="4220"/>
      <c r="T201" s="4219">
        <v>0</v>
      </c>
      <c r="U201" s="5214">
        <v>0</v>
      </c>
      <c r="V201" s="4222"/>
      <c r="W201" s="4224">
        <v>0</v>
      </c>
      <c r="X201" s="4217">
        <v>138</v>
      </c>
      <c r="Y201" s="4223">
        <v>78</v>
      </c>
      <c r="Z201" s="5215">
        <v>0.3</v>
      </c>
      <c r="AA201" s="5215">
        <v>0.08</v>
      </c>
      <c r="AB201" s="5205">
        <v>0.4259</v>
      </c>
      <c r="AC201" s="4224">
        <v>323276</v>
      </c>
      <c r="AD201" s="4224"/>
      <c r="AE201" s="4224">
        <v>377866</v>
      </c>
      <c r="AF201" s="4225">
        <v>577.4</v>
      </c>
      <c r="AG201" s="4225">
        <v>528.1</v>
      </c>
      <c r="AH201" s="4225">
        <v>7.2</v>
      </c>
      <c r="AI201" s="4225">
        <v>0</v>
      </c>
      <c r="AJ201" s="4225">
        <v>0</v>
      </c>
      <c r="AK201" s="4225">
        <v>0</v>
      </c>
      <c r="AL201" s="4225">
        <v>0</v>
      </c>
      <c r="AM201" s="4221">
        <v>0</v>
      </c>
      <c r="AN201" s="4226">
        <v>0</v>
      </c>
      <c r="AO201" s="4224"/>
      <c r="AP201" s="4224"/>
      <c r="AQ201" s="4224">
        <v>3568222</v>
      </c>
      <c r="AR201" s="4221">
        <v>0.31</v>
      </c>
      <c r="AS201" s="4217">
        <v>4913629</v>
      </c>
      <c r="AT201" s="5216">
        <v>0</v>
      </c>
      <c r="AU201" s="5216">
        <v>0</v>
      </c>
      <c r="AV201" s="4220">
        <v>3568222</v>
      </c>
      <c r="AW201" s="5243">
        <v>40806</v>
      </c>
      <c r="AX201" s="4224"/>
      <c r="AY201" s="5217">
        <v>649819</v>
      </c>
      <c r="AZ201" s="4224"/>
      <c r="BA201" s="4224">
        <v>289648</v>
      </c>
      <c r="BB201" s="4224">
        <v>28306</v>
      </c>
      <c r="BC201" s="5218"/>
      <c r="BD201" s="4217">
        <v>0</v>
      </c>
      <c r="BE201" s="4224">
        <v>3538411</v>
      </c>
    </row>
    <row r="202" spans="1:57">
      <c r="A202" s="3810">
        <v>411</v>
      </c>
      <c r="B202" s="4210" t="s">
        <v>591</v>
      </c>
      <c r="C202" s="4211" t="s">
        <v>250</v>
      </c>
      <c r="D202" s="4212">
        <v>13531975</v>
      </c>
      <c r="E202" s="4213">
        <v>12172154</v>
      </c>
      <c r="F202" s="4224">
        <v>14427239</v>
      </c>
      <c r="G202" s="4224">
        <v>13059690</v>
      </c>
      <c r="H202" s="4214">
        <v>276.10000000000002</v>
      </c>
      <c r="I202" s="4215">
        <v>266</v>
      </c>
      <c r="J202" s="4216">
        <v>111.2</v>
      </c>
      <c r="K202" s="4217">
        <v>2924672</v>
      </c>
      <c r="L202" s="4225">
        <v>254</v>
      </c>
      <c r="M202" s="4225">
        <v>273</v>
      </c>
      <c r="N202" s="4225">
        <v>276.10000000000002</v>
      </c>
      <c r="O202" s="4225">
        <v>266</v>
      </c>
      <c r="P202" s="4218">
        <v>381250</v>
      </c>
      <c r="Q202" s="4218">
        <v>381423</v>
      </c>
      <c r="R202" s="4220">
        <v>448537</v>
      </c>
      <c r="S202" s="4220"/>
      <c r="T202" s="4219">
        <v>6577</v>
      </c>
      <c r="U202" s="5214">
        <v>3849</v>
      </c>
      <c r="V202" s="4222"/>
      <c r="W202" s="4224">
        <v>0</v>
      </c>
      <c r="X202" s="4217">
        <v>62</v>
      </c>
      <c r="Y202" s="4223">
        <v>31</v>
      </c>
      <c r="Z202" s="5215">
        <v>0.45</v>
      </c>
      <c r="AA202" s="5215">
        <v>0.23</v>
      </c>
      <c r="AB202" s="5205">
        <v>0.55520000000000003</v>
      </c>
      <c r="AC202" s="4224">
        <v>162695</v>
      </c>
      <c r="AD202" s="4224"/>
      <c r="AE202" s="4224">
        <v>184674</v>
      </c>
      <c r="AF202" s="4225">
        <v>254</v>
      </c>
      <c r="AG202" s="4225">
        <v>273</v>
      </c>
      <c r="AH202" s="4225">
        <v>0</v>
      </c>
      <c r="AI202" s="4225">
        <v>0</v>
      </c>
      <c r="AJ202" s="4225">
        <v>0</v>
      </c>
      <c r="AK202" s="4225">
        <v>0</v>
      </c>
      <c r="AL202" s="4225">
        <v>0</v>
      </c>
      <c r="AM202" s="4221">
        <v>0</v>
      </c>
      <c r="AN202" s="4226">
        <v>0</v>
      </c>
      <c r="AO202" s="4224"/>
      <c r="AP202" s="4224"/>
      <c r="AQ202" s="4224">
        <v>1918351</v>
      </c>
      <c r="AR202" s="4221">
        <v>0.3</v>
      </c>
      <c r="AS202" s="4217">
        <v>2617270</v>
      </c>
      <c r="AT202" s="5216">
        <v>0</v>
      </c>
      <c r="AU202" s="5216">
        <v>0</v>
      </c>
      <c r="AV202" s="4220">
        <v>1918351</v>
      </c>
      <c r="AW202" s="5243">
        <v>15987</v>
      </c>
      <c r="AX202" s="4224"/>
      <c r="AY202" s="5217">
        <v>448537</v>
      </c>
      <c r="AZ202" s="4224"/>
      <c r="BA202" s="4224">
        <v>140424</v>
      </c>
      <c r="BB202" s="4224">
        <v>15987</v>
      </c>
      <c r="BC202" s="5218"/>
      <c r="BD202" s="4217">
        <v>0</v>
      </c>
      <c r="BE202" s="4224">
        <v>1936486</v>
      </c>
    </row>
    <row r="203" spans="1:57">
      <c r="A203" s="3810">
        <v>412</v>
      </c>
      <c r="B203" s="4210" t="s">
        <v>592</v>
      </c>
      <c r="C203" s="4211" t="s">
        <v>255</v>
      </c>
      <c r="D203" s="4212">
        <v>41018607</v>
      </c>
      <c r="E203" s="4213">
        <v>38755772</v>
      </c>
      <c r="F203" s="4224">
        <v>40937071</v>
      </c>
      <c r="G203" s="4224">
        <v>38657829</v>
      </c>
      <c r="H203" s="4214">
        <v>339</v>
      </c>
      <c r="I203" s="4215">
        <v>355.3</v>
      </c>
      <c r="J203" s="4216">
        <v>674</v>
      </c>
      <c r="K203" s="4217">
        <v>2750738</v>
      </c>
      <c r="L203" s="4225">
        <v>326.5</v>
      </c>
      <c r="M203" s="4225">
        <v>335.5</v>
      </c>
      <c r="N203" s="4225">
        <v>339</v>
      </c>
      <c r="O203" s="4225">
        <v>355.3</v>
      </c>
      <c r="P203" s="4218">
        <v>258935</v>
      </c>
      <c r="Q203" s="4218">
        <v>254885</v>
      </c>
      <c r="R203" s="4220">
        <v>71694</v>
      </c>
      <c r="S203" s="4220"/>
      <c r="T203" s="4219">
        <v>0</v>
      </c>
      <c r="U203" s="5214">
        <v>0</v>
      </c>
      <c r="V203" s="4222"/>
      <c r="W203" s="4224">
        <v>53754</v>
      </c>
      <c r="X203" s="4217">
        <v>86</v>
      </c>
      <c r="Y203" s="4223">
        <v>35</v>
      </c>
      <c r="Z203" s="5215">
        <v>0</v>
      </c>
      <c r="AA203" s="5215">
        <v>0</v>
      </c>
      <c r="AB203" s="5205">
        <v>6.3600000000000004E-2</v>
      </c>
      <c r="AC203" s="4224">
        <v>202436</v>
      </c>
      <c r="AD203" s="4224"/>
      <c r="AE203" s="4224">
        <v>239955</v>
      </c>
      <c r="AF203" s="4225">
        <v>326.5</v>
      </c>
      <c r="AG203" s="4225">
        <v>335.5</v>
      </c>
      <c r="AH203" s="4225">
        <v>0</v>
      </c>
      <c r="AI203" s="4225">
        <v>0</v>
      </c>
      <c r="AJ203" s="4225">
        <v>0</v>
      </c>
      <c r="AK203" s="4225">
        <v>0</v>
      </c>
      <c r="AL203" s="4225">
        <v>0</v>
      </c>
      <c r="AM203" s="4221">
        <v>0</v>
      </c>
      <c r="AN203" s="4226">
        <v>0</v>
      </c>
      <c r="AO203" s="4224"/>
      <c r="AP203" s="4224"/>
      <c r="AQ203" s="4224">
        <v>2193992</v>
      </c>
      <c r="AR203" s="4221">
        <v>0.3</v>
      </c>
      <c r="AS203" s="4217">
        <v>2959928</v>
      </c>
      <c r="AT203" s="5216">
        <v>0</v>
      </c>
      <c r="AU203" s="5216">
        <v>0</v>
      </c>
      <c r="AV203" s="4220">
        <v>2193992</v>
      </c>
      <c r="AW203" s="5243">
        <v>0</v>
      </c>
      <c r="AX203" s="4224"/>
      <c r="AY203" s="5217">
        <v>63679</v>
      </c>
      <c r="AZ203" s="4224"/>
      <c r="BA203" s="4224">
        <v>184039</v>
      </c>
      <c r="BB203" s="4224">
        <v>0</v>
      </c>
      <c r="BC203" s="5218"/>
      <c r="BD203" s="4217">
        <v>0</v>
      </c>
      <c r="BE203" s="4224">
        <v>2185216</v>
      </c>
    </row>
    <row r="204" spans="1:57">
      <c r="A204" s="3810">
        <v>413</v>
      </c>
      <c r="B204" s="4210" t="s">
        <v>593</v>
      </c>
      <c r="C204" s="4211" t="s">
        <v>167</v>
      </c>
      <c r="D204" s="4212">
        <v>74431199</v>
      </c>
      <c r="E204" s="5223">
        <v>64584244</v>
      </c>
      <c r="F204" s="4224">
        <v>87752962</v>
      </c>
      <c r="G204" s="4224">
        <v>77913800</v>
      </c>
      <c r="H204" s="4214">
        <v>1750.7</v>
      </c>
      <c r="I204" s="4215">
        <v>1733</v>
      </c>
      <c r="J204" s="4216">
        <v>125</v>
      </c>
      <c r="K204" s="5240">
        <v>14840323</v>
      </c>
      <c r="L204" s="4225">
        <v>1807.4</v>
      </c>
      <c r="M204" s="4225">
        <v>1815.3</v>
      </c>
      <c r="N204" s="4225">
        <v>1782.8</v>
      </c>
      <c r="O204" s="4225">
        <v>1758</v>
      </c>
      <c r="P204" s="4218">
        <v>2152844</v>
      </c>
      <c r="Q204" s="4218">
        <v>2016822</v>
      </c>
      <c r="R204" s="4220">
        <v>2548051</v>
      </c>
      <c r="S204" s="4220"/>
      <c r="T204" s="4219">
        <v>0</v>
      </c>
      <c r="U204" s="5214">
        <v>0</v>
      </c>
      <c r="V204" s="4222"/>
      <c r="W204" s="4224">
        <v>0</v>
      </c>
      <c r="X204" s="4217">
        <v>944</v>
      </c>
      <c r="Y204" s="4223">
        <v>218</v>
      </c>
      <c r="Z204" s="5215">
        <v>0.48</v>
      </c>
      <c r="AA204" s="5215">
        <v>0.27</v>
      </c>
      <c r="AB204" s="5205">
        <v>0.58350000000000002</v>
      </c>
      <c r="AC204" s="4224">
        <v>963157</v>
      </c>
      <c r="AD204" s="4224"/>
      <c r="AE204" s="4224">
        <v>1071335</v>
      </c>
      <c r="AF204" s="4225">
        <v>1780.7</v>
      </c>
      <c r="AG204" s="4225">
        <v>1790.9</v>
      </c>
      <c r="AH204" s="4225">
        <v>16.899999999999999</v>
      </c>
      <c r="AI204" s="4225">
        <v>0</v>
      </c>
      <c r="AJ204" s="4225">
        <v>0</v>
      </c>
      <c r="AK204" s="4225">
        <v>0</v>
      </c>
      <c r="AL204" s="4225">
        <v>0</v>
      </c>
      <c r="AM204" s="4221">
        <v>0</v>
      </c>
      <c r="AN204" s="4226">
        <v>0</v>
      </c>
      <c r="AO204" s="4224"/>
      <c r="AP204" s="4224"/>
      <c r="AQ204" s="4224">
        <v>9885809</v>
      </c>
      <c r="AR204" s="4221">
        <v>0.3</v>
      </c>
      <c r="AS204" s="4217">
        <v>13634672</v>
      </c>
      <c r="AT204" s="5216">
        <v>0</v>
      </c>
      <c r="AU204" s="5216">
        <v>0</v>
      </c>
      <c r="AV204" s="4220">
        <v>9885809</v>
      </c>
      <c r="AW204" s="5243">
        <v>172369</v>
      </c>
      <c r="AX204" s="4224"/>
      <c r="AY204" s="5224">
        <v>2096781</v>
      </c>
      <c r="AZ204" s="4224"/>
      <c r="BA204" s="4224">
        <v>822230</v>
      </c>
      <c r="BB204" s="4224">
        <v>93571</v>
      </c>
      <c r="BC204" s="5218"/>
      <c r="BD204" s="4217">
        <v>0</v>
      </c>
      <c r="BE204" s="4224">
        <v>9801192</v>
      </c>
    </row>
    <row r="205" spans="1:57">
      <c r="A205" s="3810">
        <v>415</v>
      </c>
      <c r="B205" s="4210" t="s">
        <v>594</v>
      </c>
      <c r="C205" s="4211" t="s">
        <v>256</v>
      </c>
      <c r="D205" s="4212">
        <v>88715691</v>
      </c>
      <c r="E205" s="4213">
        <v>83240935</v>
      </c>
      <c r="F205" s="4224">
        <v>97301699</v>
      </c>
      <c r="G205" s="4224">
        <v>91839779</v>
      </c>
      <c r="H205" s="4214">
        <v>837.2</v>
      </c>
      <c r="I205" s="4215">
        <v>852</v>
      </c>
      <c r="J205" s="4216">
        <v>331</v>
      </c>
      <c r="K205" s="4217">
        <v>7028918</v>
      </c>
      <c r="L205" s="4225">
        <v>847.1</v>
      </c>
      <c r="M205" s="4225">
        <v>813.7</v>
      </c>
      <c r="N205" s="4225">
        <v>837.2</v>
      </c>
      <c r="O205" s="4225">
        <v>852</v>
      </c>
      <c r="P205" s="4218">
        <v>951561</v>
      </c>
      <c r="Q205" s="4218">
        <v>1041915</v>
      </c>
      <c r="R205" s="4220">
        <v>217886</v>
      </c>
      <c r="S205" s="4220"/>
      <c r="T205" s="4219">
        <v>7978</v>
      </c>
      <c r="U205" s="5214">
        <v>9761</v>
      </c>
      <c r="V205" s="4222"/>
      <c r="W205" s="4224">
        <v>0</v>
      </c>
      <c r="X205" s="4217">
        <v>394</v>
      </c>
      <c r="Y205" s="4223">
        <v>96</v>
      </c>
      <c r="Z205" s="5215">
        <v>0</v>
      </c>
      <c r="AA205" s="5215">
        <v>0</v>
      </c>
      <c r="AB205" s="5205">
        <v>6.88E-2</v>
      </c>
      <c r="AC205" s="4224">
        <v>517935</v>
      </c>
      <c r="AD205" s="4224"/>
      <c r="AE205" s="4224">
        <v>567370</v>
      </c>
      <c r="AF205" s="4225">
        <v>847.1</v>
      </c>
      <c r="AG205" s="4225">
        <v>813.7</v>
      </c>
      <c r="AH205" s="4225">
        <v>0</v>
      </c>
      <c r="AI205" s="4225">
        <v>0</v>
      </c>
      <c r="AJ205" s="4225">
        <v>0</v>
      </c>
      <c r="AK205" s="4225">
        <v>0</v>
      </c>
      <c r="AL205" s="4225">
        <v>0</v>
      </c>
      <c r="AM205" s="4221">
        <v>0</v>
      </c>
      <c r="AN205" s="4226">
        <v>0</v>
      </c>
      <c r="AO205" s="4224"/>
      <c r="AP205" s="4224"/>
      <c r="AQ205" s="4224">
        <v>5300080</v>
      </c>
      <c r="AR205" s="4221">
        <v>0.3</v>
      </c>
      <c r="AS205" s="4217">
        <v>7146035</v>
      </c>
      <c r="AT205" s="5216">
        <v>0</v>
      </c>
      <c r="AU205" s="5216">
        <v>0</v>
      </c>
      <c r="AV205" s="4220">
        <v>5300080</v>
      </c>
      <c r="AW205" s="5243">
        <v>0</v>
      </c>
      <c r="AX205" s="4224"/>
      <c r="AY205" s="5217">
        <v>195413</v>
      </c>
      <c r="AZ205" s="4224"/>
      <c r="BA205" s="4224">
        <v>432624</v>
      </c>
      <c r="BB205" s="4224">
        <v>0</v>
      </c>
      <c r="BC205" s="5218"/>
      <c r="BD205" s="4217">
        <v>0</v>
      </c>
      <c r="BE205" s="4224">
        <v>5278297</v>
      </c>
    </row>
    <row r="206" spans="1:57">
      <c r="A206" s="3810">
        <v>416</v>
      </c>
      <c r="B206" s="4210" t="s">
        <v>595</v>
      </c>
      <c r="C206" s="4211" t="s">
        <v>235</v>
      </c>
      <c r="D206" s="4212">
        <v>110321657</v>
      </c>
      <c r="E206" s="4213">
        <v>102599856</v>
      </c>
      <c r="F206" s="4224">
        <v>113035270</v>
      </c>
      <c r="G206" s="4224">
        <v>105299180</v>
      </c>
      <c r="H206" s="4214">
        <v>1661.5</v>
      </c>
      <c r="I206" s="4215">
        <v>1662.4</v>
      </c>
      <c r="J206" s="4216">
        <v>156</v>
      </c>
      <c r="K206" s="4217">
        <v>11369860</v>
      </c>
      <c r="L206" s="4225">
        <v>1706.7</v>
      </c>
      <c r="M206" s="4225">
        <v>1691.1</v>
      </c>
      <c r="N206" s="4225">
        <v>1661.5</v>
      </c>
      <c r="O206" s="4225">
        <v>1672.4</v>
      </c>
      <c r="P206" s="4218">
        <v>1404397</v>
      </c>
      <c r="Q206" s="4218">
        <v>1407135</v>
      </c>
      <c r="R206" s="4220">
        <v>1255432</v>
      </c>
      <c r="S206" s="4220"/>
      <c r="T206" s="4219">
        <v>0</v>
      </c>
      <c r="U206" s="5214">
        <v>7650</v>
      </c>
      <c r="V206" s="4222"/>
      <c r="W206" s="4224">
        <v>0</v>
      </c>
      <c r="X206" s="4217">
        <v>352</v>
      </c>
      <c r="Y206" s="4223">
        <v>158</v>
      </c>
      <c r="Z206" s="5215">
        <v>0.31</v>
      </c>
      <c r="AA206" s="5215">
        <v>0.09</v>
      </c>
      <c r="AB206" s="5205">
        <v>0.436</v>
      </c>
      <c r="AC206" s="4224">
        <v>773566</v>
      </c>
      <c r="AD206" s="4224"/>
      <c r="AE206" s="4224">
        <v>835546</v>
      </c>
      <c r="AF206" s="4225">
        <v>1706.7</v>
      </c>
      <c r="AG206" s="4225">
        <v>1691.1</v>
      </c>
      <c r="AH206" s="4225">
        <v>0</v>
      </c>
      <c r="AI206" s="4225">
        <v>0</v>
      </c>
      <c r="AJ206" s="4225">
        <v>0</v>
      </c>
      <c r="AK206" s="4225">
        <v>0</v>
      </c>
      <c r="AL206" s="4225">
        <v>0</v>
      </c>
      <c r="AM206" s="4227">
        <v>2.41E-2</v>
      </c>
      <c r="AN206" s="4226">
        <v>0</v>
      </c>
      <c r="AO206" s="4224"/>
      <c r="AP206" s="4224"/>
      <c r="AQ206" s="4224">
        <v>7966583</v>
      </c>
      <c r="AR206" s="4221">
        <v>0.31</v>
      </c>
      <c r="AS206" s="4217">
        <v>10692411</v>
      </c>
      <c r="AT206" s="5216">
        <v>0</v>
      </c>
      <c r="AU206" s="5216">
        <v>0</v>
      </c>
      <c r="AV206" s="4220">
        <v>7966583</v>
      </c>
      <c r="AW206" s="5243">
        <v>122338</v>
      </c>
      <c r="AX206" s="4224"/>
      <c r="AY206" s="5217">
        <v>1255432</v>
      </c>
      <c r="AZ206" s="4224"/>
      <c r="BA206" s="4224">
        <v>642788</v>
      </c>
      <c r="BB206" s="4224">
        <v>88257</v>
      </c>
      <c r="BC206" s="5218"/>
      <c r="BD206" s="4217">
        <v>0</v>
      </c>
      <c r="BE206" s="4224">
        <v>7976248</v>
      </c>
    </row>
    <row r="207" spans="1:57">
      <c r="A207" s="3810">
        <v>417</v>
      </c>
      <c r="B207" s="4210" t="s">
        <v>596</v>
      </c>
      <c r="C207" s="4211" t="s">
        <v>257</v>
      </c>
      <c r="D207" s="4212">
        <v>56949196</v>
      </c>
      <c r="E207" s="4213">
        <v>51154784</v>
      </c>
      <c r="F207" s="4224">
        <v>59302910</v>
      </c>
      <c r="G207" s="4224">
        <v>53539703</v>
      </c>
      <c r="H207" s="4214">
        <v>703.3</v>
      </c>
      <c r="I207" s="4215">
        <v>708.7</v>
      </c>
      <c r="J207" s="4216">
        <v>537</v>
      </c>
      <c r="K207" s="4217">
        <v>5909914</v>
      </c>
      <c r="L207" s="4225">
        <v>711.3</v>
      </c>
      <c r="M207" s="4225">
        <v>708.5</v>
      </c>
      <c r="N207" s="4225">
        <v>710.8</v>
      </c>
      <c r="O207" s="4225">
        <v>716.2</v>
      </c>
      <c r="P207" s="4218">
        <v>582344</v>
      </c>
      <c r="Q207" s="4218">
        <v>604195</v>
      </c>
      <c r="R207" s="4220">
        <v>445989</v>
      </c>
      <c r="S207" s="4220"/>
      <c r="T207" s="4219">
        <v>5677</v>
      </c>
      <c r="U207" s="5214">
        <v>5371</v>
      </c>
      <c r="V207" s="4222"/>
      <c r="W207" s="4224">
        <v>0</v>
      </c>
      <c r="X207" s="4217">
        <v>249</v>
      </c>
      <c r="Y207" s="4223">
        <v>149</v>
      </c>
      <c r="Z207" s="5215">
        <v>0.16</v>
      </c>
      <c r="AA207" s="5215">
        <v>0</v>
      </c>
      <c r="AB207" s="5205">
        <v>0.30909999999999999</v>
      </c>
      <c r="AC207" s="4224">
        <v>439493</v>
      </c>
      <c r="AD207" s="4224"/>
      <c r="AE207" s="4224">
        <v>467326</v>
      </c>
      <c r="AF207" s="4225">
        <v>703.8</v>
      </c>
      <c r="AG207" s="4225">
        <v>701</v>
      </c>
      <c r="AH207" s="4225">
        <v>0</v>
      </c>
      <c r="AI207" s="4225">
        <v>0</v>
      </c>
      <c r="AJ207" s="4225">
        <v>0</v>
      </c>
      <c r="AK207" s="4225">
        <v>0</v>
      </c>
      <c r="AL207" s="4225">
        <v>0</v>
      </c>
      <c r="AM207" s="4221">
        <v>0</v>
      </c>
      <c r="AN207" s="4226">
        <v>0</v>
      </c>
      <c r="AO207" s="4224"/>
      <c r="AP207" s="4224"/>
      <c r="AQ207" s="4224">
        <v>4509489</v>
      </c>
      <c r="AR207" s="4221">
        <v>0.3</v>
      </c>
      <c r="AS207" s="4217">
        <v>5940241</v>
      </c>
      <c r="AT207" s="5216">
        <v>0</v>
      </c>
      <c r="AU207" s="5216">
        <v>0</v>
      </c>
      <c r="AV207" s="4220">
        <v>4509489</v>
      </c>
      <c r="AW207" s="5243">
        <v>18879</v>
      </c>
      <c r="AX207" s="4224"/>
      <c r="AY207" s="5217">
        <v>445989</v>
      </c>
      <c r="AZ207" s="4224"/>
      <c r="BA207" s="4224">
        <v>361819</v>
      </c>
      <c r="BB207" s="4224">
        <v>0</v>
      </c>
      <c r="BC207" s="5218"/>
      <c r="BD207" s="4217">
        <v>0</v>
      </c>
      <c r="BE207" s="4224">
        <v>4491451</v>
      </c>
    </row>
    <row r="208" spans="1:57">
      <c r="A208" s="3810">
        <v>418</v>
      </c>
      <c r="B208" s="4210" t="s">
        <v>597</v>
      </c>
      <c r="C208" s="4211" t="s">
        <v>252</v>
      </c>
      <c r="D208" s="4212">
        <v>189030010</v>
      </c>
      <c r="E208" s="4213">
        <v>176795775</v>
      </c>
      <c r="F208" s="4224">
        <v>205756667</v>
      </c>
      <c r="G208" s="4224">
        <v>193515704</v>
      </c>
      <c r="H208" s="4214">
        <v>2267.8000000000002</v>
      </c>
      <c r="I208" s="4215">
        <v>2287.4</v>
      </c>
      <c r="J208" s="4216">
        <v>156.30000000000001</v>
      </c>
      <c r="K208" s="4217">
        <v>15935568</v>
      </c>
      <c r="L208" s="4225">
        <v>2269.6999999999998</v>
      </c>
      <c r="M208" s="4225">
        <v>2242.4</v>
      </c>
      <c r="N208" s="4225">
        <v>2281.8000000000002</v>
      </c>
      <c r="O208" s="4225">
        <v>2296.4</v>
      </c>
      <c r="P208" s="4218">
        <v>2631651</v>
      </c>
      <c r="Q208" s="4218">
        <v>2693574</v>
      </c>
      <c r="R208" s="4220">
        <v>1156321</v>
      </c>
      <c r="S208" s="4220"/>
      <c r="T208" s="4219">
        <v>0</v>
      </c>
      <c r="U208" s="5214">
        <v>0</v>
      </c>
      <c r="V208" s="4222"/>
      <c r="W208" s="4224">
        <v>0</v>
      </c>
      <c r="X208" s="4217">
        <v>724</v>
      </c>
      <c r="Y208" s="4223">
        <v>301</v>
      </c>
      <c r="Z208" s="5215">
        <v>0.09</v>
      </c>
      <c r="AA208" s="5215">
        <v>0</v>
      </c>
      <c r="AB208" s="5205">
        <v>0.25230000000000002</v>
      </c>
      <c r="AC208" s="4224">
        <v>1789668</v>
      </c>
      <c r="AD208" s="4224"/>
      <c r="AE208" s="4224">
        <v>1975728</v>
      </c>
      <c r="AF208" s="4225">
        <v>2254.1999999999998</v>
      </c>
      <c r="AG208" s="4225">
        <v>2225.9</v>
      </c>
      <c r="AH208" s="4225">
        <v>0</v>
      </c>
      <c r="AI208" s="4225">
        <v>0</v>
      </c>
      <c r="AJ208" s="4225">
        <v>0</v>
      </c>
      <c r="AK208" s="4225">
        <v>0</v>
      </c>
      <c r="AL208" s="4225">
        <v>43.3</v>
      </c>
      <c r="AM208" s="4221">
        <v>0</v>
      </c>
      <c r="AN208" s="4226">
        <v>0</v>
      </c>
      <c r="AO208" s="4224"/>
      <c r="AP208" s="4224"/>
      <c r="AQ208" s="4224">
        <v>10815296</v>
      </c>
      <c r="AR208" s="4221">
        <v>0.3</v>
      </c>
      <c r="AS208" s="4217">
        <v>15238224</v>
      </c>
      <c r="AT208" s="5216">
        <v>0</v>
      </c>
      <c r="AU208" s="5216">
        <v>0</v>
      </c>
      <c r="AV208" s="4220">
        <v>10815296</v>
      </c>
      <c r="AW208" s="5243">
        <v>83848</v>
      </c>
      <c r="AX208" s="4224"/>
      <c r="AY208" s="5217">
        <v>1131328</v>
      </c>
      <c r="AZ208" s="4224"/>
      <c r="BA208" s="4224">
        <v>1505423</v>
      </c>
      <c r="BB208" s="4224">
        <v>0</v>
      </c>
      <c r="BC208" s="5218"/>
      <c r="BD208" s="4217">
        <v>0</v>
      </c>
      <c r="BE208" s="4224">
        <v>10605243</v>
      </c>
    </row>
    <row r="209" spans="1:57">
      <c r="A209" s="3810">
        <v>419</v>
      </c>
      <c r="B209" s="4210" t="s">
        <v>598</v>
      </c>
      <c r="C209" s="4211" t="s">
        <v>252</v>
      </c>
      <c r="D209" s="4212">
        <v>31864434</v>
      </c>
      <c r="E209" s="4213">
        <v>29328672</v>
      </c>
      <c r="F209" s="4224">
        <v>32890765</v>
      </c>
      <c r="G209" s="4224">
        <v>30365844</v>
      </c>
      <c r="H209" s="4214">
        <v>356.5</v>
      </c>
      <c r="I209" s="4215">
        <v>357.4</v>
      </c>
      <c r="J209" s="4216">
        <v>167.5</v>
      </c>
      <c r="K209" s="4217">
        <v>3494143</v>
      </c>
      <c r="L209" s="4225">
        <v>372.5</v>
      </c>
      <c r="M209" s="4225">
        <v>379.5</v>
      </c>
      <c r="N209" s="4225">
        <v>357.5</v>
      </c>
      <c r="O209" s="4225">
        <v>361.4</v>
      </c>
      <c r="P209" s="4218">
        <v>442379</v>
      </c>
      <c r="Q209" s="4218">
        <v>424119</v>
      </c>
      <c r="R209" s="4220">
        <v>267421</v>
      </c>
      <c r="S209" s="4220"/>
      <c r="T209" s="4219">
        <v>0</v>
      </c>
      <c r="U209" s="5214">
        <v>0</v>
      </c>
      <c r="V209" s="4222"/>
      <c r="W209" s="4224">
        <v>0</v>
      </c>
      <c r="X209" s="4217">
        <v>132</v>
      </c>
      <c r="Y209" s="4223">
        <v>35</v>
      </c>
      <c r="Z209" s="5215">
        <v>7.0000000000000007E-2</v>
      </c>
      <c r="AA209" s="5215">
        <v>0</v>
      </c>
      <c r="AB209" s="5205">
        <v>0.24060000000000001</v>
      </c>
      <c r="AC209" s="4224">
        <v>231127</v>
      </c>
      <c r="AD209" s="4224"/>
      <c r="AE209" s="4224">
        <v>253963</v>
      </c>
      <c r="AF209" s="4225">
        <v>372.5</v>
      </c>
      <c r="AG209" s="4225">
        <v>374.5</v>
      </c>
      <c r="AH209" s="4225">
        <v>0</v>
      </c>
      <c r="AI209" s="4225">
        <v>0</v>
      </c>
      <c r="AJ209" s="4225">
        <v>0</v>
      </c>
      <c r="AK209" s="4225">
        <v>0</v>
      </c>
      <c r="AL209" s="4225">
        <v>20.8</v>
      </c>
      <c r="AM209" s="4221">
        <v>0</v>
      </c>
      <c r="AN209" s="4226">
        <v>0</v>
      </c>
      <c r="AO209" s="4224"/>
      <c r="AP209" s="4224"/>
      <c r="AQ209" s="4224">
        <v>2612641</v>
      </c>
      <c r="AR209" s="4221">
        <v>0.31</v>
      </c>
      <c r="AS209" s="4217">
        <v>3487946</v>
      </c>
      <c r="AT209" s="5216">
        <v>0</v>
      </c>
      <c r="AU209" s="5216">
        <v>0</v>
      </c>
      <c r="AV209" s="4220">
        <v>2612641</v>
      </c>
      <c r="AW209" s="5243">
        <v>7067</v>
      </c>
      <c r="AX209" s="4224"/>
      <c r="AY209" s="5217">
        <v>266257</v>
      </c>
      <c r="AZ209" s="4224"/>
      <c r="BA209" s="4224">
        <v>195810</v>
      </c>
      <c r="BB209" s="4224">
        <v>0</v>
      </c>
      <c r="BC209" s="5218"/>
      <c r="BD209" s="4217">
        <v>0</v>
      </c>
      <c r="BE209" s="4224">
        <v>2606042</v>
      </c>
    </row>
    <row r="210" spans="1:57">
      <c r="A210" s="3810">
        <v>420</v>
      </c>
      <c r="B210" s="4210" t="s">
        <v>599</v>
      </c>
      <c r="C210" s="4211" t="s">
        <v>258</v>
      </c>
      <c r="D210" s="4212">
        <v>27076489</v>
      </c>
      <c r="E210" s="4213">
        <v>23685227</v>
      </c>
      <c r="F210" s="4224">
        <v>28443254</v>
      </c>
      <c r="G210" s="4224">
        <v>25052608</v>
      </c>
      <c r="H210" s="4214">
        <v>631</v>
      </c>
      <c r="I210" s="4215">
        <v>634.5</v>
      </c>
      <c r="J210" s="4216">
        <v>127.3</v>
      </c>
      <c r="K210" s="4217">
        <v>6055678</v>
      </c>
      <c r="L210" s="4225">
        <v>607.29999999999995</v>
      </c>
      <c r="M210" s="4225">
        <v>619.70000000000005</v>
      </c>
      <c r="N210" s="4225">
        <v>631</v>
      </c>
      <c r="O210" s="4225">
        <v>642.4</v>
      </c>
      <c r="P210" s="4218">
        <v>688414</v>
      </c>
      <c r="Q210" s="4218">
        <v>734700</v>
      </c>
      <c r="R210" s="4220">
        <v>998925</v>
      </c>
      <c r="S210" s="4220"/>
      <c r="T210" s="4219">
        <v>5361</v>
      </c>
      <c r="U210" s="5214">
        <v>6090</v>
      </c>
      <c r="V210" s="4222"/>
      <c r="W210" s="4224">
        <v>0</v>
      </c>
      <c r="X210" s="4217">
        <v>281</v>
      </c>
      <c r="Y210" s="4223">
        <v>71</v>
      </c>
      <c r="Z210" s="5215">
        <v>0.54</v>
      </c>
      <c r="AA210" s="5215">
        <v>0.33</v>
      </c>
      <c r="AB210" s="5205">
        <v>0.63370000000000004</v>
      </c>
      <c r="AC210" s="4224">
        <v>325967</v>
      </c>
      <c r="AD210" s="4224"/>
      <c r="AE210" s="4224">
        <v>402827</v>
      </c>
      <c r="AF210" s="4225">
        <v>607.29999999999995</v>
      </c>
      <c r="AG210" s="4225">
        <v>619.70000000000005</v>
      </c>
      <c r="AH210" s="4225">
        <v>0</v>
      </c>
      <c r="AI210" s="4225">
        <v>0</v>
      </c>
      <c r="AJ210" s="4225">
        <v>0</v>
      </c>
      <c r="AK210" s="4225">
        <v>0</v>
      </c>
      <c r="AL210" s="4225">
        <v>2.1</v>
      </c>
      <c r="AM210" s="4221">
        <v>0</v>
      </c>
      <c r="AN210" s="4226">
        <v>0</v>
      </c>
      <c r="AO210" s="4224"/>
      <c r="AP210" s="4224"/>
      <c r="AQ210" s="4224">
        <v>3938223</v>
      </c>
      <c r="AR210" s="4221">
        <v>0.3</v>
      </c>
      <c r="AS210" s="4217">
        <v>5412692</v>
      </c>
      <c r="AT210" s="5216">
        <v>0</v>
      </c>
      <c r="AU210" s="5216">
        <v>0</v>
      </c>
      <c r="AV210" s="4220">
        <v>3938223</v>
      </c>
      <c r="AW210" s="5243">
        <v>36436</v>
      </c>
      <c r="AX210" s="4224"/>
      <c r="AY210" s="5217">
        <v>998925</v>
      </c>
      <c r="AZ210" s="4224"/>
      <c r="BA210" s="4224">
        <v>312574</v>
      </c>
      <c r="BB210" s="4224">
        <v>36436</v>
      </c>
      <c r="BC210" s="5218"/>
      <c r="BD210" s="4217">
        <v>0</v>
      </c>
      <c r="BE210" s="4224">
        <v>3973043</v>
      </c>
    </row>
    <row r="211" spans="1:57">
      <c r="A211" s="3810">
        <v>421</v>
      </c>
      <c r="B211" s="4210" t="s">
        <v>600</v>
      </c>
      <c r="C211" s="4211" t="s">
        <v>258</v>
      </c>
      <c r="D211" s="4212">
        <v>19971866</v>
      </c>
      <c r="E211" s="4213">
        <v>17302703</v>
      </c>
      <c r="F211" s="4224">
        <v>20351038</v>
      </c>
      <c r="G211" s="4224">
        <v>17678688</v>
      </c>
      <c r="H211" s="4214">
        <v>399.5</v>
      </c>
      <c r="I211" s="4215">
        <v>396.5</v>
      </c>
      <c r="J211" s="4216">
        <v>109</v>
      </c>
      <c r="K211" s="4217">
        <v>4027807</v>
      </c>
      <c r="L211" s="4225">
        <v>421</v>
      </c>
      <c r="M211" s="4225">
        <v>428.5</v>
      </c>
      <c r="N211" s="4225">
        <v>399.5</v>
      </c>
      <c r="O211" s="4225">
        <v>396.5</v>
      </c>
      <c r="P211" s="4218">
        <v>474045</v>
      </c>
      <c r="Q211" s="4218">
        <v>460316</v>
      </c>
      <c r="R211" s="4220">
        <v>630511</v>
      </c>
      <c r="S211" s="4220"/>
      <c r="T211" s="4219">
        <v>12724</v>
      </c>
      <c r="U211" s="5214">
        <v>11645</v>
      </c>
      <c r="V211" s="4222"/>
      <c r="W211" s="4224">
        <v>0</v>
      </c>
      <c r="X211" s="4217">
        <v>114</v>
      </c>
      <c r="Y211" s="4223">
        <v>36</v>
      </c>
      <c r="Z211" s="5215">
        <v>0.48</v>
      </c>
      <c r="AA211" s="5215">
        <v>0.26</v>
      </c>
      <c r="AB211" s="5205">
        <v>0.57989999999999997</v>
      </c>
      <c r="AC211" s="4224">
        <v>232053</v>
      </c>
      <c r="AD211" s="4224"/>
      <c r="AE211" s="4224">
        <v>257132</v>
      </c>
      <c r="AF211" s="4225">
        <v>421</v>
      </c>
      <c r="AG211" s="4225">
        <v>428.5</v>
      </c>
      <c r="AH211" s="4225">
        <v>0</v>
      </c>
      <c r="AI211" s="4225">
        <v>0</v>
      </c>
      <c r="AJ211" s="4225">
        <v>0</v>
      </c>
      <c r="AK211" s="4225">
        <v>0</v>
      </c>
      <c r="AL211" s="4225">
        <v>0</v>
      </c>
      <c r="AM211" s="4221">
        <v>0</v>
      </c>
      <c r="AN211" s="4226">
        <v>0</v>
      </c>
      <c r="AO211" s="4224"/>
      <c r="AP211" s="4224"/>
      <c r="AQ211" s="4224">
        <v>2726075</v>
      </c>
      <c r="AR211" s="4221">
        <v>0.3</v>
      </c>
      <c r="AS211" s="4217">
        <v>3706161</v>
      </c>
      <c r="AT211" s="5216">
        <v>0</v>
      </c>
      <c r="AU211" s="5216">
        <v>0</v>
      </c>
      <c r="AV211" s="4220">
        <v>2726075</v>
      </c>
      <c r="AW211" s="5243">
        <v>17774</v>
      </c>
      <c r="AX211" s="4224"/>
      <c r="AY211" s="5217">
        <v>633120</v>
      </c>
      <c r="AZ211" s="4224"/>
      <c r="BA211" s="4224">
        <v>196761</v>
      </c>
      <c r="BB211" s="4224">
        <v>17774</v>
      </c>
      <c r="BC211" s="5218"/>
      <c r="BD211" s="4217">
        <v>0</v>
      </c>
      <c r="BE211" s="4224">
        <v>2719836</v>
      </c>
    </row>
    <row r="212" spans="1:57">
      <c r="A212" s="3810">
        <v>422</v>
      </c>
      <c r="B212" s="4210" t="s">
        <v>1710</v>
      </c>
      <c r="C212" s="4211" t="s">
        <v>259</v>
      </c>
      <c r="D212" s="4212">
        <v>71456641</v>
      </c>
      <c r="E212" s="4213">
        <v>69895568</v>
      </c>
      <c r="F212" s="4224">
        <v>63405040</v>
      </c>
      <c r="G212" s="4224">
        <v>61844563</v>
      </c>
      <c r="H212" s="4214">
        <v>229</v>
      </c>
      <c r="I212" s="4215">
        <v>232.5</v>
      </c>
      <c r="J212" s="4216">
        <v>459.8</v>
      </c>
      <c r="K212" s="4217">
        <v>3783737</v>
      </c>
      <c r="L212" s="4225">
        <v>458.9</v>
      </c>
      <c r="M212" s="4225">
        <v>397.6</v>
      </c>
      <c r="N212" s="4225">
        <v>333.8</v>
      </c>
      <c r="O212" s="4225">
        <v>428.5</v>
      </c>
      <c r="P212" s="4218">
        <v>283484</v>
      </c>
      <c r="Q212" s="4218">
        <v>296348</v>
      </c>
      <c r="R212" s="4220">
        <v>0</v>
      </c>
      <c r="S212" s="4220"/>
      <c r="T212" s="4219">
        <v>0</v>
      </c>
      <c r="U212" s="5214">
        <v>0</v>
      </c>
      <c r="V212" s="4222"/>
      <c r="W212" s="4224">
        <v>0</v>
      </c>
      <c r="X212" s="4217">
        <v>76</v>
      </c>
      <c r="Y212" s="4223">
        <v>23</v>
      </c>
      <c r="Z212" s="5215">
        <v>0</v>
      </c>
      <c r="AA212" s="5215">
        <v>0</v>
      </c>
      <c r="AB212" s="5205">
        <v>0</v>
      </c>
      <c r="AC212" s="4224">
        <v>250357</v>
      </c>
      <c r="AD212" s="4224"/>
      <c r="AE212" s="4224">
        <v>265186</v>
      </c>
      <c r="AF212" s="4225">
        <v>240.5</v>
      </c>
      <c r="AG212" s="4225">
        <v>232.5</v>
      </c>
      <c r="AH212" s="4225">
        <v>110</v>
      </c>
      <c r="AI212" s="4225">
        <v>0</v>
      </c>
      <c r="AJ212" s="4225">
        <v>0</v>
      </c>
      <c r="AK212" s="4225">
        <v>0</v>
      </c>
      <c r="AL212" s="4225">
        <v>0</v>
      </c>
      <c r="AM212" s="4221">
        <v>0</v>
      </c>
      <c r="AN212" s="4226">
        <v>0</v>
      </c>
      <c r="AO212" s="4224"/>
      <c r="AP212" s="4224"/>
      <c r="AQ212" s="5219">
        <v>2167641</v>
      </c>
      <c r="AR212" s="4221">
        <v>0.3</v>
      </c>
      <c r="AS212" s="4217">
        <v>2370658</v>
      </c>
      <c r="AT212" s="5216">
        <v>0</v>
      </c>
      <c r="AU212" s="5216">
        <v>0</v>
      </c>
      <c r="AV212" s="4220">
        <v>3104974</v>
      </c>
      <c r="AW212" s="5243">
        <v>0</v>
      </c>
      <c r="AX212" s="4224"/>
      <c r="AY212" s="5217">
        <v>0</v>
      </c>
      <c r="AZ212" s="4224"/>
      <c r="BA212" s="4224">
        <v>205240</v>
      </c>
      <c r="BB212" s="4224">
        <v>0</v>
      </c>
      <c r="BC212" s="5218"/>
      <c r="BD212" s="4217">
        <v>0</v>
      </c>
      <c r="BE212" s="4224">
        <v>3240234</v>
      </c>
    </row>
    <row r="213" spans="1:57">
      <c r="A213" s="3810">
        <v>423</v>
      </c>
      <c r="B213" s="4210" t="s">
        <v>602</v>
      </c>
      <c r="C213" s="4211" t="s">
        <v>252</v>
      </c>
      <c r="D213" s="4212">
        <v>40474857</v>
      </c>
      <c r="E213" s="4213">
        <v>37644248</v>
      </c>
      <c r="F213" s="4224">
        <v>45499972</v>
      </c>
      <c r="G213" s="4224">
        <v>42653212</v>
      </c>
      <c r="H213" s="4214">
        <v>401.2</v>
      </c>
      <c r="I213" s="4215">
        <v>377.3</v>
      </c>
      <c r="J213" s="4216">
        <v>156</v>
      </c>
      <c r="K213" s="4217">
        <v>3363571</v>
      </c>
      <c r="L213" s="4225">
        <v>400</v>
      </c>
      <c r="M213" s="4225">
        <v>396</v>
      </c>
      <c r="N213" s="4225">
        <v>406.2</v>
      </c>
      <c r="O213" s="4225">
        <v>382.3</v>
      </c>
      <c r="P213" s="4218">
        <v>496130</v>
      </c>
      <c r="Q213" s="4218">
        <v>493704</v>
      </c>
      <c r="R213" s="4220">
        <v>137010</v>
      </c>
      <c r="S213" s="4220"/>
      <c r="T213" s="4219">
        <v>0</v>
      </c>
      <c r="U213" s="5214">
        <v>0</v>
      </c>
      <c r="V213" s="4222"/>
      <c r="W213" s="4224">
        <v>0</v>
      </c>
      <c r="X213" s="4217">
        <v>97</v>
      </c>
      <c r="Y213" s="4223">
        <v>51</v>
      </c>
      <c r="Z213" s="5215">
        <v>0</v>
      </c>
      <c r="AA213" s="5215">
        <v>0</v>
      </c>
      <c r="AB213" s="5205">
        <v>6.8999999999999999E-3</v>
      </c>
      <c r="AC213" s="4224">
        <v>193097</v>
      </c>
      <c r="AD213" s="4224"/>
      <c r="AE213" s="4224">
        <v>244305</v>
      </c>
      <c r="AF213" s="4225">
        <v>395</v>
      </c>
      <c r="AG213" s="4225">
        <v>391</v>
      </c>
      <c r="AH213" s="4225">
        <v>0</v>
      </c>
      <c r="AI213" s="4225">
        <v>0</v>
      </c>
      <c r="AJ213" s="4225">
        <v>0</v>
      </c>
      <c r="AK213" s="4225">
        <v>0</v>
      </c>
      <c r="AL213" s="4225">
        <v>0</v>
      </c>
      <c r="AM213" s="4221">
        <v>0</v>
      </c>
      <c r="AN213" s="4226">
        <v>0</v>
      </c>
      <c r="AO213" s="4224"/>
      <c r="AP213" s="4224"/>
      <c r="AQ213" s="4224">
        <v>2573913</v>
      </c>
      <c r="AR213" s="4221">
        <v>0.31</v>
      </c>
      <c r="AS213" s="4217">
        <v>3496348</v>
      </c>
      <c r="AT213" s="5216">
        <v>0</v>
      </c>
      <c r="AU213" s="5216">
        <v>0</v>
      </c>
      <c r="AV213" s="4220">
        <v>2573913</v>
      </c>
      <c r="AW213" s="5243">
        <v>0</v>
      </c>
      <c r="AX213" s="4224"/>
      <c r="AY213" s="5217">
        <v>120456</v>
      </c>
      <c r="AZ213" s="4224"/>
      <c r="BA213" s="4224">
        <v>185794</v>
      </c>
      <c r="BB213" s="4224">
        <v>0</v>
      </c>
      <c r="BC213" s="5218"/>
      <c r="BD213" s="4217">
        <v>0</v>
      </c>
      <c r="BE213" s="4224">
        <v>2563617</v>
      </c>
    </row>
    <row r="214" spans="1:57">
      <c r="A214" s="3810">
        <v>426</v>
      </c>
      <c r="B214" s="4210" t="s">
        <v>603</v>
      </c>
      <c r="C214" s="4211" t="s">
        <v>174</v>
      </c>
      <c r="D214" s="4212">
        <v>16982092</v>
      </c>
      <c r="E214" s="4213">
        <v>15754923</v>
      </c>
      <c r="F214" s="4224">
        <v>19132707</v>
      </c>
      <c r="G214" s="4224">
        <v>17892215</v>
      </c>
      <c r="H214" s="4214">
        <v>205.5</v>
      </c>
      <c r="I214" s="4215">
        <v>211.5</v>
      </c>
      <c r="J214" s="4216">
        <v>194.8</v>
      </c>
      <c r="K214" s="4217">
        <v>2215183</v>
      </c>
      <c r="L214" s="4225">
        <v>221.5</v>
      </c>
      <c r="M214" s="4225">
        <v>212</v>
      </c>
      <c r="N214" s="4225">
        <v>205.5</v>
      </c>
      <c r="O214" s="4225">
        <v>211.5</v>
      </c>
      <c r="P214" s="4218">
        <v>197074</v>
      </c>
      <c r="Q214" s="4218">
        <v>185437</v>
      </c>
      <c r="R214" s="4220">
        <v>205137</v>
      </c>
      <c r="S214" s="4220"/>
      <c r="T214" s="4219">
        <v>0</v>
      </c>
      <c r="U214" s="5214">
        <v>0</v>
      </c>
      <c r="V214" s="4222"/>
      <c r="W214" s="4224">
        <v>0</v>
      </c>
      <c r="X214" s="4217">
        <v>93</v>
      </c>
      <c r="Y214" s="4223">
        <v>28</v>
      </c>
      <c r="Z214" s="5215">
        <v>0.08</v>
      </c>
      <c r="AA214" s="5215">
        <v>0</v>
      </c>
      <c r="AB214" s="5205">
        <v>0.2495</v>
      </c>
      <c r="AC214" s="4224">
        <v>138635</v>
      </c>
      <c r="AD214" s="4224"/>
      <c r="AE214" s="4224">
        <v>152287</v>
      </c>
      <c r="AF214" s="4225">
        <v>221.5</v>
      </c>
      <c r="AG214" s="4225">
        <v>212</v>
      </c>
      <c r="AH214" s="4225">
        <v>0</v>
      </c>
      <c r="AI214" s="4225">
        <v>0</v>
      </c>
      <c r="AJ214" s="4225">
        <v>0</v>
      </c>
      <c r="AK214" s="4225">
        <v>0</v>
      </c>
      <c r="AL214" s="4225">
        <v>0</v>
      </c>
      <c r="AM214" s="4221">
        <v>0</v>
      </c>
      <c r="AN214" s="4226">
        <v>0</v>
      </c>
      <c r="AO214" s="4224"/>
      <c r="AP214" s="4224"/>
      <c r="AQ214" s="4224">
        <v>1711244</v>
      </c>
      <c r="AR214" s="4221">
        <v>0.3</v>
      </c>
      <c r="AS214" s="4217">
        <v>2287163</v>
      </c>
      <c r="AT214" s="5216">
        <v>0</v>
      </c>
      <c r="AU214" s="5216">
        <v>0</v>
      </c>
      <c r="AV214" s="4220">
        <v>1711244</v>
      </c>
      <c r="AW214" s="5243">
        <v>9539</v>
      </c>
      <c r="AX214" s="4224"/>
      <c r="AY214" s="5217">
        <v>205137</v>
      </c>
      <c r="AZ214" s="4224"/>
      <c r="BA214" s="4224">
        <v>118186</v>
      </c>
      <c r="BB214" s="4224">
        <v>2024</v>
      </c>
      <c r="BC214" s="5218"/>
      <c r="BD214" s="4217">
        <v>0</v>
      </c>
      <c r="BE214" s="4224">
        <v>1704350</v>
      </c>
    </row>
    <row r="215" spans="1:57">
      <c r="A215" s="3810">
        <v>428</v>
      </c>
      <c r="B215" s="4210" t="s">
        <v>604</v>
      </c>
      <c r="C215" s="4211" t="s">
        <v>229</v>
      </c>
      <c r="D215" s="4212">
        <v>147334268</v>
      </c>
      <c r="E215" s="4213">
        <v>131613916</v>
      </c>
      <c r="F215" s="4224">
        <v>148716942</v>
      </c>
      <c r="G215" s="4224">
        <v>132961396</v>
      </c>
      <c r="H215" s="4214">
        <v>3004</v>
      </c>
      <c r="I215" s="4215">
        <v>2924.5</v>
      </c>
      <c r="J215" s="4216">
        <v>190</v>
      </c>
      <c r="K215" s="4217">
        <v>24745358</v>
      </c>
      <c r="L215" s="4225">
        <v>3034.3</v>
      </c>
      <c r="M215" s="4225">
        <v>2999.1</v>
      </c>
      <c r="N215" s="4225">
        <v>3018.5</v>
      </c>
      <c r="O215" s="4225">
        <v>2939.5</v>
      </c>
      <c r="P215" s="4218">
        <v>2173694</v>
      </c>
      <c r="Q215" s="4218">
        <v>2287743</v>
      </c>
      <c r="R215" s="4220">
        <v>3586820</v>
      </c>
      <c r="S215" s="4220"/>
      <c r="T215" s="4219">
        <v>0</v>
      </c>
      <c r="U215" s="5214">
        <v>0</v>
      </c>
      <c r="V215" s="4222"/>
      <c r="W215" s="4224">
        <v>0</v>
      </c>
      <c r="X215" s="4217">
        <v>1732</v>
      </c>
      <c r="Y215" s="4223">
        <v>269</v>
      </c>
      <c r="Z215" s="5215">
        <v>0.49</v>
      </c>
      <c r="AA215" s="5215">
        <v>0.27</v>
      </c>
      <c r="AB215" s="5205">
        <v>0.5857</v>
      </c>
      <c r="AC215" s="4224">
        <v>2442425</v>
      </c>
      <c r="AD215" s="4224"/>
      <c r="AE215" s="4224">
        <v>2723299</v>
      </c>
      <c r="AF215" s="4225">
        <v>3019.3</v>
      </c>
      <c r="AG215" s="4225">
        <v>2984.1</v>
      </c>
      <c r="AH215" s="4225">
        <v>0</v>
      </c>
      <c r="AI215" s="4225">
        <v>0</v>
      </c>
      <c r="AJ215" s="4225">
        <v>0</v>
      </c>
      <c r="AK215" s="4225">
        <v>0</v>
      </c>
      <c r="AL215" s="4225">
        <v>0</v>
      </c>
      <c r="AM215" s="4221">
        <v>0</v>
      </c>
      <c r="AN215" s="4226">
        <v>0</v>
      </c>
      <c r="AO215" s="4224"/>
      <c r="AP215" s="4224"/>
      <c r="AQ215" s="4224">
        <v>16711942</v>
      </c>
      <c r="AR215" s="4221">
        <v>0.3</v>
      </c>
      <c r="AS215" s="4217">
        <v>21665233</v>
      </c>
      <c r="AT215" s="5216">
        <v>0</v>
      </c>
      <c r="AU215" s="5216">
        <v>0</v>
      </c>
      <c r="AV215" s="4220">
        <v>16711942</v>
      </c>
      <c r="AW215" s="5243">
        <v>155700</v>
      </c>
      <c r="AX215" s="4224"/>
      <c r="AY215" s="5217">
        <v>3586820</v>
      </c>
      <c r="AZ215" s="4224"/>
      <c r="BA215" s="4224">
        <v>2063776</v>
      </c>
      <c r="BB215" s="4224">
        <v>155700</v>
      </c>
      <c r="BC215" s="5218"/>
      <c r="BD215" s="4217">
        <v>0</v>
      </c>
      <c r="BE215" s="4224">
        <v>16645093</v>
      </c>
    </row>
    <row r="216" spans="1:57">
      <c r="A216" s="3810">
        <v>429</v>
      </c>
      <c r="B216" s="4210" t="s">
        <v>605</v>
      </c>
      <c r="C216" s="4211" t="s">
        <v>254</v>
      </c>
      <c r="D216" s="4212">
        <v>20912024</v>
      </c>
      <c r="E216" s="4213">
        <v>19116556</v>
      </c>
      <c r="F216" s="4224">
        <v>22922550</v>
      </c>
      <c r="G216" s="4224">
        <v>21133377</v>
      </c>
      <c r="H216" s="4214">
        <v>317</v>
      </c>
      <c r="I216" s="4215">
        <v>326.5</v>
      </c>
      <c r="J216" s="4216">
        <v>95</v>
      </c>
      <c r="K216" s="4217">
        <v>2916214</v>
      </c>
      <c r="L216" s="4225">
        <v>337</v>
      </c>
      <c r="M216" s="4225">
        <v>324</v>
      </c>
      <c r="N216" s="4225">
        <v>317</v>
      </c>
      <c r="O216" s="4225">
        <v>326.5</v>
      </c>
      <c r="P216" s="4218">
        <v>295035</v>
      </c>
      <c r="Q216" s="4218">
        <v>282063</v>
      </c>
      <c r="R216" s="4220">
        <v>387021</v>
      </c>
      <c r="S216" s="4220"/>
      <c r="T216" s="4219">
        <v>0</v>
      </c>
      <c r="U216" s="5214">
        <v>0</v>
      </c>
      <c r="V216" s="4222"/>
      <c r="W216" s="4224">
        <v>0</v>
      </c>
      <c r="X216" s="4217">
        <v>102</v>
      </c>
      <c r="Y216" s="4223">
        <v>44</v>
      </c>
      <c r="Z216" s="5215">
        <v>0.3</v>
      </c>
      <c r="AA216" s="5215">
        <v>0.09</v>
      </c>
      <c r="AB216" s="5205">
        <v>0.43380000000000002</v>
      </c>
      <c r="AC216" s="4224">
        <v>164960</v>
      </c>
      <c r="AD216" s="4224"/>
      <c r="AE216" s="4224">
        <v>163028</v>
      </c>
      <c r="AF216" s="4225">
        <v>337</v>
      </c>
      <c r="AG216" s="4225">
        <v>324</v>
      </c>
      <c r="AH216" s="4225">
        <v>0</v>
      </c>
      <c r="AI216" s="4225">
        <v>0</v>
      </c>
      <c r="AJ216" s="4225">
        <v>0</v>
      </c>
      <c r="AK216" s="4225">
        <v>0</v>
      </c>
      <c r="AL216" s="4225">
        <v>0</v>
      </c>
      <c r="AM216" s="4221">
        <v>0</v>
      </c>
      <c r="AN216" s="4226">
        <v>0</v>
      </c>
      <c r="AO216" s="4224"/>
      <c r="AP216" s="4224"/>
      <c r="AQ216" s="4224">
        <v>2127718</v>
      </c>
      <c r="AR216" s="4221">
        <v>0.3</v>
      </c>
      <c r="AS216" s="4217">
        <v>2820294</v>
      </c>
      <c r="AT216" s="5216">
        <v>0</v>
      </c>
      <c r="AU216" s="5216">
        <v>0</v>
      </c>
      <c r="AV216" s="4220">
        <v>2127718</v>
      </c>
      <c r="AW216" s="5243">
        <v>8836</v>
      </c>
      <c r="AX216" s="4224"/>
      <c r="AY216" s="5221">
        <v>381235</v>
      </c>
      <c r="AZ216" s="4224"/>
      <c r="BA216" s="4224">
        <v>125016</v>
      </c>
      <c r="BB216" s="4224">
        <v>8693</v>
      </c>
      <c r="BC216" s="5218"/>
      <c r="BD216" s="4217">
        <v>0</v>
      </c>
      <c r="BE216" s="4224">
        <v>2118899</v>
      </c>
    </row>
    <row r="217" spans="1:57">
      <c r="A217" s="3810">
        <v>430</v>
      </c>
      <c r="B217" s="4210" t="s">
        <v>606</v>
      </c>
      <c r="C217" s="4211" t="s">
        <v>256</v>
      </c>
      <c r="D217" s="4212">
        <v>27040320</v>
      </c>
      <c r="E217" s="4213">
        <v>24105135</v>
      </c>
      <c r="F217" s="4224">
        <v>29848190</v>
      </c>
      <c r="G217" s="4224">
        <v>26954298</v>
      </c>
      <c r="H217" s="4214">
        <v>545.5</v>
      </c>
      <c r="I217" s="4215">
        <v>548</v>
      </c>
      <c r="J217" s="4216">
        <v>156.4</v>
      </c>
      <c r="K217" s="4217">
        <v>6188015</v>
      </c>
      <c r="L217" s="4225">
        <v>556.5</v>
      </c>
      <c r="M217" s="4225">
        <v>563.20000000000005</v>
      </c>
      <c r="N217" s="4225">
        <v>545.5</v>
      </c>
      <c r="O217" s="4225">
        <v>548</v>
      </c>
      <c r="P217" s="4218">
        <v>760803</v>
      </c>
      <c r="Q217" s="4218">
        <v>757283</v>
      </c>
      <c r="R217" s="4220">
        <v>999998</v>
      </c>
      <c r="S217" s="4220"/>
      <c r="T217" s="4219">
        <v>1856</v>
      </c>
      <c r="U217" s="5214">
        <v>0</v>
      </c>
      <c r="V217" s="4222"/>
      <c r="W217" s="4224">
        <v>0</v>
      </c>
      <c r="X217" s="4217">
        <v>342</v>
      </c>
      <c r="Y217" s="4223">
        <v>55</v>
      </c>
      <c r="Z217" s="5215">
        <v>0.45</v>
      </c>
      <c r="AA217" s="5215">
        <v>0.23</v>
      </c>
      <c r="AB217" s="5205">
        <v>0.55159999999999998</v>
      </c>
      <c r="AC217" s="4224">
        <v>408397</v>
      </c>
      <c r="AD217" s="4224"/>
      <c r="AE217" s="4224">
        <v>445062</v>
      </c>
      <c r="AF217" s="4225">
        <v>556.5</v>
      </c>
      <c r="AG217" s="4225">
        <v>563.20000000000005</v>
      </c>
      <c r="AH217" s="4225">
        <v>0</v>
      </c>
      <c r="AI217" s="4225">
        <v>0</v>
      </c>
      <c r="AJ217" s="4225">
        <v>0</v>
      </c>
      <c r="AK217" s="4225">
        <v>0</v>
      </c>
      <c r="AL217" s="4225">
        <v>0</v>
      </c>
      <c r="AM217" s="4221">
        <v>0</v>
      </c>
      <c r="AN217" s="4226">
        <v>100017</v>
      </c>
      <c r="AO217" s="4224"/>
      <c r="AP217" s="4224"/>
      <c r="AQ217" s="4224">
        <v>3994626</v>
      </c>
      <c r="AR217" s="4221">
        <v>0.3</v>
      </c>
      <c r="AS217" s="4217">
        <v>5603263</v>
      </c>
      <c r="AT217" s="5216">
        <v>0</v>
      </c>
      <c r="AU217" s="5216">
        <v>0</v>
      </c>
      <c r="AV217" s="4220">
        <v>3994626</v>
      </c>
      <c r="AW217" s="5243">
        <v>0</v>
      </c>
      <c r="AX217" s="4224"/>
      <c r="AY217" s="5217">
        <v>999998</v>
      </c>
      <c r="AZ217" s="4224"/>
      <c r="BA217" s="4224">
        <v>339495</v>
      </c>
      <c r="BB217" s="4224">
        <v>0</v>
      </c>
      <c r="BC217" s="5218"/>
      <c r="BD217" s="4217">
        <v>0</v>
      </c>
      <c r="BE217" s="4224">
        <v>4029664</v>
      </c>
    </row>
    <row r="218" spans="1:57">
      <c r="A218" s="3810">
        <v>431</v>
      </c>
      <c r="B218" s="4210" t="s">
        <v>607</v>
      </c>
      <c r="C218" s="4211" t="s">
        <v>229</v>
      </c>
      <c r="D218" s="4212">
        <v>47418715</v>
      </c>
      <c r="E218" s="4213">
        <v>43797672</v>
      </c>
      <c r="F218" s="4224">
        <v>37936650</v>
      </c>
      <c r="G218" s="4224">
        <v>34302113</v>
      </c>
      <c r="H218" s="4214">
        <v>680</v>
      </c>
      <c r="I218" s="4215">
        <v>692.4</v>
      </c>
      <c r="J218" s="4216">
        <v>292</v>
      </c>
      <c r="K218" s="4217">
        <v>6052522</v>
      </c>
      <c r="L218" s="4225">
        <v>638</v>
      </c>
      <c r="M218" s="4225">
        <v>684</v>
      </c>
      <c r="N218" s="4225">
        <v>694</v>
      </c>
      <c r="O218" s="4225">
        <v>702.9</v>
      </c>
      <c r="P218" s="4218">
        <v>660737</v>
      </c>
      <c r="Q218" s="4218">
        <v>701160</v>
      </c>
      <c r="R218" s="4220">
        <v>612994</v>
      </c>
      <c r="S218" s="4220"/>
      <c r="T218" s="4219">
        <v>0</v>
      </c>
      <c r="U218" s="5214">
        <v>0</v>
      </c>
      <c r="V218" s="4222"/>
      <c r="W218" s="4224">
        <v>0</v>
      </c>
      <c r="X218" s="4217">
        <v>290</v>
      </c>
      <c r="Y218" s="4223">
        <v>116</v>
      </c>
      <c r="Z218" s="5215">
        <v>0.45</v>
      </c>
      <c r="AA218" s="5215">
        <v>0.23</v>
      </c>
      <c r="AB218" s="5205">
        <v>0.5514</v>
      </c>
      <c r="AC218" s="4224">
        <v>379396</v>
      </c>
      <c r="AD218" s="4224"/>
      <c r="AE218" s="4224">
        <v>414022</v>
      </c>
      <c r="AF218" s="4225">
        <v>624.5</v>
      </c>
      <c r="AG218" s="4225">
        <v>668.5</v>
      </c>
      <c r="AH218" s="4225">
        <v>0</v>
      </c>
      <c r="AI218" s="4225">
        <v>0</v>
      </c>
      <c r="AJ218" s="4225">
        <v>0</v>
      </c>
      <c r="AK218" s="4225">
        <v>0</v>
      </c>
      <c r="AL218" s="4225">
        <v>0</v>
      </c>
      <c r="AM218" s="4221">
        <v>0</v>
      </c>
      <c r="AN218" s="4226">
        <v>0</v>
      </c>
      <c r="AO218" s="4224"/>
      <c r="AP218" s="4224"/>
      <c r="AQ218" s="4224">
        <v>4408739</v>
      </c>
      <c r="AR218" s="4221">
        <v>0.3</v>
      </c>
      <c r="AS218" s="4217">
        <v>5812563</v>
      </c>
      <c r="AT218" s="5216">
        <v>0</v>
      </c>
      <c r="AU218" s="5216">
        <v>0</v>
      </c>
      <c r="AV218" s="4220">
        <v>4408739</v>
      </c>
      <c r="AW218" s="5243">
        <v>26845</v>
      </c>
      <c r="AX218" s="4224"/>
      <c r="AY218" s="5217">
        <v>612994</v>
      </c>
      <c r="AZ218" s="4224"/>
      <c r="BA218" s="4224">
        <v>317636</v>
      </c>
      <c r="BB218" s="4224">
        <v>19367</v>
      </c>
      <c r="BC218" s="5218"/>
      <c r="BD218" s="4217">
        <v>152221</v>
      </c>
      <c r="BE218" s="4224">
        <v>4391104</v>
      </c>
    </row>
    <row r="219" spans="1:57">
      <c r="A219" s="3810">
        <v>432</v>
      </c>
      <c r="B219" s="4210" t="s">
        <v>608</v>
      </c>
      <c r="C219" s="4211" t="s">
        <v>246</v>
      </c>
      <c r="D219" s="4212">
        <v>37658825</v>
      </c>
      <c r="E219" s="4213">
        <v>35764107</v>
      </c>
      <c r="F219" s="4224">
        <v>29392245</v>
      </c>
      <c r="G219" s="4224">
        <v>27485669</v>
      </c>
      <c r="H219" s="4214">
        <v>281</v>
      </c>
      <c r="I219" s="4215">
        <v>286.5</v>
      </c>
      <c r="J219" s="4216">
        <v>193.3</v>
      </c>
      <c r="K219" s="4217">
        <v>2218196</v>
      </c>
      <c r="L219" s="4225">
        <v>250.5</v>
      </c>
      <c r="M219" s="4225">
        <v>267</v>
      </c>
      <c r="N219" s="4225">
        <v>281</v>
      </c>
      <c r="O219" s="4225">
        <v>286.5</v>
      </c>
      <c r="P219" s="4218">
        <v>196511</v>
      </c>
      <c r="Q219" s="4218">
        <v>202329</v>
      </c>
      <c r="R219" s="4220">
        <v>0</v>
      </c>
      <c r="S219" s="4220"/>
      <c r="T219" s="4219">
        <v>0</v>
      </c>
      <c r="U219" s="5214">
        <v>0</v>
      </c>
      <c r="V219" s="4222"/>
      <c r="W219" s="4224">
        <v>0</v>
      </c>
      <c r="X219" s="4217">
        <v>60</v>
      </c>
      <c r="Y219" s="4223">
        <v>34</v>
      </c>
      <c r="Z219" s="5215">
        <v>0</v>
      </c>
      <c r="AA219" s="5215">
        <v>0</v>
      </c>
      <c r="AB219" s="5205">
        <v>0.1439</v>
      </c>
      <c r="AC219" s="4224">
        <v>160127</v>
      </c>
      <c r="AD219" s="4224"/>
      <c r="AE219" s="4224">
        <v>177255</v>
      </c>
      <c r="AF219" s="4225">
        <v>250.5</v>
      </c>
      <c r="AG219" s="4225">
        <v>267</v>
      </c>
      <c r="AH219" s="4225">
        <v>0</v>
      </c>
      <c r="AI219" s="4225">
        <v>0</v>
      </c>
      <c r="AJ219" s="4225">
        <v>0</v>
      </c>
      <c r="AK219" s="4225">
        <v>0</v>
      </c>
      <c r="AL219" s="4225">
        <v>0</v>
      </c>
      <c r="AM219" s="4221">
        <v>0</v>
      </c>
      <c r="AN219" s="4226">
        <v>0</v>
      </c>
      <c r="AO219" s="4224"/>
      <c r="AP219" s="4224"/>
      <c r="AQ219" s="4224">
        <v>1879347</v>
      </c>
      <c r="AR219" s="4221">
        <v>0.3</v>
      </c>
      <c r="AS219" s="4217">
        <v>2465379</v>
      </c>
      <c r="AT219" s="5216">
        <v>0</v>
      </c>
      <c r="AU219" s="5216">
        <v>0</v>
      </c>
      <c r="AV219" s="4220">
        <v>1879347</v>
      </c>
      <c r="AW219" s="5243">
        <v>0</v>
      </c>
      <c r="AX219" s="4224"/>
      <c r="AY219" s="5217">
        <v>0</v>
      </c>
      <c r="AZ219" s="4224"/>
      <c r="BA219" s="4224">
        <v>135332</v>
      </c>
      <c r="BB219" s="4224">
        <v>0</v>
      </c>
      <c r="BC219" s="5218"/>
      <c r="BD219" s="4217">
        <v>133901</v>
      </c>
      <c r="BE219" s="4224">
        <v>1871830</v>
      </c>
    </row>
    <row r="220" spans="1:57">
      <c r="A220" s="3810">
        <v>434</v>
      </c>
      <c r="B220" s="4210" t="s">
        <v>609</v>
      </c>
      <c r="C220" s="4211" t="s">
        <v>258</v>
      </c>
      <c r="D220" s="4212">
        <v>47127204</v>
      </c>
      <c r="E220" s="4213">
        <v>41467797</v>
      </c>
      <c r="F220" s="4224">
        <v>49309860</v>
      </c>
      <c r="G220" s="4224">
        <v>43663450</v>
      </c>
      <c r="H220" s="4214">
        <v>982.5</v>
      </c>
      <c r="I220" s="4215">
        <v>963.7</v>
      </c>
      <c r="J220" s="4216">
        <v>201</v>
      </c>
      <c r="K220" s="4217">
        <v>9536526</v>
      </c>
      <c r="L220" s="4225">
        <v>1027.7</v>
      </c>
      <c r="M220" s="4225">
        <v>985.7</v>
      </c>
      <c r="N220" s="4225">
        <v>994.8</v>
      </c>
      <c r="O220" s="4225">
        <v>990.2</v>
      </c>
      <c r="P220" s="4218">
        <v>1236692</v>
      </c>
      <c r="Q220" s="4218">
        <v>1360047</v>
      </c>
      <c r="R220" s="4220">
        <v>1455082</v>
      </c>
      <c r="S220" s="4220"/>
      <c r="T220" s="4219">
        <v>10795</v>
      </c>
      <c r="U220" s="5214">
        <v>18879</v>
      </c>
      <c r="V220" s="4222"/>
      <c r="W220" s="4224">
        <v>0</v>
      </c>
      <c r="X220" s="4217">
        <v>407</v>
      </c>
      <c r="Y220" s="4223">
        <v>132</v>
      </c>
      <c r="Z220" s="5215">
        <v>0.49</v>
      </c>
      <c r="AA220" s="5215">
        <v>0.27</v>
      </c>
      <c r="AB220" s="5205">
        <v>0.58509999999999995</v>
      </c>
      <c r="AC220" s="4224">
        <v>515382</v>
      </c>
      <c r="AD220" s="4224"/>
      <c r="AE220" s="4224">
        <v>555856</v>
      </c>
      <c r="AF220" s="4225">
        <v>1013.1</v>
      </c>
      <c r="AG220" s="4225">
        <v>968.5</v>
      </c>
      <c r="AH220" s="4225">
        <v>1.9</v>
      </c>
      <c r="AI220" s="4225">
        <v>0</v>
      </c>
      <c r="AJ220" s="4225">
        <v>0</v>
      </c>
      <c r="AK220" s="4225">
        <v>0</v>
      </c>
      <c r="AL220" s="4225">
        <v>0</v>
      </c>
      <c r="AM220" s="4221">
        <v>0</v>
      </c>
      <c r="AN220" s="4226">
        <v>0</v>
      </c>
      <c r="AO220" s="4224"/>
      <c r="AP220" s="4224"/>
      <c r="AQ220" s="4224">
        <v>6120248</v>
      </c>
      <c r="AR220" s="4221">
        <v>0.3</v>
      </c>
      <c r="AS220" s="4217">
        <v>8540568</v>
      </c>
      <c r="AT220" s="5216">
        <v>0</v>
      </c>
      <c r="AU220" s="5216">
        <v>0</v>
      </c>
      <c r="AV220" s="4220">
        <v>6120248</v>
      </c>
      <c r="AW220" s="5243">
        <v>108827</v>
      </c>
      <c r="AX220" s="4224"/>
      <c r="AY220" s="5217">
        <v>1455082</v>
      </c>
      <c r="AZ220" s="4224"/>
      <c r="BA220" s="4224">
        <v>424553</v>
      </c>
      <c r="BB220" s="4224">
        <v>108827</v>
      </c>
      <c r="BC220" s="5218"/>
      <c r="BD220" s="4217">
        <v>0</v>
      </c>
      <c r="BE220" s="4224">
        <v>6172078</v>
      </c>
    </row>
    <row r="221" spans="1:57">
      <c r="A221" s="3810">
        <v>435</v>
      </c>
      <c r="B221" s="4210" t="s">
        <v>610</v>
      </c>
      <c r="C221" s="4211" t="s">
        <v>248</v>
      </c>
      <c r="D221" s="4212">
        <v>78911316</v>
      </c>
      <c r="E221" s="4213">
        <v>71167832</v>
      </c>
      <c r="F221" s="4224">
        <v>79562980</v>
      </c>
      <c r="G221" s="4224">
        <v>71796081</v>
      </c>
      <c r="H221" s="4214">
        <v>1549.2</v>
      </c>
      <c r="I221" s="4215">
        <v>1524.3</v>
      </c>
      <c r="J221" s="4216">
        <v>101.5</v>
      </c>
      <c r="K221" s="4217">
        <v>11523830</v>
      </c>
      <c r="L221" s="4225">
        <v>1524.8</v>
      </c>
      <c r="M221" s="4225">
        <v>1539.8</v>
      </c>
      <c r="N221" s="4225">
        <v>1570.9</v>
      </c>
      <c r="O221" s="4225">
        <v>1552.9</v>
      </c>
      <c r="P221" s="4218">
        <v>1360650</v>
      </c>
      <c r="Q221" s="4218">
        <v>1335135</v>
      </c>
      <c r="R221" s="4220">
        <v>1675717</v>
      </c>
      <c r="S221" s="4220"/>
      <c r="T221" s="4219">
        <v>12908</v>
      </c>
      <c r="U221" s="5214">
        <v>14849</v>
      </c>
      <c r="V221" s="4222"/>
      <c r="W221" s="4224">
        <v>0</v>
      </c>
      <c r="X221" s="4217">
        <v>591</v>
      </c>
      <c r="Y221" s="4223">
        <v>222</v>
      </c>
      <c r="Z221" s="5215">
        <v>0.48</v>
      </c>
      <c r="AA221" s="5215">
        <v>0.26</v>
      </c>
      <c r="AB221" s="5205">
        <v>0.57709999999999995</v>
      </c>
      <c r="AC221" s="4224">
        <v>845375</v>
      </c>
      <c r="AD221" s="4224"/>
      <c r="AE221" s="4224">
        <v>913222</v>
      </c>
      <c r="AF221" s="4225">
        <v>1501.3</v>
      </c>
      <c r="AG221" s="4225">
        <v>1524</v>
      </c>
      <c r="AH221" s="4225">
        <v>22.8</v>
      </c>
      <c r="AI221" s="4225">
        <v>0</v>
      </c>
      <c r="AJ221" s="4225">
        <v>0</v>
      </c>
      <c r="AK221" s="4225">
        <v>0</v>
      </c>
      <c r="AL221" s="4225">
        <v>0</v>
      </c>
      <c r="AM221" s="4221">
        <v>0</v>
      </c>
      <c r="AN221" s="4226">
        <v>1476</v>
      </c>
      <c r="AO221" s="4224"/>
      <c r="AP221" s="4224"/>
      <c r="AQ221" s="4224">
        <v>7664910</v>
      </c>
      <c r="AR221" s="4221">
        <v>0.3</v>
      </c>
      <c r="AS221" s="4217">
        <v>10457049</v>
      </c>
      <c r="AT221" s="5216">
        <v>0</v>
      </c>
      <c r="AU221" s="5216">
        <v>0</v>
      </c>
      <c r="AV221" s="4220">
        <v>7664910</v>
      </c>
      <c r="AW221" s="5243">
        <v>122665</v>
      </c>
      <c r="AX221" s="4224"/>
      <c r="AY221" s="5217">
        <v>1675717</v>
      </c>
      <c r="AZ221" s="4224"/>
      <c r="BA221" s="4224">
        <v>699141</v>
      </c>
      <c r="BB221" s="4224">
        <v>122665</v>
      </c>
      <c r="BC221" s="5218"/>
      <c r="BD221" s="4217">
        <v>0</v>
      </c>
      <c r="BE221" s="4224">
        <v>7689721</v>
      </c>
    </row>
    <row r="222" spans="1:57">
      <c r="A222" s="3810">
        <v>436</v>
      </c>
      <c r="B222" s="4210" t="s">
        <v>611</v>
      </c>
      <c r="C222" s="4211" t="s">
        <v>260</v>
      </c>
      <c r="D222" s="4212">
        <v>32719392</v>
      </c>
      <c r="E222" s="4213">
        <v>28673996</v>
      </c>
      <c r="F222" s="4224">
        <v>51713218</v>
      </c>
      <c r="G222" s="4224">
        <v>47679205</v>
      </c>
      <c r="H222" s="4214">
        <v>721.5</v>
      </c>
      <c r="I222" s="4215">
        <v>735.5</v>
      </c>
      <c r="J222" s="4216">
        <v>168</v>
      </c>
      <c r="K222" s="4217">
        <v>6442958</v>
      </c>
      <c r="L222" s="4225">
        <v>778.6</v>
      </c>
      <c r="M222" s="4225">
        <v>787</v>
      </c>
      <c r="N222" s="4225">
        <v>742.9</v>
      </c>
      <c r="O222" s="4225">
        <v>746</v>
      </c>
      <c r="P222" s="4218">
        <v>459021</v>
      </c>
      <c r="Q222" s="4218">
        <v>437121</v>
      </c>
      <c r="R222" s="4220">
        <v>712610</v>
      </c>
      <c r="S222" s="4220"/>
      <c r="T222" s="4219">
        <v>4673</v>
      </c>
      <c r="U222" s="5214">
        <v>5118</v>
      </c>
      <c r="V222" s="4222"/>
      <c r="W222" s="4224">
        <v>0</v>
      </c>
      <c r="X222" s="4217">
        <v>308</v>
      </c>
      <c r="Y222" s="4223">
        <v>87</v>
      </c>
      <c r="Z222" s="5215">
        <v>0.28999999999999998</v>
      </c>
      <c r="AA222" s="5215">
        <v>7.0000000000000007E-2</v>
      </c>
      <c r="AB222" s="5205">
        <v>0.4229</v>
      </c>
      <c r="AC222" s="4224">
        <v>474696</v>
      </c>
      <c r="AD222" s="4224"/>
      <c r="AE222" s="4224">
        <v>509387</v>
      </c>
      <c r="AF222" s="4225">
        <v>751.5</v>
      </c>
      <c r="AG222" s="4225">
        <v>765.5</v>
      </c>
      <c r="AH222" s="4225">
        <v>12</v>
      </c>
      <c r="AI222" s="4225">
        <v>0</v>
      </c>
      <c r="AJ222" s="4225">
        <v>0</v>
      </c>
      <c r="AK222" s="4225">
        <v>0</v>
      </c>
      <c r="AL222" s="4225">
        <v>0</v>
      </c>
      <c r="AM222" s="4221">
        <v>0</v>
      </c>
      <c r="AN222" s="4226">
        <v>0</v>
      </c>
      <c r="AO222" s="4224"/>
      <c r="AP222" s="4224"/>
      <c r="AQ222" s="4224">
        <v>4862951</v>
      </c>
      <c r="AR222" s="4221">
        <v>0.18940000000000001</v>
      </c>
      <c r="AS222" s="4217">
        <v>6151553</v>
      </c>
      <c r="AT222" s="5216">
        <v>0</v>
      </c>
      <c r="AU222" s="5216">
        <v>0</v>
      </c>
      <c r="AV222" s="4220">
        <v>4862951</v>
      </c>
      <c r="AW222" s="5243">
        <v>85513</v>
      </c>
      <c r="AX222" s="4224"/>
      <c r="AY222" s="5217">
        <v>712610</v>
      </c>
      <c r="AZ222" s="4224"/>
      <c r="BA222" s="4224">
        <v>387732</v>
      </c>
      <c r="BB222" s="4224">
        <v>85513</v>
      </c>
      <c r="BC222" s="5218"/>
      <c r="BD222" s="4217">
        <v>0</v>
      </c>
      <c r="BE222" s="4224">
        <v>4818392</v>
      </c>
    </row>
    <row r="223" spans="1:57">
      <c r="A223" s="3810">
        <v>437</v>
      </c>
      <c r="B223" s="4210" t="s">
        <v>612</v>
      </c>
      <c r="C223" s="4211" t="s">
        <v>223</v>
      </c>
      <c r="D223" s="4212">
        <v>453280972</v>
      </c>
      <c r="E223" s="4213">
        <v>425834550</v>
      </c>
      <c r="F223" s="4224">
        <v>462320700</v>
      </c>
      <c r="G223" s="4224">
        <v>434680210</v>
      </c>
      <c r="H223" s="4214">
        <v>5874.8</v>
      </c>
      <c r="I223" s="4215">
        <v>5976.2</v>
      </c>
      <c r="J223" s="4216">
        <v>128</v>
      </c>
      <c r="K223" s="4217">
        <v>41028101</v>
      </c>
      <c r="L223" s="4225">
        <v>5736</v>
      </c>
      <c r="M223" s="4225">
        <v>5768.4</v>
      </c>
      <c r="N223" s="4225">
        <v>5918.1</v>
      </c>
      <c r="O223" s="4225">
        <v>6008.6</v>
      </c>
      <c r="P223" s="4218">
        <v>5673428</v>
      </c>
      <c r="Q223" s="4218">
        <v>5807968</v>
      </c>
      <c r="R223" s="4220">
        <v>3034669</v>
      </c>
      <c r="S223" s="4220"/>
      <c r="T223" s="4219">
        <v>2716</v>
      </c>
      <c r="U223" s="5214">
        <v>2768</v>
      </c>
      <c r="V223" s="4222"/>
      <c r="W223" s="4224">
        <v>0</v>
      </c>
      <c r="X223" s="4217">
        <v>1584</v>
      </c>
      <c r="Y223" s="4223">
        <v>567</v>
      </c>
      <c r="Z223" s="5215">
        <v>0.21</v>
      </c>
      <c r="AA223" s="5215">
        <v>0</v>
      </c>
      <c r="AB223" s="5205">
        <v>0.35799999999999998</v>
      </c>
      <c r="AC223" s="4224">
        <v>3615752</v>
      </c>
      <c r="AD223" s="4224"/>
      <c r="AE223" s="4224">
        <v>4052781</v>
      </c>
      <c r="AF223" s="4225">
        <v>5707</v>
      </c>
      <c r="AG223" s="4225">
        <v>5720</v>
      </c>
      <c r="AH223" s="4225">
        <v>14</v>
      </c>
      <c r="AI223" s="4225">
        <v>0</v>
      </c>
      <c r="AJ223" s="4225">
        <v>0</v>
      </c>
      <c r="AK223" s="4225">
        <v>0</v>
      </c>
      <c r="AL223" s="4225">
        <v>0</v>
      </c>
      <c r="AM223" s="4227">
        <v>2.2100000000000002E-2</v>
      </c>
      <c r="AN223" s="4226">
        <v>0</v>
      </c>
      <c r="AO223" s="4224"/>
      <c r="AP223" s="4224"/>
      <c r="AQ223" s="4224">
        <v>28404053</v>
      </c>
      <c r="AR223" s="4221">
        <v>0.3</v>
      </c>
      <c r="AS223" s="4217">
        <v>38715787</v>
      </c>
      <c r="AT223" s="5216">
        <v>0</v>
      </c>
      <c r="AU223" s="5216">
        <v>0</v>
      </c>
      <c r="AV223" s="4220">
        <v>28404053</v>
      </c>
      <c r="AW223" s="5243">
        <v>261381</v>
      </c>
      <c r="AX223" s="4224"/>
      <c r="AY223" s="5217">
        <v>3034669</v>
      </c>
      <c r="AZ223" s="4224"/>
      <c r="BA223" s="4224">
        <v>3097910</v>
      </c>
      <c r="BB223" s="4224">
        <v>0</v>
      </c>
      <c r="BC223" s="5218"/>
      <c r="BD223" s="4217">
        <v>0</v>
      </c>
      <c r="BE223" s="4224">
        <v>28257511</v>
      </c>
    </row>
    <row r="224" spans="1:57">
      <c r="A224" s="3810">
        <v>438</v>
      </c>
      <c r="B224" s="4210" t="s">
        <v>613</v>
      </c>
      <c r="C224" s="4211" t="s">
        <v>243</v>
      </c>
      <c r="D224" s="4212">
        <v>31647399</v>
      </c>
      <c r="E224" s="4213">
        <v>30494313</v>
      </c>
      <c r="F224" s="4224">
        <v>33079964</v>
      </c>
      <c r="G224" s="4224">
        <v>31921315</v>
      </c>
      <c r="H224" s="4214">
        <v>392</v>
      </c>
      <c r="I224" s="4215">
        <v>394.5</v>
      </c>
      <c r="J224" s="4216">
        <v>490</v>
      </c>
      <c r="K224" s="4217">
        <v>3644801</v>
      </c>
      <c r="L224" s="4225">
        <v>403.2</v>
      </c>
      <c r="M224" s="4225">
        <v>411.9</v>
      </c>
      <c r="N224" s="4225">
        <v>406</v>
      </c>
      <c r="O224" s="4225">
        <v>394.5</v>
      </c>
      <c r="P224" s="4218">
        <v>454185</v>
      </c>
      <c r="Q224" s="4218">
        <v>477109</v>
      </c>
      <c r="R224" s="4220">
        <v>379357</v>
      </c>
      <c r="S224" s="4220"/>
      <c r="T224" s="4219">
        <v>0</v>
      </c>
      <c r="U224" s="5214">
        <v>0</v>
      </c>
      <c r="V224" s="4222"/>
      <c r="W224" s="4224">
        <v>0</v>
      </c>
      <c r="X224" s="4217">
        <v>76</v>
      </c>
      <c r="Y224" s="4223">
        <v>28</v>
      </c>
      <c r="Z224" s="5215">
        <v>0.18</v>
      </c>
      <c r="AA224" s="5215">
        <v>0</v>
      </c>
      <c r="AB224" s="5205">
        <v>0.32719999999999999</v>
      </c>
      <c r="AC224" s="4224">
        <v>250714</v>
      </c>
      <c r="AD224" s="4224"/>
      <c r="AE224" s="4224">
        <v>249926</v>
      </c>
      <c r="AF224" s="4225">
        <v>388.5</v>
      </c>
      <c r="AG224" s="4225">
        <v>400</v>
      </c>
      <c r="AH224" s="4225">
        <v>14.7</v>
      </c>
      <c r="AI224" s="4225">
        <v>0</v>
      </c>
      <c r="AJ224" s="4225">
        <v>0</v>
      </c>
      <c r="AK224" s="4225">
        <v>0</v>
      </c>
      <c r="AL224" s="4225">
        <v>0</v>
      </c>
      <c r="AM224" s="4221">
        <v>0</v>
      </c>
      <c r="AN224" s="4226">
        <v>0</v>
      </c>
      <c r="AO224" s="4224"/>
      <c r="AP224" s="4224"/>
      <c r="AQ224" s="4224">
        <v>2652103</v>
      </c>
      <c r="AR224" s="4221">
        <v>0.31</v>
      </c>
      <c r="AS224" s="4217">
        <v>3484935</v>
      </c>
      <c r="AT224" s="5216">
        <v>0</v>
      </c>
      <c r="AU224" s="5216">
        <v>0</v>
      </c>
      <c r="AV224" s="4220">
        <v>2652103</v>
      </c>
      <c r="AW224" s="5243">
        <v>28308</v>
      </c>
      <c r="AX224" s="4224"/>
      <c r="AY224" s="5217">
        <v>372306</v>
      </c>
      <c r="AZ224" s="4224"/>
      <c r="BA224" s="4224">
        <v>193748</v>
      </c>
      <c r="BB224" s="4224">
        <v>14587</v>
      </c>
      <c r="BC224" s="5218"/>
      <c r="BD224" s="4217">
        <v>0</v>
      </c>
      <c r="BE224" s="4224">
        <v>2584996</v>
      </c>
    </row>
    <row r="225" spans="1:57">
      <c r="A225" s="3810">
        <v>439</v>
      </c>
      <c r="B225" s="4210" t="s">
        <v>614</v>
      </c>
      <c r="C225" s="4211" t="s">
        <v>236</v>
      </c>
      <c r="D225" s="4212">
        <v>16989077</v>
      </c>
      <c r="E225" s="4213">
        <v>15264055</v>
      </c>
      <c r="F225" s="4224">
        <v>18089637</v>
      </c>
      <c r="G225" s="4224">
        <v>16339863</v>
      </c>
      <c r="H225" s="4214">
        <v>483.9</v>
      </c>
      <c r="I225" s="4215">
        <v>459</v>
      </c>
      <c r="J225" s="4216">
        <v>42</v>
      </c>
      <c r="K225" s="4217">
        <v>4534716</v>
      </c>
      <c r="L225" s="4225">
        <v>496</v>
      </c>
      <c r="M225" s="4225">
        <v>500.4</v>
      </c>
      <c r="N225" s="4225">
        <v>483.9</v>
      </c>
      <c r="O225" s="4225">
        <v>459</v>
      </c>
      <c r="P225" s="4218">
        <v>466571</v>
      </c>
      <c r="Q225" s="4218">
        <v>458481</v>
      </c>
      <c r="R225" s="4220">
        <v>713503</v>
      </c>
      <c r="S225" s="4220"/>
      <c r="T225" s="4219">
        <v>0</v>
      </c>
      <c r="U225" s="5214">
        <v>0</v>
      </c>
      <c r="V225" s="4222"/>
      <c r="W225" s="4224">
        <v>0</v>
      </c>
      <c r="X225" s="4217">
        <v>128</v>
      </c>
      <c r="Y225" s="4223">
        <v>59</v>
      </c>
      <c r="Z225" s="5215">
        <v>0.59</v>
      </c>
      <c r="AA225" s="5215">
        <v>0.38</v>
      </c>
      <c r="AB225" s="5205">
        <v>0.67490000000000006</v>
      </c>
      <c r="AC225" s="4224">
        <v>282364</v>
      </c>
      <c r="AD225" s="4224"/>
      <c r="AE225" s="4224">
        <v>317511</v>
      </c>
      <c r="AF225" s="4225">
        <v>496</v>
      </c>
      <c r="AG225" s="4225">
        <v>500.4</v>
      </c>
      <c r="AH225" s="4225">
        <v>0</v>
      </c>
      <c r="AI225" s="4225">
        <v>0</v>
      </c>
      <c r="AJ225" s="4225">
        <v>0</v>
      </c>
      <c r="AK225" s="4225">
        <v>0</v>
      </c>
      <c r="AL225" s="4225">
        <v>0</v>
      </c>
      <c r="AM225" s="4221">
        <v>0</v>
      </c>
      <c r="AN225" s="4226">
        <v>0</v>
      </c>
      <c r="AO225" s="4224"/>
      <c r="AP225" s="4224"/>
      <c r="AQ225" s="4224">
        <v>3086235</v>
      </c>
      <c r="AR225" s="4221">
        <v>0.24970000000000001</v>
      </c>
      <c r="AS225" s="4217">
        <v>4064408</v>
      </c>
      <c r="AT225" s="5216">
        <v>0</v>
      </c>
      <c r="AU225" s="5216">
        <v>0</v>
      </c>
      <c r="AV225" s="4220">
        <v>3086235</v>
      </c>
      <c r="AW225" s="5243">
        <v>29363</v>
      </c>
      <c r="AX225" s="4224"/>
      <c r="AY225" s="5217">
        <v>713503</v>
      </c>
      <c r="AZ225" s="4224"/>
      <c r="BA225" s="4224">
        <v>240678</v>
      </c>
      <c r="BB225" s="4224">
        <v>29363</v>
      </c>
      <c r="BC225" s="5218"/>
      <c r="BD225" s="4217">
        <v>0</v>
      </c>
      <c r="BE225" s="4224">
        <v>3073884</v>
      </c>
    </row>
    <row r="226" spans="1:57">
      <c r="A226" s="3810">
        <v>440</v>
      </c>
      <c r="B226" s="4210" t="s">
        <v>615</v>
      </c>
      <c r="C226" s="4211" t="s">
        <v>236</v>
      </c>
      <c r="D226" s="4212">
        <v>39321667</v>
      </c>
      <c r="E226" s="4213">
        <v>35307920</v>
      </c>
      <c r="F226" s="4224">
        <v>42461814</v>
      </c>
      <c r="G226" s="4224">
        <v>38402199</v>
      </c>
      <c r="H226" s="4214">
        <v>753.4</v>
      </c>
      <c r="I226" s="4215">
        <v>719.5</v>
      </c>
      <c r="J226" s="4216">
        <v>130</v>
      </c>
      <c r="K226" s="4217">
        <v>6908031</v>
      </c>
      <c r="L226" s="4225">
        <v>754.3</v>
      </c>
      <c r="M226" s="4225">
        <v>763.5</v>
      </c>
      <c r="N226" s="4225">
        <v>761.9</v>
      </c>
      <c r="O226" s="4225">
        <v>728.5</v>
      </c>
      <c r="P226" s="4218">
        <v>651081</v>
      </c>
      <c r="Q226" s="4218">
        <v>656433</v>
      </c>
      <c r="R226" s="4220">
        <v>1036165</v>
      </c>
      <c r="S226" s="4220"/>
      <c r="T226" s="4219">
        <v>4312</v>
      </c>
      <c r="U226" s="5214">
        <v>4079</v>
      </c>
      <c r="V226" s="4222"/>
      <c r="W226" s="4224">
        <v>0</v>
      </c>
      <c r="X226" s="4217">
        <v>265</v>
      </c>
      <c r="Y226" s="4223">
        <v>81</v>
      </c>
      <c r="Z226" s="5215">
        <v>0.4</v>
      </c>
      <c r="AA226" s="5215">
        <v>0.18</v>
      </c>
      <c r="AB226" s="5205">
        <v>0.5151</v>
      </c>
      <c r="AC226" s="4224">
        <v>435532</v>
      </c>
      <c r="AD226" s="4224"/>
      <c r="AE226" s="4224">
        <v>483187</v>
      </c>
      <c r="AF226" s="4225">
        <v>744</v>
      </c>
      <c r="AG226" s="4225">
        <v>753.5</v>
      </c>
      <c r="AH226" s="4225">
        <v>0</v>
      </c>
      <c r="AI226" s="4225">
        <v>0</v>
      </c>
      <c r="AJ226" s="4225">
        <v>0</v>
      </c>
      <c r="AK226" s="4225">
        <v>0</v>
      </c>
      <c r="AL226" s="4225">
        <v>0</v>
      </c>
      <c r="AM226" s="4221">
        <v>0</v>
      </c>
      <c r="AN226" s="4226">
        <v>0</v>
      </c>
      <c r="AO226" s="4224"/>
      <c r="AP226" s="4224"/>
      <c r="AQ226" s="4224">
        <v>4822611</v>
      </c>
      <c r="AR226" s="4221">
        <v>0.3</v>
      </c>
      <c r="AS226" s="4217">
        <v>6279215</v>
      </c>
      <c r="AT226" s="5216">
        <v>0</v>
      </c>
      <c r="AU226" s="5216">
        <v>0</v>
      </c>
      <c r="AV226" s="4220">
        <v>4822611</v>
      </c>
      <c r="AW226" s="5243">
        <v>42356</v>
      </c>
      <c r="AX226" s="4224"/>
      <c r="AY226" s="5217">
        <v>1036165</v>
      </c>
      <c r="AZ226" s="4224"/>
      <c r="BA226" s="4224">
        <v>369756</v>
      </c>
      <c r="BB226" s="4224">
        <v>42356</v>
      </c>
      <c r="BC226" s="5218"/>
      <c r="BD226" s="4217">
        <v>0</v>
      </c>
      <c r="BE226" s="4224">
        <v>4803321</v>
      </c>
    </row>
    <row r="227" spans="1:57">
      <c r="A227" s="3810">
        <v>443</v>
      </c>
      <c r="B227" s="4210" t="s">
        <v>616</v>
      </c>
      <c r="C227" s="4211" t="s">
        <v>242</v>
      </c>
      <c r="D227" s="4212">
        <v>208865837</v>
      </c>
      <c r="E227" s="4213">
        <v>189088237</v>
      </c>
      <c r="F227" s="4224">
        <v>220921733</v>
      </c>
      <c r="G227" s="4224">
        <v>201438950</v>
      </c>
      <c r="H227" s="4214">
        <v>6326.5</v>
      </c>
      <c r="I227" s="4215">
        <v>6412.6</v>
      </c>
      <c r="J227" s="4216">
        <v>425.7</v>
      </c>
      <c r="K227" s="4217">
        <v>61922987</v>
      </c>
      <c r="L227" s="4225">
        <v>6231.4</v>
      </c>
      <c r="M227" s="4225">
        <v>6268.9</v>
      </c>
      <c r="N227" s="4225">
        <v>6401.6</v>
      </c>
      <c r="O227" s="4225">
        <v>6525.9</v>
      </c>
      <c r="P227" s="4218">
        <v>4729738</v>
      </c>
      <c r="Q227" s="4218">
        <v>4913191</v>
      </c>
      <c r="R227" s="4220">
        <v>11094655</v>
      </c>
      <c r="S227" s="4220"/>
      <c r="T227" s="4219">
        <v>0</v>
      </c>
      <c r="U227" s="5214">
        <v>0</v>
      </c>
      <c r="V227" s="4222"/>
      <c r="W227" s="4224">
        <v>0</v>
      </c>
      <c r="X227" s="4217">
        <v>4971</v>
      </c>
      <c r="Y227" s="4223">
        <v>720</v>
      </c>
      <c r="Z227" s="5215">
        <v>0.65</v>
      </c>
      <c r="AA227" s="5215">
        <v>0.43</v>
      </c>
      <c r="AB227" s="5205">
        <v>0.72009999999999996</v>
      </c>
      <c r="AC227" s="4224">
        <v>4287688</v>
      </c>
      <c r="AD227" s="4224"/>
      <c r="AE227" s="4224">
        <v>4886619</v>
      </c>
      <c r="AF227" s="4225">
        <v>6154.3</v>
      </c>
      <c r="AG227" s="4225">
        <v>6194.4</v>
      </c>
      <c r="AH227" s="4225">
        <v>0.6</v>
      </c>
      <c r="AI227" s="4225">
        <v>0</v>
      </c>
      <c r="AJ227" s="4225">
        <v>0</v>
      </c>
      <c r="AK227" s="4225">
        <v>0</v>
      </c>
      <c r="AL227" s="4225">
        <v>0</v>
      </c>
      <c r="AM227" s="4221">
        <v>0</v>
      </c>
      <c r="AN227" s="4226">
        <v>0</v>
      </c>
      <c r="AO227" s="4224"/>
      <c r="AP227" s="4224"/>
      <c r="AQ227" s="4224">
        <v>41602006</v>
      </c>
      <c r="AR227" s="4221">
        <v>0.3</v>
      </c>
      <c r="AS227" s="4217">
        <v>53360336</v>
      </c>
      <c r="AT227" s="5216">
        <v>0</v>
      </c>
      <c r="AU227" s="5216">
        <v>0</v>
      </c>
      <c r="AV227" s="4220">
        <v>41602006</v>
      </c>
      <c r="AW227" s="5243">
        <v>713567</v>
      </c>
      <c r="AX227" s="4224"/>
      <c r="AY227" s="5217">
        <v>11094655</v>
      </c>
      <c r="AZ227" s="4224"/>
      <c r="BA227" s="4224">
        <v>3706851</v>
      </c>
      <c r="BB227" s="4224">
        <v>713567</v>
      </c>
      <c r="BC227" s="5218"/>
      <c r="BD227" s="4217">
        <v>0</v>
      </c>
      <c r="BE227" s="4224">
        <v>41467481</v>
      </c>
    </row>
    <row r="228" spans="1:57">
      <c r="A228" s="3810">
        <v>444</v>
      </c>
      <c r="B228" s="4210" t="s">
        <v>617</v>
      </c>
      <c r="C228" s="4211" t="s">
        <v>238</v>
      </c>
      <c r="D228" s="4212">
        <v>39316502</v>
      </c>
      <c r="E228" s="4213">
        <v>37960261</v>
      </c>
      <c r="F228" s="4224">
        <v>48171133</v>
      </c>
      <c r="G228" s="4224">
        <v>46807212</v>
      </c>
      <c r="H228" s="4214">
        <v>319.3</v>
      </c>
      <c r="I228" s="4215">
        <v>309.39999999999998</v>
      </c>
      <c r="J228" s="4216">
        <v>244.5</v>
      </c>
      <c r="K228" s="4217">
        <v>2791406</v>
      </c>
      <c r="L228" s="4225">
        <v>365.9</v>
      </c>
      <c r="M228" s="4225">
        <v>333.4</v>
      </c>
      <c r="N228" s="4225">
        <v>321.8</v>
      </c>
      <c r="O228" s="4225">
        <v>312.89999999999998</v>
      </c>
      <c r="P228" s="4218">
        <v>428695</v>
      </c>
      <c r="Q228" s="4218">
        <v>415878</v>
      </c>
      <c r="R228" s="4220">
        <v>0</v>
      </c>
      <c r="S228" s="4220"/>
      <c r="T228" s="4219">
        <v>8563</v>
      </c>
      <c r="U228" s="5214">
        <v>4127</v>
      </c>
      <c r="V228" s="4222"/>
      <c r="W228" s="4224">
        <v>0</v>
      </c>
      <c r="X228" s="4217">
        <v>66</v>
      </c>
      <c r="Y228" s="4223">
        <v>35</v>
      </c>
      <c r="Z228" s="5215">
        <v>0</v>
      </c>
      <c r="AA228" s="5215">
        <v>0</v>
      </c>
      <c r="AB228" s="5205">
        <v>0</v>
      </c>
      <c r="AC228" s="4224">
        <v>179074</v>
      </c>
      <c r="AD228" s="4224"/>
      <c r="AE228" s="4224">
        <v>197936</v>
      </c>
      <c r="AF228" s="4225">
        <v>356.5</v>
      </c>
      <c r="AG228" s="4225">
        <v>325.89999999999998</v>
      </c>
      <c r="AH228" s="4225">
        <v>1.1000000000000001</v>
      </c>
      <c r="AI228" s="4225">
        <v>0</v>
      </c>
      <c r="AJ228" s="4225">
        <v>0</v>
      </c>
      <c r="AK228" s="4225">
        <v>0</v>
      </c>
      <c r="AL228" s="4225">
        <v>0</v>
      </c>
      <c r="AM228" s="4221">
        <v>0</v>
      </c>
      <c r="AN228" s="4226">
        <v>0</v>
      </c>
      <c r="AO228" s="4224"/>
      <c r="AP228" s="4224"/>
      <c r="AQ228" s="4224">
        <v>2235903</v>
      </c>
      <c r="AR228" s="4221">
        <v>0.28970000000000001</v>
      </c>
      <c r="AS228" s="4217">
        <v>3037385</v>
      </c>
      <c r="AT228" s="5216">
        <v>0</v>
      </c>
      <c r="AU228" s="5216">
        <v>0</v>
      </c>
      <c r="AV228" s="4220">
        <v>2235903</v>
      </c>
      <c r="AW228" s="5243">
        <v>0</v>
      </c>
      <c r="AX228" s="4224"/>
      <c r="AY228" s="5217">
        <v>0</v>
      </c>
      <c r="AZ228" s="4224"/>
      <c r="BA228" s="4224">
        <v>151300</v>
      </c>
      <c r="BB228" s="4224">
        <v>0</v>
      </c>
      <c r="BC228" s="5218"/>
      <c r="BD228" s="4217">
        <v>0</v>
      </c>
      <c r="BE228" s="4224">
        <v>2222739</v>
      </c>
    </row>
    <row r="229" spans="1:57">
      <c r="A229" s="3810">
        <v>445</v>
      </c>
      <c r="B229" s="4210" t="s">
        <v>618</v>
      </c>
      <c r="C229" s="4211" t="s">
        <v>260</v>
      </c>
      <c r="D229" s="4212">
        <v>129680344</v>
      </c>
      <c r="E229" s="4213">
        <v>117717833</v>
      </c>
      <c r="F229" s="4224">
        <v>130263136</v>
      </c>
      <c r="G229" s="4224">
        <v>118377268</v>
      </c>
      <c r="H229" s="4214">
        <v>1629.5</v>
      </c>
      <c r="I229" s="4215">
        <v>1625.6</v>
      </c>
      <c r="J229" s="4216">
        <v>120</v>
      </c>
      <c r="K229" s="4217">
        <v>13287051</v>
      </c>
      <c r="L229" s="4225">
        <v>1774.1</v>
      </c>
      <c r="M229" s="4225">
        <v>1732.1</v>
      </c>
      <c r="N229" s="4225">
        <v>1660</v>
      </c>
      <c r="O229" s="4225">
        <v>1654.1</v>
      </c>
      <c r="P229" s="4218">
        <v>1340890</v>
      </c>
      <c r="Q229" s="4218">
        <v>1309321</v>
      </c>
      <c r="R229" s="4220">
        <v>1168553</v>
      </c>
      <c r="S229" s="4220"/>
      <c r="T229" s="4219">
        <v>0</v>
      </c>
      <c r="U229" s="5214">
        <v>0</v>
      </c>
      <c r="V229" s="4222"/>
      <c r="W229" s="4224">
        <v>0</v>
      </c>
      <c r="X229" s="4217">
        <v>1160</v>
      </c>
      <c r="Y229" s="4223">
        <v>134</v>
      </c>
      <c r="Z229" s="5215">
        <v>0.2</v>
      </c>
      <c r="AA229" s="5215">
        <v>0</v>
      </c>
      <c r="AB229" s="5205">
        <v>0.34839999999999999</v>
      </c>
      <c r="AC229" s="4224">
        <v>917362</v>
      </c>
      <c r="AD229" s="4224"/>
      <c r="AE229" s="4224">
        <v>1023918</v>
      </c>
      <c r="AF229" s="4225">
        <v>1746.6</v>
      </c>
      <c r="AG229" s="4225">
        <v>1701.1</v>
      </c>
      <c r="AH229" s="4225">
        <v>2.6</v>
      </c>
      <c r="AI229" s="4225">
        <v>0</v>
      </c>
      <c r="AJ229" s="4225">
        <v>0</v>
      </c>
      <c r="AK229" s="4225">
        <v>0</v>
      </c>
      <c r="AL229" s="4225">
        <v>0</v>
      </c>
      <c r="AM229" s="4221">
        <v>0</v>
      </c>
      <c r="AN229" s="4226">
        <v>0</v>
      </c>
      <c r="AO229" s="4224"/>
      <c r="AP229" s="4224"/>
      <c r="AQ229" s="4224">
        <v>9963250</v>
      </c>
      <c r="AR229" s="4221">
        <v>0.3</v>
      </c>
      <c r="AS229" s="4217">
        <v>13154845</v>
      </c>
      <c r="AT229" s="5216">
        <v>0</v>
      </c>
      <c r="AU229" s="5216">
        <v>0</v>
      </c>
      <c r="AV229" s="4220">
        <v>9963250</v>
      </c>
      <c r="AW229" s="5243">
        <v>28924</v>
      </c>
      <c r="AX229" s="4224"/>
      <c r="AY229" s="5217">
        <v>1168553</v>
      </c>
      <c r="AZ229" s="4224"/>
      <c r="BA229" s="4224">
        <v>787343</v>
      </c>
      <c r="BB229" s="4224">
        <v>6137</v>
      </c>
      <c r="BC229" s="5218"/>
      <c r="BD229" s="4217">
        <v>0</v>
      </c>
      <c r="BE229" s="4224">
        <v>9923422</v>
      </c>
    </row>
    <row r="230" spans="1:57">
      <c r="A230" s="3810">
        <v>446</v>
      </c>
      <c r="B230" s="4210" t="s">
        <v>619</v>
      </c>
      <c r="C230" s="4211" t="s">
        <v>260</v>
      </c>
      <c r="D230" s="4212">
        <v>100468229</v>
      </c>
      <c r="E230" s="4213">
        <v>88457113</v>
      </c>
      <c r="F230" s="4224">
        <v>114691045</v>
      </c>
      <c r="G230" s="4224">
        <v>102691833</v>
      </c>
      <c r="H230" s="4214">
        <v>1924.8</v>
      </c>
      <c r="I230" s="4215">
        <v>1916</v>
      </c>
      <c r="J230" s="4216">
        <v>210.9</v>
      </c>
      <c r="K230" s="4217">
        <v>15112439</v>
      </c>
      <c r="L230" s="4225">
        <v>1949.3</v>
      </c>
      <c r="M230" s="4225">
        <v>1950.2</v>
      </c>
      <c r="N230" s="4225">
        <v>1938.8</v>
      </c>
      <c r="O230" s="4225">
        <v>1930</v>
      </c>
      <c r="P230" s="4218">
        <v>1372892</v>
      </c>
      <c r="Q230" s="4218">
        <v>1351657</v>
      </c>
      <c r="R230" s="4220">
        <v>2209610</v>
      </c>
      <c r="S230" s="4220"/>
      <c r="T230" s="4219">
        <v>2893</v>
      </c>
      <c r="U230" s="5214">
        <v>2722</v>
      </c>
      <c r="V230" s="4222"/>
      <c r="W230" s="4224">
        <v>0</v>
      </c>
      <c r="X230" s="4217">
        <v>1089</v>
      </c>
      <c r="Y230" s="4223">
        <v>250</v>
      </c>
      <c r="Z230" s="5215">
        <v>0.39</v>
      </c>
      <c r="AA230" s="5215">
        <v>0.17</v>
      </c>
      <c r="AB230" s="5205">
        <v>0.50509999999999999</v>
      </c>
      <c r="AC230" s="4224">
        <v>1108153</v>
      </c>
      <c r="AD230" s="4224"/>
      <c r="AE230" s="4224">
        <v>1234444</v>
      </c>
      <c r="AF230" s="4225">
        <v>1935.3</v>
      </c>
      <c r="AG230" s="4225">
        <v>1936.2</v>
      </c>
      <c r="AH230" s="4225">
        <v>0</v>
      </c>
      <c r="AI230" s="4225">
        <v>0</v>
      </c>
      <c r="AJ230" s="4225">
        <v>0</v>
      </c>
      <c r="AK230" s="4225">
        <v>0</v>
      </c>
      <c r="AL230" s="4225">
        <v>0</v>
      </c>
      <c r="AM230" s="4221">
        <v>0</v>
      </c>
      <c r="AN230" s="4226">
        <v>22490</v>
      </c>
      <c r="AO230" s="4224"/>
      <c r="AP230" s="4224"/>
      <c r="AQ230" s="5219">
        <v>10495527</v>
      </c>
      <c r="AR230" s="4221">
        <v>0.3</v>
      </c>
      <c r="AS230" s="4217">
        <v>13695489</v>
      </c>
      <c r="AT230" s="5216">
        <v>0</v>
      </c>
      <c r="AU230" s="5216">
        <v>0</v>
      </c>
      <c r="AV230" s="4220">
        <v>10495527</v>
      </c>
      <c r="AW230" s="5243">
        <v>101884</v>
      </c>
      <c r="AX230" s="4224"/>
      <c r="AY230" s="5217">
        <v>2209610</v>
      </c>
      <c r="AZ230" s="4224"/>
      <c r="BA230" s="4224">
        <v>940238</v>
      </c>
      <c r="BB230" s="4224">
        <v>101884</v>
      </c>
      <c r="BC230" s="5218"/>
      <c r="BD230" s="4217">
        <v>0</v>
      </c>
      <c r="BE230" s="4224">
        <v>10476035</v>
      </c>
    </row>
    <row r="231" spans="1:57">
      <c r="A231" s="3810">
        <v>447</v>
      </c>
      <c r="B231" s="4210" t="s">
        <v>620</v>
      </c>
      <c r="C231" s="4211" t="s">
        <v>260</v>
      </c>
      <c r="D231" s="4212">
        <v>25849634</v>
      </c>
      <c r="E231" s="4213">
        <v>21930750</v>
      </c>
      <c r="F231" s="4224">
        <v>25756265</v>
      </c>
      <c r="G231" s="4224">
        <v>21874336</v>
      </c>
      <c r="H231" s="4214">
        <v>793</v>
      </c>
      <c r="I231" s="4215">
        <v>770.7</v>
      </c>
      <c r="J231" s="4216">
        <v>140</v>
      </c>
      <c r="K231" s="4217">
        <v>7893318</v>
      </c>
      <c r="L231" s="4225">
        <v>936.8</v>
      </c>
      <c r="M231" s="4225">
        <v>902.4</v>
      </c>
      <c r="N231" s="4225">
        <v>897.7</v>
      </c>
      <c r="O231" s="4225">
        <v>898.6</v>
      </c>
      <c r="P231" s="4218">
        <v>591423</v>
      </c>
      <c r="Q231" s="4218">
        <v>575841</v>
      </c>
      <c r="R231" s="4220">
        <v>1499840</v>
      </c>
      <c r="S231" s="4220"/>
      <c r="T231" s="4219">
        <v>0</v>
      </c>
      <c r="U231" s="5214">
        <v>0</v>
      </c>
      <c r="V231" s="4222"/>
      <c r="W231" s="4224">
        <v>0</v>
      </c>
      <c r="X231" s="4217">
        <v>440</v>
      </c>
      <c r="Y231" s="4223">
        <v>111</v>
      </c>
      <c r="Z231" s="5215">
        <v>0.7</v>
      </c>
      <c r="AA231" s="5215">
        <v>0.48</v>
      </c>
      <c r="AB231" s="5205">
        <v>0.76149999999999995</v>
      </c>
      <c r="AC231" s="4224">
        <v>502876</v>
      </c>
      <c r="AD231" s="4224"/>
      <c r="AE231" s="4224">
        <v>566634</v>
      </c>
      <c r="AF231" s="4225">
        <v>823.5</v>
      </c>
      <c r="AG231" s="4225">
        <v>799.4</v>
      </c>
      <c r="AH231" s="4225">
        <v>97.3</v>
      </c>
      <c r="AI231" s="4225">
        <v>0</v>
      </c>
      <c r="AJ231" s="4225">
        <v>0</v>
      </c>
      <c r="AK231" s="4225">
        <v>0</v>
      </c>
      <c r="AL231" s="4225">
        <v>0</v>
      </c>
      <c r="AM231" s="4221">
        <v>0</v>
      </c>
      <c r="AN231" s="4226">
        <v>0</v>
      </c>
      <c r="AO231" s="4224"/>
      <c r="AP231" s="4224"/>
      <c r="AQ231" s="4224">
        <v>5604987</v>
      </c>
      <c r="AR231" s="4221">
        <v>0.3</v>
      </c>
      <c r="AS231" s="4217">
        <v>6712803</v>
      </c>
      <c r="AT231" s="5216">
        <v>0</v>
      </c>
      <c r="AU231" s="5216">
        <v>0</v>
      </c>
      <c r="AV231" s="4220">
        <v>5604987</v>
      </c>
      <c r="AW231" s="5243">
        <v>0</v>
      </c>
      <c r="AX231" s="4224"/>
      <c r="AY231" s="5217">
        <v>1499840</v>
      </c>
      <c r="AZ231" s="4224"/>
      <c r="BA231" s="4224">
        <v>430227</v>
      </c>
      <c r="BB231" s="4224">
        <v>0</v>
      </c>
      <c r="BC231" s="5218"/>
      <c r="BD231" s="4217">
        <v>0</v>
      </c>
      <c r="BE231" s="4224">
        <v>5385859</v>
      </c>
    </row>
    <row r="232" spans="1:57">
      <c r="A232" s="3810">
        <v>448</v>
      </c>
      <c r="B232" s="4210" t="s">
        <v>621</v>
      </c>
      <c r="C232" s="4211" t="s">
        <v>252</v>
      </c>
      <c r="D232" s="4212">
        <v>33130549</v>
      </c>
      <c r="E232" s="4213">
        <v>31014352</v>
      </c>
      <c r="F232" s="4224">
        <v>37560481</v>
      </c>
      <c r="G232" s="4224">
        <v>35439163</v>
      </c>
      <c r="H232" s="4214">
        <v>412.3</v>
      </c>
      <c r="I232" s="4215">
        <v>410.1</v>
      </c>
      <c r="J232" s="4216">
        <v>144</v>
      </c>
      <c r="K232" s="4217">
        <v>3703568</v>
      </c>
      <c r="L232" s="4225">
        <v>408.3</v>
      </c>
      <c r="M232" s="4225">
        <v>412.3</v>
      </c>
      <c r="N232" s="4225">
        <v>420.3</v>
      </c>
      <c r="O232" s="4225">
        <v>417.6</v>
      </c>
      <c r="P232" s="4218">
        <v>463584</v>
      </c>
      <c r="Q232" s="4218">
        <v>481523</v>
      </c>
      <c r="R232" s="4220">
        <v>313364</v>
      </c>
      <c r="S232" s="4220"/>
      <c r="T232" s="4219">
        <v>0</v>
      </c>
      <c r="U232" s="5214">
        <v>188</v>
      </c>
      <c r="V232" s="4222"/>
      <c r="W232" s="4224">
        <v>0</v>
      </c>
      <c r="X232" s="4217">
        <v>97</v>
      </c>
      <c r="Y232" s="4223">
        <v>21</v>
      </c>
      <c r="Z232" s="5215">
        <v>0.08</v>
      </c>
      <c r="AA232" s="5215">
        <v>0</v>
      </c>
      <c r="AB232" s="5205">
        <v>0.24970000000000001</v>
      </c>
      <c r="AC232" s="4224">
        <v>260651</v>
      </c>
      <c r="AD232" s="4224"/>
      <c r="AE232" s="4224">
        <v>278275</v>
      </c>
      <c r="AF232" s="4225">
        <v>399.3</v>
      </c>
      <c r="AG232" s="4225">
        <v>404.3</v>
      </c>
      <c r="AH232" s="4225">
        <v>0</v>
      </c>
      <c r="AI232" s="4225">
        <v>0</v>
      </c>
      <c r="AJ232" s="4225">
        <v>0</v>
      </c>
      <c r="AK232" s="4225">
        <v>0</v>
      </c>
      <c r="AL232" s="4225">
        <v>17</v>
      </c>
      <c r="AM232" s="4221">
        <v>0</v>
      </c>
      <c r="AN232" s="4226">
        <v>0</v>
      </c>
      <c r="AO232" s="4224"/>
      <c r="AP232" s="4224"/>
      <c r="AQ232" s="4224">
        <v>2713546</v>
      </c>
      <c r="AR232" s="4221">
        <v>0.31</v>
      </c>
      <c r="AS232" s="4217">
        <v>3626789</v>
      </c>
      <c r="AT232" s="5216">
        <v>0</v>
      </c>
      <c r="AU232" s="5216">
        <v>0</v>
      </c>
      <c r="AV232" s="4220">
        <v>2713546</v>
      </c>
      <c r="AW232" s="5243">
        <v>13154</v>
      </c>
      <c r="AX232" s="4224"/>
      <c r="AY232" s="5217">
        <v>313364</v>
      </c>
      <c r="AZ232" s="4224"/>
      <c r="BA232" s="4224">
        <v>213345</v>
      </c>
      <c r="BB232" s="4224">
        <v>0</v>
      </c>
      <c r="BC232" s="5218"/>
      <c r="BD232" s="4217">
        <v>0</v>
      </c>
      <c r="BE232" s="4224">
        <v>2691521</v>
      </c>
    </row>
    <row r="233" spans="1:57">
      <c r="A233" s="3810">
        <v>449</v>
      </c>
      <c r="B233" s="4210" t="s">
        <v>622</v>
      </c>
      <c r="C233" s="4211" t="s">
        <v>178</v>
      </c>
      <c r="D233" s="4212">
        <v>34112418</v>
      </c>
      <c r="E233" s="4213">
        <v>30991827</v>
      </c>
      <c r="F233" s="4224">
        <v>35662223</v>
      </c>
      <c r="G233" s="4224">
        <v>32530405</v>
      </c>
      <c r="H233" s="4214">
        <v>620.1</v>
      </c>
      <c r="I233" s="4215">
        <v>599.5</v>
      </c>
      <c r="J233" s="4216">
        <v>117</v>
      </c>
      <c r="K233" s="4217">
        <v>6166079</v>
      </c>
      <c r="L233" s="4225">
        <v>657.9</v>
      </c>
      <c r="M233" s="4225">
        <v>652.70000000000005</v>
      </c>
      <c r="N233" s="4225">
        <v>620.1</v>
      </c>
      <c r="O233" s="4225">
        <v>599.5</v>
      </c>
      <c r="P233" s="4218">
        <v>744982</v>
      </c>
      <c r="Q233" s="4218">
        <v>826457</v>
      </c>
      <c r="R233" s="4220">
        <v>885932</v>
      </c>
      <c r="S233" s="4220"/>
      <c r="T233" s="4219">
        <v>8958</v>
      </c>
      <c r="U233" s="5214">
        <v>7039</v>
      </c>
      <c r="V233" s="4222"/>
      <c r="W233" s="4224">
        <v>0</v>
      </c>
      <c r="X233" s="4217">
        <v>150</v>
      </c>
      <c r="Y233" s="4223">
        <v>91</v>
      </c>
      <c r="Z233" s="5215">
        <v>0.39</v>
      </c>
      <c r="AA233" s="5215">
        <v>0.17</v>
      </c>
      <c r="AB233" s="5205">
        <v>0.50360000000000005</v>
      </c>
      <c r="AC233" s="4224">
        <v>389916</v>
      </c>
      <c r="AD233" s="4224"/>
      <c r="AE233" s="4224">
        <v>458991</v>
      </c>
      <c r="AF233" s="4225">
        <v>657.9</v>
      </c>
      <c r="AG233" s="4225">
        <v>652.70000000000005</v>
      </c>
      <c r="AH233" s="4225">
        <v>0</v>
      </c>
      <c r="AI233" s="4225">
        <v>0</v>
      </c>
      <c r="AJ233" s="4225">
        <v>0</v>
      </c>
      <c r="AK233" s="4225">
        <v>0</v>
      </c>
      <c r="AL233" s="4225">
        <v>28.1</v>
      </c>
      <c r="AM233" s="4221">
        <v>0</v>
      </c>
      <c r="AN233" s="4226">
        <v>0</v>
      </c>
      <c r="AO233" s="4224"/>
      <c r="AP233" s="4224"/>
      <c r="AQ233" s="4224">
        <v>4185492</v>
      </c>
      <c r="AR233" s="4221">
        <v>0.3</v>
      </c>
      <c r="AS233" s="4217">
        <v>5624265</v>
      </c>
      <c r="AT233" s="5216">
        <v>0</v>
      </c>
      <c r="AU233" s="5216">
        <v>0</v>
      </c>
      <c r="AV233" s="4220">
        <v>4185492</v>
      </c>
      <c r="AW233" s="5243">
        <v>40894</v>
      </c>
      <c r="AX233" s="4224"/>
      <c r="AY233" s="5217">
        <v>885932</v>
      </c>
      <c r="AZ233" s="4224"/>
      <c r="BA233" s="4224">
        <v>351192</v>
      </c>
      <c r="BB233" s="4224">
        <v>40894</v>
      </c>
      <c r="BC233" s="5218"/>
      <c r="BD233" s="4217">
        <v>0</v>
      </c>
      <c r="BE233" s="4224">
        <v>4060449</v>
      </c>
    </row>
    <row r="234" spans="1:57">
      <c r="A234" s="3810">
        <v>450</v>
      </c>
      <c r="B234" s="4210" t="s">
        <v>623</v>
      </c>
      <c r="C234" s="4211" t="s">
        <v>223</v>
      </c>
      <c r="D234" s="4212">
        <v>191263858</v>
      </c>
      <c r="E234" s="4213">
        <v>174251338</v>
      </c>
      <c r="F234" s="4224">
        <v>197228101</v>
      </c>
      <c r="G234" s="4224">
        <v>180153770</v>
      </c>
      <c r="H234" s="4214">
        <v>3488.5</v>
      </c>
      <c r="I234" s="4215">
        <v>3427</v>
      </c>
      <c r="J234" s="4216">
        <v>140</v>
      </c>
      <c r="K234" s="4217">
        <v>26597777</v>
      </c>
      <c r="L234" s="4225">
        <v>3435.3</v>
      </c>
      <c r="M234" s="4225">
        <v>3464.1</v>
      </c>
      <c r="N234" s="4225">
        <v>3500.1</v>
      </c>
      <c r="O234" s="4225">
        <v>3443</v>
      </c>
      <c r="P234" s="4218">
        <v>2964871</v>
      </c>
      <c r="Q234" s="4218">
        <v>3061124</v>
      </c>
      <c r="R234" s="4220">
        <v>3423124</v>
      </c>
      <c r="S234" s="4220"/>
      <c r="T234" s="4219">
        <v>8148</v>
      </c>
      <c r="U234" s="5214">
        <v>7294</v>
      </c>
      <c r="V234" s="4222"/>
      <c r="W234" s="4224">
        <v>0</v>
      </c>
      <c r="X234" s="4217">
        <v>1025</v>
      </c>
      <c r="Y234" s="4223">
        <v>356</v>
      </c>
      <c r="Z234" s="5215">
        <v>0.41</v>
      </c>
      <c r="AA234" s="5215">
        <v>0.19</v>
      </c>
      <c r="AB234" s="5205">
        <v>0.52200000000000002</v>
      </c>
      <c r="AC234" s="4224">
        <v>2111501</v>
      </c>
      <c r="AD234" s="4224"/>
      <c r="AE234" s="4224">
        <v>2346717</v>
      </c>
      <c r="AF234" s="4225">
        <v>3435.3</v>
      </c>
      <c r="AG234" s="4225">
        <v>3464.1</v>
      </c>
      <c r="AH234" s="4225">
        <v>12.2</v>
      </c>
      <c r="AI234" s="4225">
        <v>0</v>
      </c>
      <c r="AJ234" s="4225">
        <v>0</v>
      </c>
      <c r="AK234" s="4225">
        <v>0</v>
      </c>
      <c r="AL234" s="4225">
        <v>12.1</v>
      </c>
      <c r="AM234" s="4221">
        <v>0</v>
      </c>
      <c r="AN234" s="4226">
        <v>0</v>
      </c>
      <c r="AO234" s="4224"/>
      <c r="AP234" s="4224"/>
      <c r="AQ234" s="4224">
        <v>17393642</v>
      </c>
      <c r="AR234" s="4221">
        <v>0.3</v>
      </c>
      <c r="AS234" s="4217">
        <v>23225884</v>
      </c>
      <c r="AT234" s="5216">
        <v>0</v>
      </c>
      <c r="AU234" s="5216">
        <v>0</v>
      </c>
      <c r="AV234" s="4220">
        <v>17393642</v>
      </c>
      <c r="AW234" s="5243">
        <v>336624</v>
      </c>
      <c r="AX234" s="4224"/>
      <c r="AY234" s="5217">
        <v>3423124</v>
      </c>
      <c r="AZ234" s="4224"/>
      <c r="BA234" s="4224">
        <v>1811285</v>
      </c>
      <c r="BB234" s="4224">
        <v>336624</v>
      </c>
      <c r="BC234" s="5218"/>
      <c r="BD234" s="4217">
        <v>0</v>
      </c>
      <c r="BE234" s="4224">
        <v>17330672</v>
      </c>
    </row>
    <row r="235" spans="1:57">
      <c r="A235" s="3810">
        <v>452</v>
      </c>
      <c r="B235" s="4210" t="s">
        <v>625</v>
      </c>
      <c r="C235" s="4211" t="s">
        <v>262</v>
      </c>
      <c r="D235" s="4212">
        <v>80714832</v>
      </c>
      <c r="E235" s="4213">
        <v>78874665</v>
      </c>
      <c r="F235" s="4224">
        <v>63241920</v>
      </c>
      <c r="G235" s="4224">
        <v>61401818</v>
      </c>
      <c r="H235" s="4214">
        <v>415.6</v>
      </c>
      <c r="I235" s="4215">
        <v>430.2</v>
      </c>
      <c r="J235" s="4216">
        <v>690</v>
      </c>
      <c r="K235" s="4217">
        <v>3625877</v>
      </c>
      <c r="L235" s="4225">
        <v>450.8</v>
      </c>
      <c r="M235" s="4225">
        <v>425.1</v>
      </c>
      <c r="N235" s="4225">
        <v>425.1</v>
      </c>
      <c r="O235" s="4225">
        <v>430.2</v>
      </c>
      <c r="P235" s="4218">
        <v>239434</v>
      </c>
      <c r="Q235" s="4218">
        <v>245993</v>
      </c>
      <c r="R235" s="4220">
        <v>0</v>
      </c>
      <c r="S235" s="4220"/>
      <c r="T235" s="4219">
        <v>0</v>
      </c>
      <c r="U235" s="5214">
        <v>0</v>
      </c>
      <c r="V235" s="4222"/>
      <c r="W235" s="4224">
        <v>0</v>
      </c>
      <c r="X235" s="4217">
        <v>209</v>
      </c>
      <c r="Y235" s="4223">
        <v>77</v>
      </c>
      <c r="Z235" s="5215">
        <v>0</v>
      </c>
      <c r="AA235" s="5215">
        <v>0</v>
      </c>
      <c r="AB235" s="5205">
        <v>0</v>
      </c>
      <c r="AC235" s="4224">
        <v>285608</v>
      </c>
      <c r="AD235" s="4224"/>
      <c r="AE235" s="4224">
        <v>306883</v>
      </c>
      <c r="AF235" s="4225">
        <v>437.5</v>
      </c>
      <c r="AG235" s="4225">
        <v>419.1</v>
      </c>
      <c r="AH235" s="4225">
        <v>0</v>
      </c>
      <c r="AI235" s="4225">
        <v>0</v>
      </c>
      <c r="AJ235" s="4225">
        <v>0</v>
      </c>
      <c r="AK235" s="4225">
        <v>0</v>
      </c>
      <c r="AL235" s="4225">
        <v>0</v>
      </c>
      <c r="AM235" s="4221">
        <v>0</v>
      </c>
      <c r="AN235" s="4226">
        <v>0</v>
      </c>
      <c r="AO235" s="4224"/>
      <c r="AP235" s="4224"/>
      <c r="AQ235" s="4224">
        <v>3118589</v>
      </c>
      <c r="AR235" s="4221">
        <v>0.3</v>
      </c>
      <c r="AS235" s="4217">
        <v>4042875</v>
      </c>
      <c r="AT235" s="5216">
        <v>0</v>
      </c>
      <c r="AU235" s="5216">
        <v>0</v>
      </c>
      <c r="AV235" s="4220">
        <v>3118589</v>
      </c>
      <c r="AW235" s="5243">
        <v>0</v>
      </c>
      <c r="AX235" s="4224"/>
      <c r="AY235" s="5217">
        <v>0</v>
      </c>
      <c r="AZ235" s="4224"/>
      <c r="BA235" s="4224">
        <v>238713</v>
      </c>
      <c r="BB235" s="4224">
        <v>0</v>
      </c>
      <c r="BC235" s="5218"/>
      <c r="BD235" s="4217">
        <v>194473</v>
      </c>
      <c r="BE235" s="4224">
        <v>3106115</v>
      </c>
    </row>
    <row r="236" spans="1:57">
      <c r="A236" s="3810">
        <v>453</v>
      </c>
      <c r="B236" s="4210" t="s">
        <v>626</v>
      </c>
      <c r="C236" s="4211" t="s">
        <v>178</v>
      </c>
      <c r="D236" s="4212">
        <v>183244590</v>
      </c>
      <c r="E236" s="4213">
        <v>161866106</v>
      </c>
      <c r="F236" s="4224">
        <v>187298967</v>
      </c>
      <c r="G236" s="4224">
        <v>165910896</v>
      </c>
      <c r="H236" s="4214">
        <v>3507.7</v>
      </c>
      <c r="I236" s="4215">
        <v>3463.3</v>
      </c>
      <c r="J236" s="4216">
        <v>17</v>
      </c>
      <c r="K236" s="4217">
        <v>29816523</v>
      </c>
      <c r="L236" s="4225">
        <v>3640</v>
      </c>
      <c r="M236" s="4225">
        <v>3627.4</v>
      </c>
      <c r="N236" s="4225">
        <v>3642.5</v>
      </c>
      <c r="O236" s="4225">
        <v>3599.8</v>
      </c>
      <c r="P236" s="4218">
        <v>3140569</v>
      </c>
      <c r="Q236" s="4218">
        <v>3578076</v>
      </c>
      <c r="R236" s="4220">
        <v>4259697</v>
      </c>
      <c r="S236" s="4220"/>
      <c r="T236" s="4219">
        <v>0</v>
      </c>
      <c r="U236" s="5214">
        <v>0</v>
      </c>
      <c r="V236" s="4222"/>
      <c r="W236" s="4224">
        <v>0</v>
      </c>
      <c r="X236" s="4217">
        <v>2059</v>
      </c>
      <c r="Y236" s="4223">
        <v>347</v>
      </c>
      <c r="Z236" s="5215">
        <v>0.47</v>
      </c>
      <c r="AA236" s="5215">
        <v>0.25</v>
      </c>
      <c r="AB236" s="5205">
        <v>0.56999999999999995</v>
      </c>
      <c r="AC236" s="4224">
        <v>2906824</v>
      </c>
      <c r="AD236" s="4224"/>
      <c r="AE236" s="4224">
        <v>2587604</v>
      </c>
      <c r="AF236" s="4225">
        <v>3491.4</v>
      </c>
      <c r="AG236" s="4225">
        <v>3472.5</v>
      </c>
      <c r="AH236" s="4225">
        <v>86.4</v>
      </c>
      <c r="AI236" s="4225">
        <v>0</v>
      </c>
      <c r="AJ236" s="4225">
        <v>0</v>
      </c>
      <c r="AK236" s="4225">
        <v>0</v>
      </c>
      <c r="AL236" s="4225">
        <v>0</v>
      </c>
      <c r="AM236" s="4221">
        <v>0</v>
      </c>
      <c r="AN236" s="4226">
        <v>72108</v>
      </c>
      <c r="AO236" s="4224"/>
      <c r="AP236" s="4224"/>
      <c r="AQ236" s="4224">
        <v>19503962</v>
      </c>
      <c r="AR236" s="4221">
        <v>0.3</v>
      </c>
      <c r="AS236" s="4217">
        <v>26313916</v>
      </c>
      <c r="AT236" s="5216">
        <v>0</v>
      </c>
      <c r="AU236" s="5216">
        <v>0</v>
      </c>
      <c r="AV236" s="4220">
        <v>19503962</v>
      </c>
      <c r="AW236" s="5243">
        <v>378655</v>
      </c>
      <c r="AX236" s="4224"/>
      <c r="AY236" s="5217">
        <v>4259697</v>
      </c>
      <c r="AZ236" s="4224"/>
      <c r="BA236" s="4224">
        <v>1993087</v>
      </c>
      <c r="BB236" s="4224">
        <v>378655</v>
      </c>
      <c r="BC236" s="5218"/>
      <c r="BD236" s="4217">
        <v>0</v>
      </c>
      <c r="BE236" s="4224">
        <v>19515642</v>
      </c>
    </row>
    <row r="237" spans="1:57">
      <c r="A237" s="3810">
        <v>454</v>
      </c>
      <c r="B237" s="4210" t="s">
        <v>627</v>
      </c>
      <c r="C237" s="4211" t="s">
        <v>258</v>
      </c>
      <c r="D237" s="4212">
        <v>11481377</v>
      </c>
      <c r="E237" s="4213">
        <v>9806182</v>
      </c>
      <c r="F237" s="4224">
        <v>11948828</v>
      </c>
      <c r="G237" s="4224">
        <v>10271599</v>
      </c>
      <c r="H237" s="4214">
        <v>298.10000000000002</v>
      </c>
      <c r="I237" s="4215">
        <v>292</v>
      </c>
      <c r="J237" s="4216">
        <v>74</v>
      </c>
      <c r="K237" s="4217">
        <v>3106314</v>
      </c>
      <c r="L237" s="4225">
        <v>314</v>
      </c>
      <c r="M237" s="4225">
        <v>310.5</v>
      </c>
      <c r="N237" s="4225">
        <v>301.10000000000002</v>
      </c>
      <c r="O237" s="4225">
        <v>298</v>
      </c>
      <c r="P237" s="4218">
        <v>350881</v>
      </c>
      <c r="Q237" s="4218">
        <v>358421</v>
      </c>
      <c r="R237" s="4220">
        <v>534198</v>
      </c>
      <c r="S237" s="4220"/>
      <c r="T237" s="4219">
        <v>3332</v>
      </c>
      <c r="U237" s="5214">
        <v>3978</v>
      </c>
      <c r="V237" s="4222"/>
      <c r="W237" s="4224">
        <v>0</v>
      </c>
      <c r="X237" s="4217">
        <v>111</v>
      </c>
      <c r="Y237" s="4223">
        <v>45</v>
      </c>
      <c r="Z237" s="5215">
        <v>0.57999999999999996</v>
      </c>
      <c r="AA237" s="5215">
        <v>0.37</v>
      </c>
      <c r="AB237" s="5205">
        <v>0.66590000000000005</v>
      </c>
      <c r="AC237" s="4224">
        <v>167729</v>
      </c>
      <c r="AD237" s="4224"/>
      <c r="AE237" s="4224">
        <v>181592</v>
      </c>
      <c r="AF237" s="4225">
        <v>310.5</v>
      </c>
      <c r="AG237" s="4225">
        <v>306.5</v>
      </c>
      <c r="AH237" s="4225">
        <v>0</v>
      </c>
      <c r="AI237" s="4225">
        <v>0</v>
      </c>
      <c r="AJ237" s="4225">
        <v>0</v>
      </c>
      <c r="AK237" s="4225">
        <v>0</v>
      </c>
      <c r="AL237" s="4225">
        <v>0</v>
      </c>
      <c r="AM237" s="4221">
        <v>0</v>
      </c>
      <c r="AN237" s="4226">
        <v>0</v>
      </c>
      <c r="AO237" s="4224"/>
      <c r="AP237" s="4224"/>
      <c r="AQ237" s="4224">
        <v>2082427</v>
      </c>
      <c r="AR237" s="4221">
        <v>0.28570000000000001</v>
      </c>
      <c r="AS237" s="4217">
        <v>2813829</v>
      </c>
      <c r="AT237" s="5216">
        <v>0</v>
      </c>
      <c r="AU237" s="5216">
        <v>0</v>
      </c>
      <c r="AV237" s="4220">
        <v>2082427</v>
      </c>
      <c r="AW237" s="5243">
        <v>0</v>
      </c>
      <c r="AX237" s="4224"/>
      <c r="AY237" s="5217">
        <v>534198</v>
      </c>
      <c r="AZ237" s="4224"/>
      <c r="BA237" s="4224">
        <v>139598</v>
      </c>
      <c r="BB237" s="4224">
        <v>0</v>
      </c>
      <c r="BC237" s="5218"/>
      <c r="BD237" s="4217">
        <v>0</v>
      </c>
      <c r="BE237" s="4224">
        <v>2074097</v>
      </c>
    </row>
    <row r="238" spans="1:57">
      <c r="A238" s="3810">
        <v>456</v>
      </c>
      <c r="B238" s="4210" t="s">
        <v>628</v>
      </c>
      <c r="C238" s="4211" t="s">
        <v>258</v>
      </c>
      <c r="D238" s="4212">
        <v>16349439</v>
      </c>
      <c r="E238" s="4213">
        <v>14815897</v>
      </c>
      <c r="F238" s="4224">
        <v>17548872</v>
      </c>
      <c r="G238" s="4224">
        <v>16013791</v>
      </c>
      <c r="H238" s="4214">
        <v>254.5</v>
      </c>
      <c r="I238" s="4215">
        <v>233.5</v>
      </c>
      <c r="J238" s="4216">
        <v>133</v>
      </c>
      <c r="K238" s="4217">
        <v>2889191</v>
      </c>
      <c r="L238" s="4225">
        <v>289.8</v>
      </c>
      <c r="M238" s="4225">
        <v>278</v>
      </c>
      <c r="N238" s="4225">
        <v>254.5</v>
      </c>
      <c r="O238" s="4225">
        <v>234.7</v>
      </c>
      <c r="P238" s="4218">
        <v>312793</v>
      </c>
      <c r="Q238" s="4218">
        <v>298946</v>
      </c>
      <c r="R238" s="4220">
        <v>313870</v>
      </c>
      <c r="S238" s="4220"/>
      <c r="T238" s="4219">
        <v>0</v>
      </c>
      <c r="U238" s="5214">
        <v>0</v>
      </c>
      <c r="V238" s="4222"/>
      <c r="W238" s="4224">
        <v>0</v>
      </c>
      <c r="X238" s="4217">
        <v>132</v>
      </c>
      <c r="Y238" s="4223">
        <v>24</v>
      </c>
      <c r="Z238" s="5215">
        <v>0.24</v>
      </c>
      <c r="AA238" s="5215">
        <v>0.02</v>
      </c>
      <c r="AB238" s="5205">
        <v>0.37909999999999999</v>
      </c>
      <c r="AC238" s="4224">
        <v>182669</v>
      </c>
      <c r="AD238" s="4224"/>
      <c r="AE238" s="4224">
        <v>190982</v>
      </c>
      <c r="AF238" s="4225">
        <v>289.8</v>
      </c>
      <c r="AG238" s="4225">
        <v>278</v>
      </c>
      <c r="AH238" s="4225">
        <v>0</v>
      </c>
      <c r="AI238" s="4225">
        <v>0</v>
      </c>
      <c r="AJ238" s="4225">
        <v>0</v>
      </c>
      <c r="AK238" s="4225">
        <v>0</v>
      </c>
      <c r="AL238" s="4225">
        <v>0</v>
      </c>
      <c r="AM238" s="4221">
        <v>0</v>
      </c>
      <c r="AN238" s="4226">
        <v>0</v>
      </c>
      <c r="AO238" s="4224"/>
      <c r="AP238" s="4224"/>
      <c r="AQ238" s="4224">
        <v>2129549</v>
      </c>
      <c r="AR238" s="4221">
        <v>0.2351</v>
      </c>
      <c r="AS238" s="4217">
        <v>2824867</v>
      </c>
      <c r="AT238" s="5216">
        <v>0</v>
      </c>
      <c r="AU238" s="5216">
        <v>0</v>
      </c>
      <c r="AV238" s="4220">
        <v>2129549</v>
      </c>
      <c r="AW238" s="5243">
        <v>0</v>
      </c>
      <c r="AX238" s="4224"/>
      <c r="AY238" s="5217">
        <v>313870</v>
      </c>
      <c r="AZ238" s="4224"/>
      <c r="BA238" s="4224">
        <v>147971</v>
      </c>
      <c r="BB238" s="4224">
        <v>0</v>
      </c>
      <c r="BC238" s="5218"/>
      <c r="BD238" s="4217">
        <v>0</v>
      </c>
      <c r="BE238" s="4224">
        <v>2128404</v>
      </c>
    </row>
    <row r="239" spans="1:57">
      <c r="A239" s="3810">
        <v>457</v>
      </c>
      <c r="B239" s="4210" t="s">
        <v>629</v>
      </c>
      <c r="C239" s="4211" t="s">
        <v>231</v>
      </c>
      <c r="D239" s="4212">
        <v>352749866</v>
      </c>
      <c r="E239" s="4213">
        <v>330703615</v>
      </c>
      <c r="F239" s="4224">
        <v>338447454</v>
      </c>
      <c r="G239" s="4224">
        <v>316966834</v>
      </c>
      <c r="H239" s="4214">
        <v>7055.2</v>
      </c>
      <c r="I239" s="4215">
        <v>7139.5</v>
      </c>
      <c r="J239" s="4216">
        <v>928</v>
      </c>
      <c r="K239" s="4217">
        <v>61550285</v>
      </c>
      <c r="L239" s="4225">
        <v>7102.2</v>
      </c>
      <c r="M239" s="4225">
        <v>7097</v>
      </c>
      <c r="N239" s="4225">
        <v>7213.4</v>
      </c>
      <c r="O239" s="4225">
        <v>7317.4</v>
      </c>
      <c r="P239" s="4218">
        <v>5465983</v>
      </c>
      <c r="Q239" s="4218">
        <v>4962670</v>
      </c>
      <c r="R239" s="4220">
        <v>9153630</v>
      </c>
      <c r="S239" s="4220"/>
      <c r="T239" s="4219">
        <v>0</v>
      </c>
      <c r="U239" s="5214">
        <v>0</v>
      </c>
      <c r="V239" s="4222"/>
      <c r="W239" s="4224">
        <v>0</v>
      </c>
      <c r="X239" s="4217">
        <v>4577</v>
      </c>
      <c r="Y239" s="4223">
        <v>982</v>
      </c>
      <c r="Z239" s="5215">
        <v>0.54</v>
      </c>
      <c r="AA239" s="5215">
        <v>0.32</v>
      </c>
      <c r="AB239" s="5205">
        <v>0.62670000000000003</v>
      </c>
      <c r="AC239" s="4224">
        <v>5053002</v>
      </c>
      <c r="AD239" s="4224"/>
      <c r="AE239" s="4224">
        <v>5403388</v>
      </c>
      <c r="AF239" s="4225">
        <v>7003.7</v>
      </c>
      <c r="AG239" s="4225">
        <v>6981.1</v>
      </c>
      <c r="AH239" s="4225">
        <v>65.3</v>
      </c>
      <c r="AI239" s="4225">
        <v>0</v>
      </c>
      <c r="AJ239" s="4225">
        <v>0</v>
      </c>
      <c r="AK239" s="4225">
        <v>0</v>
      </c>
      <c r="AL239" s="4225">
        <v>0</v>
      </c>
      <c r="AM239" s="4221">
        <v>0</v>
      </c>
      <c r="AN239" s="4226">
        <v>0</v>
      </c>
      <c r="AO239" s="4224"/>
      <c r="AP239" s="4224"/>
      <c r="AQ239" s="4224">
        <v>42923598</v>
      </c>
      <c r="AR239" s="4221">
        <v>0.28789999999999999</v>
      </c>
      <c r="AS239" s="4217">
        <v>55589200</v>
      </c>
      <c r="AT239" s="5216">
        <v>0</v>
      </c>
      <c r="AU239" s="5216">
        <v>0</v>
      </c>
      <c r="AV239" s="4220">
        <v>42923598</v>
      </c>
      <c r="AW239" s="5243">
        <v>412547</v>
      </c>
      <c r="AX239" s="4224"/>
      <c r="AY239" s="5217">
        <v>9153630</v>
      </c>
      <c r="AZ239" s="4224"/>
      <c r="BA239" s="4224">
        <v>4162797</v>
      </c>
      <c r="BB239" s="4224">
        <v>412547</v>
      </c>
      <c r="BC239" s="5218"/>
      <c r="BD239" s="4217">
        <v>56055</v>
      </c>
      <c r="BE239" s="4224">
        <v>42671263</v>
      </c>
    </row>
    <row r="240" spans="1:57">
      <c r="A240" s="3810">
        <v>458</v>
      </c>
      <c r="B240" s="4210" t="s">
        <v>630</v>
      </c>
      <c r="C240" s="4211" t="s">
        <v>178</v>
      </c>
      <c r="D240" s="4212">
        <v>126866579</v>
      </c>
      <c r="E240" s="4213">
        <v>116465978</v>
      </c>
      <c r="F240" s="4224">
        <v>134356285</v>
      </c>
      <c r="G240" s="4224">
        <v>123703790</v>
      </c>
      <c r="H240" s="4214">
        <v>2081.5</v>
      </c>
      <c r="I240" s="4215">
        <v>2160.9</v>
      </c>
      <c r="J240" s="4216">
        <v>89.6</v>
      </c>
      <c r="K240" s="4217">
        <v>15636026</v>
      </c>
      <c r="L240" s="4225">
        <v>2118</v>
      </c>
      <c r="M240" s="4225">
        <v>2263.1999999999998</v>
      </c>
      <c r="N240" s="4225">
        <v>2320</v>
      </c>
      <c r="O240" s="4225">
        <v>2371.3000000000002</v>
      </c>
      <c r="P240" s="4218">
        <v>1635178</v>
      </c>
      <c r="Q240" s="4218">
        <v>1739720</v>
      </c>
      <c r="R240" s="4220">
        <v>1892783</v>
      </c>
      <c r="S240" s="4220"/>
      <c r="T240" s="4219">
        <v>0</v>
      </c>
      <c r="U240" s="5214">
        <v>0</v>
      </c>
      <c r="V240" s="4222"/>
      <c r="W240" s="4224">
        <v>134640</v>
      </c>
      <c r="X240" s="4217">
        <v>344</v>
      </c>
      <c r="Y240" s="4223">
        <v>116</v>
      </c>
      <c r="Z240" s="5215">
        <v>0.42</v>
      </c>
      <c r="AA240" s="5215">
        <v>0.2</v>
      </c>
      <c r="AB240" s="5205">
        <v>0.5302</v>
      </c>
      <c r="AC240" s="4224">
        <v>1142963</v>
      </c>
      <c r="AD240" s="4224"/>
      <c r="AE240" s="4224">
        <v>1417491</v>
      </c>
      <c r="AF240" s="4225">
        <v>1948.8</v>
      </c>
      <c r="AG240" s="4225">
        <v>2030.2</v>
      </c>
      <c r="AH240" s="4225">
        <v>250.4</v>
      </c>
      <c r="AI240" s="4225">
        <v>0</v>
      </c>
      <c r="AJ240" s="4225">
        <v>0</v>
      </c>
      <c r="AK240" s="4225">
        <v>0</v>
      </c>
      <c r="AL240" s="4225">
        <v>0</v>
      </c>
      <c r="AM240" s="4227">
        <v>2.5600000000000001E-2</v>
      </c>
      <c r="AN240" s="4226">
        <v>0</v>
      </c>
      <c r="AO240" s="4224"/>
      <c r="AP240" s="4224"/>
      <c r="AQ240" s="4224">
        <v>10664640</v>
      </c>
      <c r="AR240" s="4221">
        <v>0.3</v>
      </c>
      <c r="AS240" s="4217">
        <v>12941896</v>
      </c>
      <c r="AT240" s="5216">
        <v>0</v>
      </c>
      <c r="AU240" s="5216">
        <v>0</v>
      </c>
      <c r="AV240" s="4220">
        <v>10664640</v>
      </c>
      <c r="AW240" s="5243">
        <v>211606</v>
      </c>
      <c r="AX240" s="4224"/>
      <c r="AY240" s="5221">
        <v>1891333</v>
      </c>
      <c r="AZ240" s="4224"/>
      <c r="BA240" s="4224">
        <v>1087087</v>
      </c>
      <c r="BB240" s="4224">
        <v>211606</v>
      </c>
      <c r="BC240" s="5218"/>
      <c r="BD240" s="4217">
        <v>0</v>
      </c>
      <c r="BE240" s="4224">
        <v>10549638</v>
      </c>
    </row>
    <row r="241" spans="1:57">
      <c r="A241" s="3810">
        <v>459</v>
      </c>
      <c r="B241" s="4210" t="s">
        <v>631</v>
      </c>
      <c r="C241" s="4211" t="s">
        <v>242</v>
      </c>
      <c r="D241" s="4212">
        <v>31291242</v>
      </c>
      <c r="E241" s="4213">
        <v>29918293</v>
      </c>
      <c r="F241" s="4224">
        <v>28169658</v>
      </c>
      <c r="G241" s="4224">
        <v>26793092</v>
      </c>
      <c r="H241" s="4214">
        <v>220.1</v>
      </c>
      <c r="I241" s="4215">
        <v>216.8</v>
      </c>
      <c r="J241" s="4216">
        <v>358.2</v>
      </c>
      <c r="K241" s="4217">
        <v>2079006</v>
      </c>
      <c r="L241" s="4225">
        <v>244.4</v>
      </c>
      <c r="M241" s="4225">
        <v>228.7</v>
      </c>
      <c r="N241" s="4225">
        <v>224.1</v>
      </c>
      <c r="O241" s="4225">
        <v>221.3</v>
      </c>
      <c r="P241" s="4218">
        <v>158505</v>
      </c>
      <c r="Q241" s="4218">
        <v>156438</v>
      </c>
      <c r="R241" s="4220">
        <v>0</v>
      </c>
      <c r="S241" s="4220"/>
      <c r="T241" s="4219">
        <v>0</v>
      </c>
      <c r="U241" s="5214">
        <v>0</v>
      </c>
      <c r="V241" s="4222"/>
      <c r="W241" s="4224">
        <v>0</v>
      </c>
      <c r="X241" s="4217">
        <v>103</v>
      </c>
      <c r="Y241" s="4223">
        <v>25</v>
      </c>
      <c r="Z241" s="5215">
        <v>0</v>
      </c>
      <c r="AA241" s="5215">
        <v>0</v>
      </c>
      <c r="AB241" s="5205">
        <v>0</v>
      </c>
      <c r="AC241" s="4224">
        <v>170700</v>
      </c>
      <c r="AD241" s="4224"/>
      <c r="AE241" s="4224">
        <v>171511</v>
      </c>
      <c r="AF241" s="4225">
        <v>241.9</v>
      </c>
      <c r="AG241" s="4225">
        <v>225.7</v>
      </c>
      <c r="AH241" s="4225">
        <v>0</v>
      </c>
      <c r="AI241" s="4225">
        <v>0</v>
      </c>
      <c r="AJ241" s="4225">
        <v>0</v>
      </c>
      <c r="AK241" s="4225">
        <v>0</v>
      </c>
      <c r="AL241" s="4225">
        <v>0</v>
      </c>
      <c r="AM241" s="4221">
        <v>0</v>
      </c>
      <c r="AN241" s="4226">
        <v>0</v>
      </c>
      <c r="AO241" s="4224"/>
      <c r="AP241" s="4224"/>
      <c r="AQ241" s="4224">
        <v>1774082</v>
      </c>
      <c r="AR241" s="4221">
        <v>0.26929999999999998</v>
      </c>
      <c r="AS241" s="4217">
        <v>2320799</v>
      </c>
      <c r="AT241" s="5216">
        <v>0</v>
      </c>
      <c r="AU241" s="5216">
        <v>0</v>
      </c>
      <c r="AV241" s="4220">
        <v>1774082</v>
      </c>
      <c r="AW241" s="5243">
        <v>0</v>
      </c>
      <c r="AX241" s="4224"/>
      <c r="AY241" s="5217">
        <v>0</v>
      </c>
      <c r="AZ241" s="4224"/>
      <c r="BA241" s="4224">
        <v>132761</v>
      </c>
      <c r="BB241" s="4224">
        <v>0</v>
      </c>
      <c r="BC241" s="5218"/>
      <c r="BD241" s="4217">
        <v>25935</v>
      </c>
      <c r="BE241" s="4224">
        <v>1766986</v>
      </c>
    </row>
    <row r="242" spans="1:57">
      <c r="A242" s="3810">
        <v>460</v>
      </c>
      <c r="B242" s="4210" t="s">
        <v>632</v>
      </c>
      <c r="C242" s="4211" t="s">
        <v>236</v>
      </c>
      <c r="D242" s="4212">
        <v>42033873</v>
      </c>
      <c r="E242" s="4213">
        <v>39053192</v>
      </c>
      <c r="F242" s="4224">
        <v>44343838</v>
      </c>
      <c r="G242" s="4224">
        <v>41310102</v>
      </c>
      <c r="H242" s="4214">
        <v>798</v>
      </c>
      <c r="I242" s="4215">
        <v>774.1</v>
      </c>
      <c r="J242" s="4216">
        <v>60</v>
      </c>
      <c r="K242" s="4217">
        <v>6648393</v>
      </c>
      <c r="L242" s="4225">
        <v>817.8</v>
      </c>
      <c r="M242" s="4225">
        <v>794</v>
      </c>
      <c r="N242" s="4225">
        <v>798</v>
      </c>
      <c r="O242" s="4225">
        <v>774.1</v>
      </c>
      <c r="P242" s="4218">
        <v>656121</v>
      </c>
      <c r="Q242" s="4218">
        <v>645328</v>
      </c>
      <c r="R242" s="4220">
        <v>1062420</v>
      </c>
      <c r="S242" s="4220"/>
      <c r="T242" s="4219">
        <v>5147</v>
      </c>
      <c r="U242" s="5214">
        <v>0</v>
      </c>
      <c r="V242" s="4222"/>
      <c r="W242" s="4224">
        <v>0</v>
      </c>
      <c r="X242" s="4217">
        <v>146</v>
      </c>
      <c r="Y242" s="4223">
        <v>99</v>
      </c>
      <c r="Z242" s="5215">
        <v>0.41</v>
      </c>
      <c r="AA242" s="5215">
        <v>0.2</v>
      </c>
      <c r="AB242" s="5205">
        <v>0.52449999999999997</v>
      </c>
      <c r="AC242" s="4224">
        <v>433414</v>
      </c>
      <c r="AD242" s="4224"/>
      <c r="AE242" s="4224">
        <v>480146</v>
      </c>
      <c r="AF242" s="4225">
        <v>817.8</v>
      </c>
      <c r="AG242" s="4225">
        <v>794</v>
      </c>
      <c r="AH242" s="4225">
        <v>0</v>
      </c>
      <c r="AI242" s="4225">
        <v>0</v>
      </c>
      <c r="AJ242" s="4225">
        <v>0</v>
      </c>
      <c r="AK242" s="4225">
        <v>0</v>
      </c>
      <c r="AL242" s="4225">
        <v>0</v>
      </c>
      <c r="AM242" s="4221">
        <v>0</v>
      </c>
      <c r="AN242" s="4226">
        <v>0</v>
      </c>
      <c r="AO242" s="4224"/>
      <c r="AP242" s="4224"/>
      <c r="AQ242" s="4224">
        <v>4517115</v>
      </c>
      <c r="AR242" s="4221">
        <v>0.31</v>
      </c>
      <c r="AS242" s="4217">
        <v>5921544</v>
      </c>
      <c r="AT242" s="5216">
        <v>0</v>
      </c>
      <c r="AU242" s="5216">
        <v>0</v>
      </c>
      <c r="AV242" s="4220">
        <v>4517115</v>
      </c>
      <c r="AW242" s="5243">
        <v>70568</v>
      </c>
      <c r="AX242" s="4224"/>
      <c r="AY242" s="5217">
        <v>1062420</v>
      </c>
      <c r="AZ242" s="4224"/>
      <c r="BA242" s="4224">
        <v>368234</v>
      </c>
      <c r="BB242" s="4224">
        <v>70568</v>
      </c>
      <c r="BC242" s="5218"/>
      <c r="BD242" s="4217">
        <v>0</v>
      </c>
      <c r="BE242" s="4224">
        <v>4498996</v>
      </c>
    </row>
    <row r="243" spans="1:57">
      <c r="A243" s="3810">
        <v>461</v>
      </c>
      <c r="B243" s="4210" t="s">
        <v>633</v>
      </c>
      <c r="C243" s="4211" t="s">
        <v>245</v>
      </c>
      <c r="D243" s="4212">
        <v>26240533</v>
      </c>
      <c r="E243" s="4213">
        <v>22856346</v>
      </c>
      <c r="F243" s="4224">
        <v>35379023</v>
      </c>
      <c r="G243" s="4224">
        <v>32008027</v>
      </c>
      <c r="H243" s="4214">
        <v>670</v>
      </c>
      <c r="I243" s="4215">
        <v>691</v>
      </c>
      <c r="J243" s="4216">
        <v>119</v>
      </c>
      <c r="K243" s="4217">
        <v>6565171</v>
      </c>
      <c r="L243" s="4225">
        <v>695.5</v>
      </c>
      <c r="M243" s="4225">
        <v>671.5</v>
      </c>
      <c r="N243" s="4225">
        <v>678</v>
      </c>
      <c r="O243" s="4225">
        <v>699</v>
      </c>
      <c r="P243" s="4218">
        <v>539844</v>
      </c>
      <c r="Q243" s="4218">
        <v>529063</v>
      </c>
      <c r="R243" s="4220">
        <v>1148085</v>
      </c>
      <c r="S243" s="4220"/>
      <c r="T243" s="4219">
        <v>0</v>
      </c>
      <c r="U243" s="5214">
        <v>0</v>
      </c>
      <c r="V243" s="4222"/>
      <c r="W243" s="4224">
        <v>50526</v>
      </c>
      <c r="X243" s="4217">
        <v>315</v>
      </c>
      <c r="Y243" s="4223">
        <v>78</v>
      </c>
      <c r="Z243" s="5215">
        <v>0.48</v>
      </c>
      <c r="AA243" s="5215">
        <v>0.26</v>
      </c>
      <c r="AB243" s="5205">
        <v>0.57769999999999999</v>
      </c>
      <c r="AC243" s="4224">
        <v>408786</v>
      </c>
      <c r="AD243" s="4224"/>
      <c r="AE243" s="4224">
        <v>465703</v>
      </c>
      <c r="AF243" s="4225">
        <v>687.5</v>
      </c>
      <c r="AG243" s="4225">
        <v>663.5</v>
      </c>
      <c r="AH243" s="4225">
        <v>0</v>
      </c>
      <c r="AI243" s="4225">
        <v>0</v>
      </c>
      <c r="AJ243" s="4225">
        <v>0</v>
      </c>
      <c r="AK243" s="4225">
        <v>0</v>
      </c>
      <c r="AL243" s="4225">
        <v>0</v>
      </c>
      <c r="AM243" s="4221">
        <v>0</v>
      </c>
      <c r="AN243" s="4226">
        <v>0</v>
      </c>
      <c r="AO243" s="4224"/>
      <c r="AP243" s="4224"/>
      <c r="AQ243" s="4224">
        <v>4408613</v>
      </c>
      <c r="AR243" s="4221">
        <v>0.3</v>
      </c>
      <c r="AS243" s="4217">
        <v>5732792</v>
      </c>
      <c r="AT243" s="5216">
        <v>0</v>
      </c>
      <c r="AU243" s="5216">
        <v>0</v>
      </c>
      <c r="AV243" s="4220">
        <v>4408613</v>
      </c>
      <c r="AW243" s="5243">
        <v>83970</v>
      </c>
      <c r="AX243" s="4224"/>
      <c r="AY243" s="5217">
        <v>1148085</v>
      </c>
      <c r="AZ243" s="4224"/>
      <c r="BA243" s="4224">
        <v>357365</v>
      </c>
      <c r="BB243" s="4224">
        <v>83970</v>
      </c>
      <c r="BC243" s="5218"/>
      <c r="BD243" s="4217">
        <v>0</v>
      </c>
      <c r="BE243" s="4224">
        <v>4390970</v>
      </c>
    </row>
    <row r="244" spans="1:57">
      <c r="A244" s="3810">
        <v>462</v>
      </c>
      <c r="B244" s="4210" t="s">
        <v>634</v>
      </c>
      <c r="C244" s="4211" t="s">
        <v>263</v>
      </c>
      <c r="D244" s="4212">
        <v>13688080</v>
      </c>
      <c r="E244" s="4213">
        <v>11781582</v>
      </c>
      <c r="F244" s="4224">
        <v>14383547</v>
      </c>
      <c r="G244" s="4224">
        <v>12463965</v>
      </c>
      <c r="H244" s="4214">
        <v>310.39999999999998</v>
      </c>
      <c r="I244" s="4215">
        <v>284.2</v>
      </c>
      <c r="J244" s="4216">
        <v>308.89999999999998</v>
      </c>
      <c r="K244" s="4217">
        <v>3396770</v>
      </c>
      <c r="L244" s="4225">
        <v>325.89999999999998</v>
      </c>
      <c r="M244" s="4225">
        <v>313</v>
      </c>
      <c r="N244" s="4225">
        <v>310.39999999999998</v>
      </c>
      <c r="O244" s="4225">
        <v>284.2</v>
      </c>
      <c r="P244" s="4218">
        <v>310502</v>
      </c>
      <c r="Q244" s="4218">
        <v>306653</v>
      </c>
      <c r="R244" s="4220">
        <v>560069</v>
      </c>
      <c r="S244" s="4220"/>
      <c r="T244" s="4219">
        <v>0</v>
      </c>
      <c r="U244" s="5214">
        <v>7885</v>
      </c>
      <c r="V244" s="4222"/>
      <c r="W244" s="4224">
        <v>0</v>
      </c>
      <c r="X244" s="4217">
        <v>140</v>
      </c>
      <c r="Y244" s="4223">
        <v>47</v>
      </c>
      <c r="Z244" s="5215">
        <v>0.48</v>
      </c>
      <c r="AA244" s="5215">
        <v>0.26</v>
      </c>
      <c r="AB244" s="5205">
        <v>0.57769999999999999</v>
      </c>
      <c r="AC244" s="4224">
        <v>210552</v>
      </c>
      <c r="AD244" s="4224"/>
      <c r="AE244" s="4224">
        <v>227043</v>
      </c>
      <c r="AF244" s="4225">
        <v>324.89999999999998</v>
      </c>
      <c r="AG244" s="4225">
        <v>313</v>
      </c>
      <c r="AH244" s="4225">
        <v>0</v>
      </c>
      <c r="AI244" s="4225">
        <v>0</v>
      </c>
      <c r="AJ244" s="4225">
        <v>0</v>
      </c>
      <c r="AK244" s="4225">
        <v>0</v>
      </c>
      <c r="AL244" s="4225">
        <v>0</v>
      </c>
      <c r="AM244" s="4221">
        <v>0</v>
      </c>
      <c r="AN244" s="4226">
        <v>0</v>
      </c>
      <c r="AO244" s="4224"/>
      <c r="AP244" s="4224"/>
      <c r="AQ244" s="4224">
        <v>2324794</v>
      </c>
      <c r="AR244" s="4221">
        <v>0.3</v>
      </c>
      <c r="AS244" s="4217">
        <v>3024258</v>
      </c>
      <c r="AT244" s="5216">
        <v>0</v>
      </c>
      <c r="AU244" s="5216">
        <v>0</v>
      </c>
      <c r="AV244" s="4220">
        <v>2324794</v>
      </c>
      <c r="AW244" s="5243">
        <v>37232</v>
      </c>
      <c r="AX244" s="4224"/>
      <c r="AY244" s="5217">
        <v>560069</v>
      </c>
      <c r="AZ244" s="4224"/>
      <c r="BA244" s="4224">
        <v>173801</v>
      </c>
      <c r="BB244" s="4224">
        <v>37232</v>
      </c>
      <c r="BC244" s="5218"/>
      <c r="BD244" s="4217">
        <v>0</v>
      </c>
      <c r="BE244" s="4224">
        <v>2315495</v>
      </c>
    </row>
    <row r="245" spans="1:57">
      <c r="A245" s="3810">
        <v>463</v>
      </c>
      <c r="B245" s="4210" t="s">
        <v>635</v>
      </c>
      <c r="C245" s="4211" t="s">
        <v>263</v>
      </c>
      <c r="D245" s="4212">
        <v>18513985</v>
      </c>
      <c r="E245" s="4213">
        <v>16603446</v>
      </c>
      <c r="F245" s="4224">
        <v>22374302</v>
      </c>
      <c r="G245" s="4224">
        <v>20433446</v>
      </c>
      <c r="H245" s="4214">
        <v>331</v>
      </c>
      <c r="I245" s="4215">
        <v>331.2</v>
      </c>
      <c r="J245" s="4216">
        <v>140</v>
      </c>
      <c r="K245" s="4217">
        <v>3367514</v>
      </c>
      <c r="L245" s="4225">
        <v>356</v>
      </c>
      <c r="M245" s="4225">
        <v>340</v>
      </c>
      <c r="N245" s="4225">
        <v>331</v>
      </c>
      <c r="O245" s="4225">
        <v>331.2</v>
      </c>
      <c r="P245" s="4218">
        <v>336589</v>
      </c>
      <c r="Q245" s="4218">
        <v>348685</v>
      </c>
      <c r="R245" s="4220">
        <v>489744</v>
      </c>
      <c r="S245" s="4220"/>
      <c r="T245" s="4219">
        <v>0</v>
      </c>
      <c r="U245" s="5214">
        <v>0</v>
      </c>
      <c r="V245" s="4222"/>
      <c r="W245" s="4224">
        <v>0</v>
      </c>
      <c r="X245" s="4217">
        <v>111</v>
      </c>
      <c r="Y245" s="4223">
        <v>56</v>
      </c>
      <c r="Z245" s="5215">
        <v>0.31</v>
      </c>
      <c r="AA245" s="5215">
        <v>0.09</v>
      </c>
      <c r="AB245" s="5205">
        <v>0.43630000000000002</v>
      </c>
      <c r="AC245" s="4224">
        <v>201356</v>
      </c>
      <c r="AD245" s="4224"/>
      <c r="AE245" s="4224">
        <v>234596</v>
      </c>
      <c r="AF245" s="4225">
        <v>356</v>
      </c>
      <c r="AG245" s="4225">
        <v>340</v>
      </c>
      <c r="AH245" s="4225">
        <v>0</v>
      </c>
      <c r="AI245" s="4225">
        <v>0</v>
      </c>
      <c r="AJ245" s="4225">
        <v>0</v>
      </c>
      <c r="AK245" s="4225">
        <v>0</v>
      </c>
      <c r="AL245" s="4225">
        <v>0</v>
      </c>
      <c r="AM245" s="4221">
        <v>0</v>
      </c>
      <c r="AN245" s="4226">
        <v>0</v>
      </c>
      <c r="AO245" s="4224"/>
      <c r="AP245" s="4224"/>
      <c r="AQ245" s="4224">
        <v>2332544</v>
      </c>
      <c r="AR245" s="4221">
        <v>0.3</v>
      </c>
      <c r="AS245" s="4217">
        <v>3093431</v>
      </c>
      <c r="AT245" s="5216">
        <v>0</v>
      </c>
      <c r="AU245" s="5216">
        <v>0</v>
      </c>
      <c r="AV245" s="4220">
        <v>2332544</v>
      </c>
      <c r="AW245" s="5243">
        <v>26598</v>
      </c>
      <c r="AX245" s="4224"/>
      <c r="AY245" s="5217">
        <v>489744</v>
      </c>
      <c r="AZ245" s="4224"/>
      <c r="BA245" s="4224">
        <v>178692</v>
      </c>
      <c r="BB245" s="4224">
        <v>26598</v>
      </c>
      <c r="BC245" s="5218"/>
      <c r="BD245" s="4217">
        <v>0</v>
      </c>
      <c r="BE245" s="4224">
        <v>2323214</v>
      </c>
    </row>
    <row r="246" spans="1:57">
      <c r="A246" s="3810">
        <v>464</v>
      </c>
      <c r="B246" s="4210" t="s">
        <v>636</v>
      </c>
      <c r="C246" s="4211" t="s">
        <v>178</v>
      </c>
      <c r="D246" s="4212">
        <v>94766897</v>
      </c>
      <c r="E246" s="4213">
        <v>86310605</v>
      </c>
      <c r="F246" s="4224">
        <v>98610845</v>
      </c>
      <c r="G246" s="4224">
        <v>90068292</v>
      </c>
      <c r="H246" s="4214">
        <v>1906.5</v>
      </c>
      <c r="I246" s="4215">
        <v>1890.2</v>
      </c>
      <c r="J246" s="4216">
        <v>142</v>
      </c>
      <c r="K246" s="4217">
        <v>14579987</v>
      </c>
      <c r="L246" s="4225">
        <v>1857.7</v>
      </c>
      <c r="M246" s="4225">
        <v>1862.6</v>
      </c>
      <c r="N246" s="4225">
        <v>1907.5</v>
      </c>
      <c r="O246" s="4225">
        <v>1890.2</v>
      </c>
      <c r="P246" s="4218">
        <v>1552721</v>
      </c>
      <c r="Q246" s="4218">
        <v>1577350</v>
      </c>
      <c r="R246" s="4220">
        <v>1999066</v>
      </c>
      <c r="S246" s="4220"/>
      <c r="T246" s="4219">
        <v>23579</v>
      </c>
      <c r="U246" s="5214">
        <v>21961</v>
      </c>
      <c r="V246" s="4222"/>
      <c r="W246" s="4224">
        <v>0</v>
      </c>
      <c r="X246" s="4217">
        <v>494</v>
      </c>
      <c r="Y246" s="4223">
        <v>193</v>
      </c>
      <c r="Z246" s="5215">
        <v>0.46</v>
      </c>
      <c r="AA246" s="5215">
        <v>0.24</v>
      </c>
      <c r="AB246" s="5205">
        <v>0.56479999999999997</v>
      </c>
      <c r="AC246" s="4224">
        <v>975681</v>
      </c>
      <c r="AD246" s="4224"/>
      <c r="AE246" s="4224">
        <v>1141623</v>
      </c>
      <c r="AF246" s="4225">
        <v>1851.6</v>
      </c>
      <c r="AG246" s="4225">
        <v>1861.6</v>
      </c>
      <c r="AH246" s="4225">
        <v>1.1000000000000001</v>
      </c>
      <c r="AI246" s="4225">
        <v>0</v>
      </c>
      <c r="AJ246" s="4225">
        <v>0</v>
      </c>
      <c r="AK246" s="4225">
        <v>0</v>
      </c>
      <c r="AL246" s="4225">
        <v>0</v>
      </c>
      <c r="AM246" s="4227">
        <v>3.0999999999999999E-3</v>
      </c>
      <c r="AN246" s="4226">
        <v>0</v>
      </c>
      <c r="AO246" s="4224"/>
      <c r="AP246" s="4224"/>
      <c r="AQ246" s="4224">
        <v>9208327</v>
      </c>
      <c r="AR246" s="4221">
        <v>0.3</v>
      </c>
      <c r="AS246" s="4217">
        <v>12282025</v>
      </c>
      <c r="AT246" s="5216">
        <v>0</v>
      </c>
      <c r="AU246" s="5216">
        <v>0</v>
      </c>
      <c r="AV246" s="4220">
        <v>9208327</v>
      </c>
      <c r="AW246" s="5243">
        <v>184317</v>
      </c>
      <c r="AX246" s="4224"/>
      <c r="AY246" s="5217">
        <v>1999066</v>
      </c>
      <c r="AZ246" s="4224"/>
      <c r="BA246" s="4224">
        <v>870174</v>
      </c>
      <c r="BB246" s="4224">
        <v>184317</v>
      </c>
      <c r="BC246" s="5218"/>
      <c r="BD246" s="4217">
        <v>0</v>
      </c>
      <c r="BE246" s="4224">
        <v>9941910</v>
      </c>
    </row>
    <row r="247" spans="1:57">
      <c r="A247" s="3810">
        <v>465</v>
      </c>
      <c r="B247" s="4210" t="s">
        <v>637</v>
      </c>
      <c r="C247" s="4211" t="s">
        <v>263</v>
      </c>
      <c r="D247" s="4212">
        <v>104515544</v>
      </c>
      <c r="E247" s="4213">
        <v>92263864</v>
      </c>
      <c r="F247" s="4224">
        <v>112891310</v>
      </c>
      <c r="G247" s="4224">
        <v>100517548</v>
      </c>
      <c r="H247" s="4214">
        <v>2177.9</v>
      </c>
      <c r="I247" s="4215">
        <v>2140.1999999999998</v>
      </c>
      <c r="J247" s="4216">
        <v>262</v>
      </c>
      <c r="K247" s="4217">
        <v>18651854</v>
      </c>
      <c r="L247" s="4225">
        <v>2302.6999999999998</v>
      </c>
      <c r="M247" s="4225">
        <v>2223.6999999999998</v>
      </c>
      <c r="N247" s="4225">
        <v>2192.4</v>
      </c>
      <c r="O247" s="4225">
        <v>2155.1999999999998</v>
      </c>
      <c r="P247" s="4218">
        <v>2294230</v>
      </c>
      <c r="Q247" s="4218">
        <v>2258416</v>
      </c>
      <c r="R247" s="4220">
        <v>2812704</v>
      </c>
      <c r="S247" s="4220"/>
      <c r="T247" s="4219">
        <v>4517</v>
      </c>
      <c r="U247" s="5214">
        <v>2571</v>
      </c>
      <c r="V247" s="4222"/>
      <c r="W247" s="4224">
        <v>0</v>
      </c>
      <c r="X247" s="4217">
        <v>1076</v>
      </c>
      <c r="Y247" s="4223">
        <v>297</v>
      </c>
      <c r="Z247" s="5215">
        <v>0.46</v>
      </c>
      <c r="AA247" s="5215">
        <v>0.25</v>
      </c>
      <c r="AB247" s="5205">
        <v>0.56699999999999995</v>
      </c>
      <c r="AC247" s="4224">
        <v>1893914</v>
      </c>
      <c r="AD247" s="4224"/>
      <c r="AE247" s="4224">
        <v>2056035</v>
      </c>
      <c r="AF247" s="4225">
        <v>2287.6999999999998</v>
      </c>
      <c r="AG247" s="4225">
        <v>2208.6999999999998</v>
      </c>
      <c r="AH247" s="4225">
        <v>0</v>
      </c>
      <c r="AI247" s="4225">
        <v>0</v>
      </c>
      <c r="AJ247" s="4225">
        <v>0</v>
      </c>
      <c r="AK247" s="4225">
        <v>0</v>
      </c>
      <c r="AL247" s="4225">
        <v>0</v>
      </c>
      <c r="AM247" s="4221">
        <v>0</v>
      </c>
      <c r="AN247" s="4226">
        <v>0</v>
      </c>
      <c r="AO247" s="4224"/>
      <c r="AP247" s="4224"/>
      <c r="AQ247" s="4224">
        <v>11795780</v>
      </c>
      <c r="AR247" s="4221">
        <v>0.3</v>
      </c>
      <c r="AS247" s="4217">
        <v>16070897</v>
      </c>
      <c r="AT247" s="5216">
        <v>0</v>
      </c>
      <c r="AU247" s="5216">
        <v>0</v>
      </c>
      <c r="AV247" s="4220">
        <v>11795780</v>
      </c>
      <c r="AW247" s="5243">
        <v>253992</v>
      </c>
      <c r="AX247" s="4224"/>
      <c r="AY247" s="5217">
        <v>2812704</v>
      </c>
      <c r="AZ247" s="4224"/>
      <c r="BA247" s="4224">
        <v>1564794</v>
      </c>
      <c r="BB247" s="4224">
        <v>253992</v>
      </c>
      <c r="BC247" s="5218"/>
      <c r="BD247" s="4217">
        <v>0</v>
      </c>
      <c r="BE247" s="4224">
        <v>11748597</v>
      </c>
    </row>
    <row r="248" spans="1:57">
      <c r="A248" s="3810">
        <v>466</v>
      </c>
      <c r="B248" s="4210" t="s">
        <v>638</v>
      </c>
      <c r="C248" s="4211" t="s">
        <v>264</v>
      </c>
      <c r="D248" s="4212">
        <v>102020434</v>
      </c>
      <c r="E248" s="4213">
        <v>97382255</v>
      </c>
      <c r="F248" s="4224">
        <v>92561214</v>
      </c>
      <c r="G248" s="4224">
        <v>87913556</v>
      </c>
      <c r="H248" s="4214">
        <v>874</v>
      </c>
      <c r="I248" s="4215">
        <v>909</v>
      </c>
      <c r="J248" s="4216">
        <v>756</v>
      </c>
      <c r="K248" s="4217">
        <v>6655243</v>
      </c>
      <c r="L248" s="4225">
        <v>893.3</v>
      </c>
      <c r="M248" s="4225">
        <v>895</v>
      </c>
      <c r="N248" s="4225">
        <v>910</v>
      </c>
      <c r="O248" s="4225">
        <v>953.5</v>
      </c>
      <c r="P248" s="4218">
        <v>465651</v>
      </c>
      <c r="Q248" s="4218">
        <v>471940</v>
      </c>
      <c r="R248" s="4220">
        <v>218040</v>
      </c>
      <c r="S248" s="4220"/>
      <c r="T248" s="4219">
        <v>0</v>
      </c>
      <c r="U248" s="5214">
        <v>0</v>
      </c>
      <c r="V248" s="4222"/>
      <c r="W248" s="4224">
        <v>82439</v>
      </c>
      <c r="X248" s="4217">
        <v>345</v>
      </c>
      <c r="Y248" s="4223">
        <v>139</v>
      </c>
      <c r="Z248" s="5215">
        <v>0.03</v>
      </c>
      <c r="AA248" s="5215">
        <v>0</v>
      </c>
      <c r="AB248" s="5205">
        <v>0.20219999999999999</v>
      </c>
      <c r="AC248" s="4224">
        <v>474925</v>
      </c>
      <c r="AD248" s="4224"/>
      <c r="AE248" s="4224">
        <v>551906</v>
      </c>
      <c r="AF248" s="4225">
        <v>853.4</v>
      </c>
      <c r="AG248" s="4225">
        <v>871.5</v>
      </c>
      <c r="AH248" s="4225">
        <v>24.2</v>
      </c>
      <c r="AI248" s="4225">
        <v>0</v>
      </c>
      <c r="AJ248" s="4225">
        <v>0</v>
      </c>
      <c r="AK248" s="4225">
        <v>0</v>
      </c>
      <c r="AL248" s="4225">
        <v>0</v>
      </c>
      <c r="AM248" s="4221">
        <v>0</v>
      </c>
      <c r="AN248" s="4226">
        <v>0</v>
      </c>
      <c r="AO248" s="4224"/>
      <c r="AP248" s="4224"/>
      <c r="AQ248" s="4224">
        <v>5483258</v>
      </c>
      <c r="AR248" s="4221">
        <v>0.3</v>
      </c>
      <c r="AS248" s="4217">
        <v>6988906</v>
      </c>
      <c r="AT248" s="5216">
        <v>0</v>
      </c>
      <c r="AU248" s="5216">
        <v>0</v>
      </c>
      <c r="AV248" s="4220">
        <v>5483258</v>
      </c>
      <c r="AW248" s="5243">
        <v>0</v>
      </c>
      <c r="AX248" s="4224"/>
      <c r="AY248" s="5217">
        <v>196236</v>
      </c>
      <c r="AZ248" s="4224"/>
      <c r="BA248" s="4224">
        <v>422853</v>
      </c>
      <c r="BB248" s="4224">
        <v>0</v>
      </c>
      <c r="BC248" s="5218"/>
      <c r="BD248" s="4217">
        <v>61707</v>
      </c>
      <c r="BE248" s="4224">
        <v>5436917</v>
      </c>
    </row>
    <row r="249" spans="1:57">
      <c r="A249" s="3810">
        <v>467</v>
      </c>
      <c r="B249" s="4210" t="s">
        <v>639</v>
      </c>
      <c r="C249" s="4211" t="s">
        <v>265</v>
      </c>
      <c r="D249" s="4212">
        <v>41482475</v>
      </c>
      <c r="E249" s="4213">
        <v>39437832</v>
      </c>
      <c r="F249" s="4224">
        <v>43234379</v>
      </c>
      <c r="G249" s="4224">
        <v>41188837</v>
      </c>
      <c r="H249" s="4214">
        <v>398</v>
      </c>
      <c r="I249" s="4215">
        <v>382</v>
      </c>
      <c r="J249" s="4216">
        <v>775.3</v>
      </c>
      <c r="K249" s="4217">
        <v>3625618</v>
      </c>
      <c r="L249" s="4225">
        <v>386</v>
      </c>
      <c r="M249" s="4225">
        <v>399</v>
      </c>
      <c r="N249" s="4225">
        <v>405</v>
      </c>
      <c r="O249" s="4225">
        <v>386.5</v>
      </c>
      <c r="P249" s="4218">
        <v>220507</v>
      </c>
      <c r="Q249" s="4218">
        <v>224614</v>
      </c>
      <c r="R249" s="4220">
        <v>173644</v>
      </c>
      <c r="S249" s="4220"/>
      <c r="T249" s="4219">
        <v>0</v>
      </c>
      <c r="U249" s="5214">
        <v>0</v>
      </c>
      <c r="V249" s="4222"/>
      <c r="W249" s="4224">
        <v>0</v>
      </c>
      <c r="X249" s="4217">
        <v>185</v>
      </c>
      <c r="Y249" s="4223">
        <v>51</v>
      </c>
      <c r="Z249" s="5215">
        <v>0</v>
      </c>
      <c r="AA249" s="5215">
        <v>0</v>
      </c>
      <c r="AB249" s="5205">
        <v>8.14E-2</v>
      </c>
      <c r="AC249" s="4224">
        <v>270352</v>
      </c>
      <c r="AD249" s="4224"/>
      <c r="AE249" s="4224">
        <v>314034</v>
      </c>
      <c r="AF249" s="4225">
        <v>378</v>
      </c>
      <c r="AG249" s="4225">
        <v>391</v>
      </c>
      <c r="AH249" s="4225">
        <v>0</v>
      </c>
      <c r="AI249" s="4225">
        <v>0</v>
      </c>
      <c r="AJ249" s="4225">
        <v>0</v>
      </c>
      <c r="AK249" s="4225">
        <v>0</v>
      </c>
      <c r="AL249" s="4225">
        <v>0</v>
      </c>
      <c r="AM249" s="4221">
        <v>0</v>
      </c>
      <c r="AN249" s="4226">
        <v>0</v>
      </c>
      <c r="AO249" s="4224"/>
      <c r="AP249" s="4224"/>
      <c r="AQ249" s="4224">
        <v>2991027</v>
      </c>
      <c r="AR249" s="4221">
        <v>0.3</v>
      </c>
      <c r="AS249" s="4217">
        <v>3805801</v>
      </c>
      <c r="AT249" s="5216">
        <v>0</v>
      </c>
      <c r="AU249" s="5216">
        <v>0</v>
      </c>
      <c r="AV249" s="4220">
        <v>2991027</v>
      </c>
      <c r="AW249" s="5243">
        <v>0</v>
      </c>
      <c r="AX249" s="4224"/>
      <c r="AY249" s="5217">
        <v>156279</v>
      </c>
      <c r="AZ249" s="4224"/>
      <c r="BA249" s="4224">
        <v>239143</v>
      </c>
      <c r="BB249" s="4224">
        <v>0</v>
      </c>
      <c r="BC249" s="5218"/>
      <c r="BD249" s="4217">
        <v>0</v>
      </c>
      <c r="BE249" s="4224">
        <v>2979062</v>
      </c>
    </row>
    <row r="250" spans="1:57">
      <c r="A250" s="3810">
        <v>468</v>
      </c>
      <c r="B250" s="4210" t="s">
        <v>640</v>
      </c>
      <c r="C250" s="4211" t="s">
        <v>266</v>
      </c>
      <c r="D250" s="4212">
        <v>15759939</v>
      </c>
      <c r="E250" s="4213">
        <v>15412129</v>
      </c>
      <c r="F250" s="4224">
        <v>11757003</v>
      </c>
      <c r="G250" s="4224">
        <v>11408107</v>
      </c>
      <c r="H250" s="4214">
        <v>67.8</v>
      </c>
      <c r="I250" s="4215">
        <v>67.5</v>
      </c>
      <c r="J250" s="4216">
        <v>203.3</v>
      </c>
      <c r="K250" s="4217">
        <v>833335</v>
      </c>
      <c r="L250" s="4225">
        <v>72.5</v>
      </c>
      <c r="M250" s="4225">
        <v>79.8</v>
      </c>
      <c r="N250" s="4225">
        <v>67.8</v>
      </c>
      <c r="O250" s="4225">
        <v>67.5</v>
      </c>
      <c r="P250" s="4218">
        <v>95713</v>
      </c>
      <c r="Q250" s="4218">
        <v>104481</v>
      </c>
      <c r="R250" s="4220">
        <v>0</v>
      </c>
      <c r="S250" s="4220"/>
      <c r="T250" s="4219">
        <v>0</v>
      </c>
      <c r="U250" s="5214">
        <v>0</v>
      </c>
      <c r="V250" s="4222"/>
      <c r="W250" s="4224">
        <v>0</v>
      </c>
      <c r="X250" s="4217">
        <v>34</v>
      </c>
      <c r="Y250" s="4223">
        <v>4</v>
      </c>
      <c r="Z250" s="5215">
        <v>0</v>
      </c>
      <c r="AA250" s="5215">
        <v>0</v>
      </c>
      <c r="AB250" s="5205">
        <v>0</v>
      </c>
      <c r="AC250" s="4224">
        <v>64820</v>
      </c>
      <c r="AD250" s="4224"/>
      <c r="AE250" s="4224">
        <v>66387</v>
      </c>
      <c r="AF250" s="4225">
        <v>72.5</v>
      </c>
      <c r="AG250" s="4225">
        <v>79.5</v>
      </c>
      <c r="AH250" s="4225">
        <v>0</v>
      </c>
      <c r="AI250" s="4225">
        <v>0</v>
      </c>
      <c r="AJ250" s="4225">
        <v>0</v>
      </c>
      <c r="AK250" s="4225">
        <v>0</v>
      </c>
      <c r="AL250" s="4225">
        <v>0</v>
      </c>
      <c r="AM250" s="4221">
        <v>0</v>
      </c>
      <c r="AN250" s="4226">
        <v>0</v>
      </c>
      <c r="AO250" s="4224"/>
      <c r="AP250" s="4224"/>
      <c r="AQ250" s="4224">
        <v>671845</v>
      </c>
      <c r="AR250" s="4221">
        <v>0.31</v>
      </c>
      <c r="AS250" s="4217">
        <v>929162</v>
      </c>
      <c r="AT250" s="5216">
        <v>0</v>
      </c>
      <c r="AU250" s="5216">
        <v>0</v>
      </c>
      <c r="AV250" s="4220">
        <v>671845</v>
      </c>
      <c r="AW250" s="5243">
        <v>0</v>
      </c>
      <c r="AX250" s="4224"/>
      <c r="AY250" s="5217">
        <v>0</v>
      </c>
      <c r="AZ250" s="4224"/>
      <c r="BA250" s="4224">
        <v>49890</v>
      </c>
      <c r="BB250" s="4224">
        <v>0</v>
      </c>
      <c r="BC250" s="5218"/>
      <c r="BD250" s="4217">
        <v>0</v>
      </c>
      <c r="BE250" s="4224">
        <v>669158</v>
      </c>
    </row>
    <row r="251" spans="1:57">
      <c r="A251" s="3810">
        <v>469</v>
      </c>
      <c r="B251" s="4210" t="s">
        <v>641</v>
      </c>
      <c r="C251" s="4211" t="s">
        <v>178</v>
      </c>
      <c r="D251" s="4212">
        <v>119476644</v>
      </c>
      <c r="E251" s="4213">
        <v>109874090</v>
      </c>
      <c r="F251" s="4224">
        <v>122400428</v>
      </c>
      <c r="G251" s="4224">
        <v>112755067</v>
      </c>
      <c r="H251" s="4214">
        <v>2534.6</v>
      </c>
      <c r="I251" s="4215">
        <v>2541.5</v>
      </c>
      <c r="J251" s="4216">
        <v>49</v>
      </c>
      <c r="K251" s="4217">
        <v>19854342</v>
      </c>
      <c r="L251" s="4225">
        <v>2576</v>
      </c>
      <c r="M251" s="4225">
        <v>2557.1</v>
      </c>
      <c r="N251" s="4225">
        <v>2534.6</v>
      </c>
      <c r="O251" s="4225">
        <v>2577.5</v>
      </c>
      <c r="P251" s="4218">
        <v>2839176</v>
      </c>
      <c r="Q251" s="4218">
        <v>3068665</v>
      </c>
      <c r="R251" s="4220">
        <v>2816435</v>
      </c>
      <c r="S251" s="4220"/>
      <c r="T251" s="4219">
        <v>0</v>
      </c>
      <c r="U251" s="5214">
        <v>2953</v>
      </c>
      <c r="V251" s="4222"/>
      <c r="W251" s="4224">
        <v>0</v>
      </c>
      <c r="X251" s="4217">
        <v>560</v>
      </c>
      <c r="Y251" s="4223">
        <v>242</v>
      </c>
      <c r="Z251" s="5215">
        <v>0.52</v>
      </c>
      <c r="AA251" s="5215">
        <v>0.3</v>
      </c>
      <c r="AB251" s="5205">
        <v>0.61040000000000005</v>
      </c>
      <c r="AC251" s="4224">
        <v>1432960</v>
      </c>
      <c r="AD251" s="4224"/>
      <c r="AE251" s="4224">
        <v>1894090</v>
      </c>
      <c r="AF251" s="4225">
        <v>2576</v>
      </c>
      <c r="AG251" s="4225">
        <v>2557.1</v>
      </c>
      <c r="AH251" s="4225">
        <v>0</v>
      </c>
      <c r="AI251" s="4225">
        <v>0</v>
      </c>
      <c r="AJ251" s="4225">
        <v>0</v>
      </c>
      <c r="AK251" s="4225">
        <v>0</v>
      </c>
      <c r="AL251" s="4225">
        <v>0</v>
      </c>
      <c r="AM251" s="4227">
        <v>1.5599999999999999E-2</v>
      </c>
      <c r="AN251" s="4226">
        <v>0</v>
      </c>
      <c r="AO251" s="4224"/>
      <c r="AP251" s="4224"/>
      <c r="AQ251" s="4224">
        <v>11526653</v>
      </c>
      <c r="AR251" s="4221">
        <v>0.3</v>
      </c>
      <c r="AS251" s="4217">
        <v>16280440</v>
      </c>
      <c r="AT251" s="5216">
        <v>0</v>
      </c>
      <c r="AU251" s="5216">
        <v>0</v>
      </c>
      <c r="AV251" s="4220">
        <v>11526653</v>
      </c>
      <c r="AW251" s="5243">
        <v>140111</v>
      </c>
      <c r="AX251" s="4224"/>
      <c r="AY251" s="5217">
        <v>2816435</v>
      </c>
      <c r="AZ251" s="4224"/>
      <c r="BA251" s="4224">
        <v>1449747</v>
      </c>
      <c r="BB251" s="4224">
        <v>140111</v>
      </c>
      <c r="BC251" s="5218"/>
      <c r="BD251" s="4217">
        <v>0</v>
      </c>
      <c r="BE251" s="4224">
        <v>12354062</v>
      </c>
    </row>
    <row r="252" spans="1:57">
      <c r="A252" s="3810">
        <v>470</v>
      </c>
      <c r="B252" s="4210" t="s">
        <v>642</v>
      </c>
      <c r="C252" s="4211" t="s">
        <v>263</v>
      </c>
      <c r="D252" s="4212">
        <v>86046027</v>
      </c>
      <c r="E252" s="4213">
        <v>72083824</v>
      </c>
      <c r="F252" s="4224">
        <v>89994803</v>
      </c>
      <c r="G252" s="4224">
        <v>75979923</v>
      </c>
      <c r="H252" s="4214">
        <v>2715.6</v>
      </c>
      <c r="I252" s="4215">
        <v>2653.2</v>
      </c>
      <c r="J252" s="4216">
        <v>200</v>
      </c>
      <c r="K252" s="4217">
        <v>24543262</v>
      </c>
      <c r="L252" s="4225">
        <v>2619.3000000000002</v>
      </c>
      <c r="M252" s="4225">
        <v>2645</v>
      </c>
      <c r="N252" s="4225">
        <v>2768.1</v>
      </c>
      <c r="O252" s="4225">
        <v>2689.7</v>
      </c>
      <c r="P252" s="4218">
        <v>2477617</v>
      </c>
      <c r="Q252" s="4218">
        <v>2577217</v>
      </c>
      <c r="R252" s="4220">
        <v>4427457</v>
      </c>
      <c r="S252" s="4220"/>
      <c r="T252" s="4219">
        <v>0</v>
      </c>
      <c r="U252" s="5214">
        <v>0</v>
      </c>
      <c r="V252" s="4222"/>
      <c r="W252" s="4224">
        <v>0</v>
      </c>
      <c r="X252" s="4217">
        <v>1665</v>
      </c>
      <c r="Y252" s="4223">
        <v>357</v>
      </c>
      <c r="Z252" s="5215">
        <v>0.65</v>
      </c>
      <c r="AA252" s="5215">
        <v>0.43</v>
      </c>
      <c r="AB252" s="5205">
        <v>0.72419999999999995</v>
      </c>
      <c r="AC252" s="4224">
        <v>1613626</v>
      </c>
      <c r="AD252" s="4224"/>
      <c r="AE252" s="4224">
        <v>1788026</v>
      </c>
      <c r="AF252" s="4225">
        <v>2582.8000000000002</v>
      </c>
      <c r="AG252" s="4225">
        <v>2590.5</v>
      </c>
      <c r="AH252" s="4225">
        <v>0</v>
      </c>
      <c r="AI252" s="4225">
        <v>0</v>
      </c>
      <c r="AJ252" s="4225">
        <v>0</v>
      </c>
      <c r="AK252" s="4225">
        <v>0</v>
      </c>
      <c r="AL252" s="4225">
        <v>0</v>
      </c>
      <c r="AM252" s="4221">
        <v>0</v>
      </c>
      <c r="AN252" s="4226">
        <v>0</v>
      </c>
      <c r="AO252" s="4224"/>
      <c r="AP252" s="4224"/>
      <c r="AQ252" s="4224">
        <v>16038317</v>
      </c>
      <c r="AR252" s="4221">
        <v>0.29870000000000002</v>
      </c>
      <c r="AS252" s="4217">
        <v>21189692</v>
      </c>
      <c r="AT252" s="5216">
        <v>0</v>
      </c>
      <c r="AU252" s="5216">
        <v>0</v>
      </c>
      <c r="AV252" s="4220">
        <v>16038317</v>
      </c>
      <c r="AW252" s="5243">
        <v>209631</v>
      </c>
      <c r="AX252" s="4224"/>
      <c r="AY252" s="5221">
        <v>4419108</v>
      </c>
      <c r="AZ252" s="4224"/>
      <c r="BA252" s="4224">
        <v>1359037</v>
      </c>
      <c r="BB252" s="4224">
        <v>209631</v>
      </c>
      <c r="BC252" s="5218"/>
      <c r="BD252" s="4217">
        <v>0</v>
      </c>
      <c r="BE252" s="4224">
        <v>15974164</v>
      </c>
    </row>
    <row r="253" spans="1:57">
      <c r="A253" s="3810">
        <v>471</v>
      </c>
      <c r="B253" s="4210" t="s">
        <v>643</v>
      </c>
      <c r="C253" s="4211" t="s">
        <v>263</v>
      </c>
      <c r="D253" s="4212">
        <v>7746594</v>
      </c>
      <c r="E253" s="4213">
        <v>7131790</v>
      </c>
      <c r="F253" s="4224">
        <v>7376965</v>
      </c>
      <c r="G253" s="4224">
        <v>6755070</v>
      </c>
      <c r="H253" s="4214">
        <v>145</v>
      </c>
      <c r="I253" s="4215">
        <v>141.5</v>
      </c>
      <c r="J253" s="4216">
        <v>213</v>
      </c>
      <c r="K253" s="4217">
        <v>1715588</v>
      </c>
      <c r="L253" s="4225">
        <v>157.19999999999999</v>
      </c>
      <c r="M253" s="4225">
        <v>146.80000000000001</v>
      </c>
      <c r="N253" s="4225">
        <v>145</v>
      </c>
      <c r="O253" s="4225">
        <v>141.5</v>
      </c>
      <c r="P253" s="4218">
        <v>145124</v>
      </c>
      <c r="Q253" s="4218">
        <v>142547</v>
      </c>
      <c r="R253" s="4220">
        <v>224910</v>
      </c>
      <c r="S253" s="4220"/>
      <c r="T253" s="4219">
        <v>0</v>
      </c>
      <c r="U253" s="5214">
        <v>0</v>
      </c>
      <c r="V253" s="4222"/>
      <c r="W253" s="4224">
        <v>0</v>
      </c>
      <c r="X253" s="4217">
        <v>69</v>
      </c>
      <c r="Y253" s="4223">
        <v>20</v>
      </c>
      <c r="Z253" s="5215">
        <v>0.46</v>
      </c>
      <c r="AA253" s="5215">
        <v>0.24</v>
      </c>
      <c r="AB253" s="5205">
        <v>0.56499999999999995</v>
      </c>
      <c r="AC253" s="4224">
        <v>110022</v>
      </c>
      <c r="AD253" s="4224"/>
      <c r="AE253" s="4224">
        <v>127365</v>
      </c>
      <c r="AF253" s="4225">
        <v>157.19999999999999</v>
      </c>
      <c r="AG253" s="4225">
        <v>146.80000000000001</v>
      </c>
      <c r="AH253" s="4225">
        <v>0</v>
      </c>
      <c r="AI253" s="4225">
        <v>0</v>
      </c>
      <c r="AJ253" s="4225">
        <v>0</v>
      </c>
      <c r="AK253" s="4225">
        <v>0</v>
      </c>
      <c r="AL253" s="4225">
        <v>0</v>
      </c>
      <c r="AM253" s="4221">
        <v>0</v>
      </c>
      <c r="AN253" s="4226">
        <v>0</v>
      </c>
      <c r="AO253" s="4224"/>
      <c r="AP253" s="4224"/>
      <c r="AQ253" s="4224">
        <v>1253226</v>
      </c>
      <c r="AR253" s="4221">
        <v>0.25380000000000003</v>
      </c>
      <c r="AS253" s="4217">
        <v>1650244</v>
      </c>
      <c r="AT253" s="5216">
        <v>0</v>
      </c>
      <c r="AU253" s="5216">
        <v>0</v>
      </c>
      <c r="AV253" s="4220">
        <v>1253226</v>
      </c>
      <c r="AW253" s="5243">
        <v>0</v>
      </c>
      <c r="AX253" s="4224"/>
      <c r="AY253" s="5217">
        <v>224910</v>
      </c>
      <c r="AZ253" s="4224"/>
      <c r="BA253" s="4224">
        <v>97453</v>
      </c>
      <c r="BB253" s="4224">
        <v>0</v>
      </c>
      <c r="BC253" s="5218"/>
      <c r="BD253" s="4217">
        <v>0</v>
      </c>
      <c r="BE253" s="4224">
        <v>1248213</v>
      </c>
    </row>
    <row r="254" spans="1:57">
      <c r="A254" s="3810">
        <v>473</v>
      </c>
      <c r="B254" s="4210" t="s">
        <v>644</v>
      </c>
      <c r="C254" s="4211" t="s">
        <v>248</v>
      </c>
      <c r="D254" s="4212">
        <v>71825752</v>
      </c>
      <c r="E254" s="4213">
        <v>66211669</v>
      </c>
      <c r="F254" s="4224">
        <v>75247497</v>
      </c>
      <c r="G254" s="4224">
        <v>69608216</v>
      </c>
      <c r="H254" s="5198">
        <v>1047.5</v>
      </c>
      <c r="I254" s="4215">
        <v>1032.2</v>
      </c>
      <c r="J254" s="4216">
        <v>550</v>
      </c>
      <c r="K254" s="4217">
        <v>8691677</v>
      </c>
      <c r="L254" s="4225">
        <v>1038</v>
      </c>
      <c r="M254" s="4225">
        <v>1050</v>
      </c>
      <c r="N254" s="4225">
        <v>1048</v>
      </c>
      <c r="O254" s="4225">
        <v>1033.2</v>
      </c>
      <c r="P254" s="4218">
        <v>917504</v>
      </c>
      <c r="Q254" s="4218">
        <v>910988</v>
      </c>
      <c r="R254" s="4220">
        <v>862582</v>
      </c>
      <c r="S254" s="4220"/>
      <c r="T254" s="4219">
        <v>0</v>
      </c>
      <c r="U254" s="5214">
        <v>0</v>
      </c>
      <c r="V254" s="4222"/>
      <c r="W254" s="4224">
        <v>0</v>
      </c>
      <c r="X254" s="4217">
        <v>391</v>
      </c>
      <c r="Y254" s="4223">
        <v>128</v>
      </c>
      <c r="Z254" s="5215">
        <v>0.26</v>
      </c>
      <c r="AA254" s="5215">
        <v>0.04</v>
      </c>
      <c r="AB254" s="5205">
        <v>0.39229999999999998</v>
      </c>
      <c r="AC254" s="4224">
        <v>677423</v>
      </c>
      <c r="AD254" s="4224"/>
      <c r="AE254" s="4224">
        <v>789796</v>
      </c>
      <c r="AF254" s="4225">
        <v>1038</v>
      </c>
      <c r="AG254" s="4225">
        <v>1050</v>
      </c>
      <c r="AH254" s="4225">
        <v>0.5</v>
      </c>
      <c r="AI254" s="4225">
        <v>0</v>
      </c>
      <c r="AJ254" s="4225">
        <v>0</v>
      </c>
      <c r="AK254" s="4225">
        <v>0</v>
      </c>
      <c r="AL254" s="4225">
        <v>0</v>
      </c>
      <c r="AM254" s="4221">
        <v>0</v>
      </c>
      <c r="AN254" s="4226">
        <v>11106</v>
      </c>
      <c r="AO254" s="4224"/>
      <c r="AP254" s="4224"/>
      <c r="AQ254" s="4224">
        <v>6287342</v>
      </c>
      <c r="AR254" s="4221">
        <v>0.3</v>
      </c>
      <c r="AS254" s="4217">
        <v>8252368</v>
      </c>
      <c r="AT254" s="5216">
        <v>0</v>
      </c>
      <c r="AU254" s="5216">
        <v>0</v>
      </c>
      <c r="AV254" s="4220">
        <v>6287342</v>
      </c>
      <c r="AW254" s="5243">
        <v>38194</v>
      </c>
      <c r="AX254" s="4224"/>
      <c r="AY254" s="5217">
        <v>862582</v>
      </c>
      <c r="AZ254" s="4224"/>
      <c r="BA254" s="4224">
        <v>594876</v>
      </c>
      <c r="BB254" s="4224">
        <v>25831</v>
      </c>
      <c r="BC254" s="5218"/>
      <c r="BD254" s="4217">
        <v>0</v>
      </c>
      <c r="BE254" s="4224">
        <v>6265274</v>
      </c>
    </row>
    <row r="255" spans="1:57">
      <c r="A255" s="3810">
        <v>474</v>
      </c>
      <c r="B255" s="4210" t="s">
        <v>645</v>
      </c>
      <c r="C255" s="4211" t="s">
        <v>259</v>
      </c>
      <c r="D255" s="4212">
        <v>19896118</v>
      </c>
      <c r="E255" s="4213">
        <v>19207328</v>
      </c>
      <c r="F255" s="4224">
        <v>19033433</v>
      </c>
      <c r="G255" s="4224">
        <v>18345818</v>
      </c>
      <c r="H255" s="4214">
        <v>101.3</v>
      </c>
      <c r="I255" s="4215">
        <v>96.5</v>
      </c>
      <c r="J255" s="4216">
        <v>234.9</v>
      </c>
      <c r="K255" s="4217">
        <v>1129921</v>
      </c>
      <c r="L255" s="4225">
        <v>118</v>
      </c>
      <c r="M255" s="4225">
        <v>105</v>
      </c>
      <c r="N255" s="4225">
        <v>101.3</v>
      </c>
      <c r="O255" s="4225">
        <v>96.5</v>
      </c>
      <c r="P255" s="4218">
        <v>125519</v>
      </c>
      <c r="Q255" s="4218">
        <v>127857</v>
      </c>
      <c r="R255" s="4220">
        <v>0</v>
      </c>
      <c r="S255" s="4220"/>
      <c r="T255" s="4219">
        <v>0</v>
      </c>
      <c r="U255" s="5214">
        <v>0</v>
      </c>
      <c r="V255" s="4222"/>
      <c r="W255" s="4224">
        <v>0</v>
      </c>
      <c r="X255" s="4217">
        <v>21</v>
      </c>
      <c r="Y255" s="4223">
        <v>25</v>
      </c>
      <c r="Z255" s="5215">
        <v>0</v>
      </c>
      <c r="AA255" s="5215">
        <v>0</v>
      </c>
      <c r="AB255" s="5205">
        <v>0</v>
      </c>
      <c r="AC255" s="4224">
        <v>65109</v>
      </c>
      <c r="AD255" s="4224"/>
      <c r="AE255" s="4224">
        <v>71310</v>
      </c>
      <c r="AF255" s="4225">
        <v>118</v>
      </c>
      <c r="AG255" s="4225">
        <v>105</v>
      </c>
      <c r="AH255" s="4225">
        <v>0</v>
      </c>
      <c r="AI255" s="4225">
        <v>0</v>
      </c>
      <c r="AJ255" s="4225">
        <v>0</v>
      </c>
      <c r="AK255" s="4225">
        <v>0</v>
      </c>
      <c r="AL255" s="4225">
        <v>0</v>
      </c>
      <c r="AM255" s="4221">
        <v>0</v>
      </c>
      <c r="AN255" s="4226">
        <v>0</v>
      </c>
      <c r="AO255" s="4224"/>
      <c r="AP255" s="4224"/>
      <c r="AQ255" s="4224">
        <v>933340</v>
      </c>
      <c r="AR255" s="4221">
        <v>0.3</v>
      </c>
      <c r="AS255" s="4217">
        <v>1266489</v>
      </c>
      <c r="AT255" s="5216">
        <v>0</v>
      </c>
      <c r="AU255" s="5216">
        <v>0</v>
      </c>
      <c r="AV255" s="4220">
        <v>933340</v>
      </c>
      <c r="AW255" s="5243">
        <v>0</v>
      </c>
      <c r="AX255" s="4224"/>
      <c r="AY255" s="5217">
        <v>0</v>
      </c>
      <c r="AZ255" s="4224"/>
      <c r="BA255" s="4224">
        <v>54384</v>
      </c>
      <c r="BB255" s="4224">
        <v>0</v>
      </c>
      <c r="BC255" s="5218"/>
      <c r="BD255" s="4217">
        <v>0</v>
      </c>
      <c r="BE255" s="4224">
        <v>929607</v>
      </c>
    </row>
    <row r="256" spans="1:57">
      <c r="A256" s="3810">
        <v>475</v>
      </c>
      <c r="B256" s="4210" t="s">
        <v>646</v>
      </c>
      <c r="C256" s="4211" t="s">
        <v>267</v>
      </c>
      <c r="D256" s="4212">
        <v>222135650</v>
      </c>
      <c r="E256" s="4213">
        <v>201280244</v>
      </c>
      <c r="F256" s="4224">
        <v>226830787</v>
      </c>
      <c r="G256" s="4224">
        <v>205631887</v>
      </c>
      <c r="H256" s="5198">
        <v>8090.7</v>
      </c>
      <c r="I256" s="4215">
        <v>7268.5</v>
      </c>
      <c r="J256" s="4216">
        <v>262</v>
      </c>
      <c r="K256" s="4217">
        <v>69963705</v>
      </c>
      <c r="L256" s="4225">
        <v>8039.5</v>
      </c>
      <c r="M256" s="4225">
        <v>8100.6</v>
      </c>
      <c r="N256" s="4225">
        <v>8114.7</v>
      </c>
      <c r="O256" s="4225">
        <v>7319.6</v>
      </c>
      <c r="P256" s="4218">
        <v>7816038</v>
      </c>
      <c r="Q256" s="4218">
        <v>7579038</v>
      </c>
      <c r="R256" s="4220">
        <v>13350881</v>
      </c>
      <c r="S256" s="4220"/>
      <c r="T256" s="4219">
        <v>0</v>
      </c>
      <c r="U256" s="5214">
        <v>0</v>
      </c>
      <c r="V256" s="4222"/>
      <c r="W256" s="4224">
        <v>0</v>
      </c>
      <c r="X256" s="4217">
        <v>3163</v>
      </c>
      <c r="Y256" s="4223">
        <v>1575</v>
      </c>
      <c r="Z256" s="5215">
        <v>0.69</v>
      </c>
      <c r="AA256" s="5215">
        <v>0.48</v>
      </c>
      <c r="AB256" s="5205">
        <v>0.75860000000000005</v>
      </c>
      <c r="AC256" s="4224">
        <v>5083171</v>
      </c>
      <c r="AD256" s="4224"/>
      <c r="AE256" s="4224">
        <v>5930152</v>
      </c>
      <c r="AF256" s="4225">
        <v>8007.7</v>
      </c>
      <c r="AG256" s="4225">
        <v>8072.6</v>
      </c>
      <c r="AH256" s="4225">
        <v>0</v>
      </c>
      <c r="AI256" s="4225">
        <v>0</v>
      </c>
      <c r="AJ256" s="4225">
        <v>0</v>
      </c>
      <c r="AK256" s="4225">
        <v>0</v>
      </c>
      <c r="AL256" s="4225">
        <v>189.8</v>
      </c>
      <c r="AM256" s="4221">
        <v>0</v>
      </c>
      <c r="AN256" s="4226">
        <v>10464071</v>
      </c>
      <c r="AO256" s="4224"/>
      <c r="AP256" s="4224"/>
      <c r="AQ256" s="4224">
        <v>32997132</v>
      </c>
      <c r="AR256" s="4221">
        <v>0.3</v>
      </c>
      <c r="AS256" s="4217">
        <v>58488382</v>
      </c>
      <c r="AT256" s="5216">
        <v>0</v>
      </c>
      <c r="AU256" s="5216">
        <v>0</v>
      </c>
      <c r="AV256" s="4220">
        <v>32997132</v>
      </c>
      <c r="AW256" s="5243">
        <v>418310</v>
      </c>
      <c r="AX256" s="4224"/>
      <c r="AY256" s="5217">
        <v>13350881</v>
      </c>
      <c r="AZ256" s="4224"/>
      <c r="BA256" s="4224">
        <v>4466593</v>
      </c>
      <c r="BB256" s="4224">
        <v>418310</v>
      </c>
      <c r="BC256" s="5218"/>
      <c r="BD256" s="4217">
        <v>0</v>
      </c>
      <c r="BE256" s="4224">
        <v>33195250</v>
      </c>
    </row>
    <row r="257" spans="1:57">
      <c r="A257" s="3810">
        <v>476</v>
      </c>
      <c r="B257" s="4210" t="s">
        <v>647</v>
      </c>
      <c r="C257" s="4211" t="s">
        <v>168</v>
      </c>
      <c r="D257" s="4212">
        <v>18888643</v>
      </c>
      <c r="E257" s="4213">
        <v>18225391</v>
      </c>
      <c r="F257" s="4224">
        <v>19998184</v>
      </c>
      <c r="G257" s="4224">
        <v>19315712</v>
      </c>
      <c r="H257" s="4214">
        <v>103</v>
      </c>
      <c r="I257" s="4215">
        <v>88.5</v>
      </c>
      <c r="J257" s="4216">
        <v>200</v>
      </c>
      <c r="K257" s="4217">
        <v>1320540</v>
      </c>
      <c r="L257" s="4225">
        <v>139.19999999999999</v>
      </c>
      <c r="M257" s="4225">
        <v>109.5</v>
      </c>
      <c r="N257" s="4225">
        <v>103</v>
      </c>
      <c r="O257" s="4225">
        <v>99.5</v>
      </c>
      <c r="P257" s="4218">
        <v>78136</v>
      </c>
      <c r="Q257" s="4218">
        <v>79097</v>
      </c>
      <c r="R257" s="4220">
        <v>0</v>
      </c>
      <c r="S257" s="4220"/>
      <c r="T257" s="4219">
        <v>0</v>
      </c>
      <c r="U257" s="5214">
        <v>0</v>
      </c>
      <c r="V257" s="4222"/>
      <c r="W257" s="4224">
        <v>0</v>
      </c>
      <c r="X257" s="4217">
        <v>35</v>
      </c>
      <c r="Y257" s="4223">
        <v>18</v>
      </c>
      <c r="Z257" s="5215">
        <v>0</v>
      </c>
      <c r="AA257" s="5215">
        <v>0</v>
      </c>
      <c r="AB257" s="5205">
        <v>0</v>
      </c>
      <c r="AC257" s="4224">
        <v>95185</v>
      </c>
      <c r="AD257" s="4224"/>
      <c r="AE257" s="4224">
        <v>99931</v>
      </c>
      <c r="AF257" s="4225">
        <v>137.69999999999999</v>
      </c>
      <c r="AG257" s="4225">
        <v>106.5</v>
      </c>
      <c r="AH257" s="4225">
        <v>0</v>
      </c>
      <c r="AI257" s="4225">
        <v>0</v>
      </c>
      <c r="AJ257" s="4225">
        <v>0</v>
      </c>
      <c r="AK257" s="4225">
        <v>0</v>
      </c>
      <c r="AL257" s="4225">
        <v>0</v>
      </c>
      <c r="AM257" s="4221">
        <v>0</v>
      </c>
      <c r="AN257" s="4226">
        <v>0</v>
      </c>
      <c r="AO257" s="4224"/>
      <c r="AP257" s="4224"/>
      <c r="AQ257" s="4224">
        <v>1099249</v>
      </c>
      <c r="AR257" s="4221">
        <v>0.3</v>
      </c>
      <c r="AS257" s="4217">
        <v>1394372</v>
      </c>
      <c r="AT257" s="5216">
        <v>0</v>
      </c>
      <c r="AU257" s="5216">
        <v>0</v>
      </c>
      <c r="AV257" s="4220">
        <v>1099249</v>
      </c>
      <c r="AW257" s="5243">
        <v>0</v>
      </c>
      <c r="AX257" s="4224"/>
      <c r="AY257" s="5217">
        <v>0</v>
      </c>
      <c r="AZ257" s="4224"/>
      <c r="BA257" s="4224">
        <v>76677</v>
      </c>
      <c r="BB257" s="4224">
        <v>0</v>
      </c>
      <c r="BC257" s="5218"/>
      <c r="BD257" s="4217">
        <v>0</v>
      </c>
      <c r="BE257" s="4224">
        <v>1117638</v>
      </c>
    </row>
    <row r="258" spans="1:57">
      <c r="A258" s="3810">
        <v>477</v>
      </c>
      <c r="B258" s="4210" t="s">
        <v>648</v>
      </c>
      <c r="C258" s="4211" t="s">
        <v>168</v>
      </c>
      <c r="D258" s="4212">
        <v>25075254</v>
      </c>
      <c r="E258" s="4213">
        <v>24367068</v>
      </c>
      <c r="F258" s="4224">
        <v>21316495</v>
      </c>
      <c r="G258" s="4224">
        <v>20597900</v>
      </c>
      <c r="H258" s="4214">
        <v>224.5</v>
      </c>
      <c r="I258" s="4215">
        <v>230</v>
      </c>
      <c r="J258" s="4216">
        <v>267</v>
      </c>
      <c r="K258" s="4217">
        <v>2034462</v>
      </c>
      <c r="L258" s="4225">
        <v>240.5</v>
      </c>
      <c r="M258" s="4225">
        <v>224.9</v>
      </c>
      <c r="N258" s="4225">
        <v>227</v>
      </c>
      <c r="O258" s="4225">
        <v>232</v>
      </c>
      <c r="P258" s="4218">
        <v>155624</v>
      </c>
      <c r="Q258" s="4218">
        <v>159375</v>
      </c>
      <c r="R258" s="4220">
        <v>17931</v>
      </c>
      <c r="S258" s="4220"/>
      <c r="T258" s="4219">
        <v>0</v>
      </c>
      <c r="U258" s="5214">
        <v>0</v>
      </c>
      <c r="V258" s="4222"/>
      <c r="W258" s="4224">
        <v>0</v>
      </c>
      <c r="X258" s="4217">
        <v>88</v>
      </c>
      <c r="Y258" s="4223">
        <v>19</v>
      </c>
      <c r="Z258" s="5215">
        <v>0.06</v>
      </c>
      <c r="AA258" s="5215">
        <v>0</v>
      </c>
      <c r="AB258" s="5205">
        <v>0.23330000000000001</v>
      </c>
      <c r="AC258" s="4224">
        <v>153260</v>
      </c>
      <c r="AD258" s="4224"/>
      <c r="AE258" s="4224">
        <v>171020</v>
      </c>
      <c r="AF258" s="4225">
        <v>235</v>
      </c>
      <c r="AG258" s="4225">
        <v>221</v>
      </c>
      <c r="AH258" s="4225">
        <v>0</v>
      </c>
      <c r="AI258" s="4225">
        <v>0</v>
      </c>
      <c r="AJ258" s="4225">
        <v>0</v>
      </c>
      <c r="AK258" s="4225">
        <v>0</v>
      </c>
      <c r="AL258" s="4225">
        <v>0</v>
      </c>
      <c r="AM258" s="4221">
        <v>0</v>
      </c>
      <c r="AN258" s="4226">
        <v>0</v>
      </c>
      <c r="AO258" s="4224"/>
      <c r="AP258" s="4224"/>
      <c r="AQ258" s="4224">
        <v>1730875</v>
      </c>
      <c r="AR258" s="4221">
        <v>0.3</v>
      </c>
      <c r="AS258" s="4217">
        <v>2246868</v>
      </c>
      <c r="AT258" s="5216">
        <v>0</v>
      </c>
      <c r="AU258" s="5216">
        <v>0</v>
      </c>
      <c r="AV258" s="4220">
        <v>1730875</v>
      </c>
      <c r="AW258" s="5243">
        <v>0</v>
      </c>
      <c r="AX258" s="4224"/>
      <c r="AY258" s="5217">
        <v>16113</v>
      </c>
      <c r="AZ258" s="4224"/>
      <c r="BA258" s="4224">
        <v>129869</v>
      </c>
      <c r="BB258" s="4224">
        <v>0</v>
      </c>
      <c r="BC258" s="5218"/>
      <c r="BD258" s="4217">
        <v>59977</v>
      </c>
      <c r="BE258" s="4224">
        <v>1723951</v>
      </c>
    </row>
    <row r="259" spans="1:57">
      <c r="A259" s="3810">
        <v>479</v>
      </c>
      <c r="B259" s="4210" t="s">
        <v>649</v>
      </c>
      <c r="C259" s="4211" t="s">
        <v>233</v>
      </c>
      <c r="D259" s="4212">
        <v>16257789</v>
      </c>
      <c r="E259" s="4213">
        <v>14903415</v>
      </c>
      <c r="F259" s="4224">
        <v>17461865</v>
      </c>
      <c r="G259" s="4224">
        <v>16112975</v>
      </c>
      <c r="H259" s="4214">
        <v>195</v>
      </c>
      <c r="I259" s="4215">
        <v>190</v>
      </c>
      <c r="J259" s="4216">
        <v>177</v>
      </c>
      <c r="K259" s="4217">
        <v>2200646</v>
      </c>
      <c r="L259" s="4225">
        <v>202.5</v>
      </c>
      <c r="M259" s="4225">
        <v>207.5</v>
      </c>
      <c r="N259" s="4225">
        <v>197.5</v>
      </c>
      <c r="O259" s="4225">
        <v>193.5</v>
      </c>
      <c r="P259" s="4218">
        <v>267916</v>
      </c>
      <c r="Q259" s="4218">
        <v>262508</v>
      </c>
      <c r="R259" s="4220">
        <v>146232</v>
      </c>
      <c r="S259" s="4220"/>
      <c r="T259" s="4219">
        <v>0</v>
      </c>
      <c r="U259" s="5214">
        <v>0</v>
      </c>
      <c r="V259" s="4222"/>
      <c r="W259" s="4224">
        <v>0</v>
      </c>
      <c r="X259" s="4217">
        <v>84</v>
      </c>
      <c r="Y259" s="4223">
        <v>5</v>
      </c>
      <c r="Z259" s="5215">
        <v>0.08</v>
      </c>
      <c r="AA259" s="5215">
        <v>0</v>
      </c>
      <c r="AB259" s="5205">
        <v>0.247</v>
      </c>
      <c r="AC259" s="4224">
        <v>150953</v>
      </c>
      <c r="AD259" s="4224"/>
      <c r="AE259" s="4224">
        <v>169814</v>
      </c>
      <c r="AF259" s="4225">
        <v>201</v>
      </c>
      <c r="AG259" s="4225">
        <v>204.5</v>
      </c>
      <c r="AH259" s="4225">
        <v>0</v>
      </c>
      <c r="AI259" s="4225">
        <v>0</v>
      </c>
      <c r="AJ259" s="4225">
        <v>0</v>
      </c>
      <c r="AK259" s="4225">
        <v>0</v>
      </c>
      <c r="AL259" s="4225">
        <v>0</v>
      </c>
      <c r="AM259" s="4221">
        <v>0</v>
      </c>
      <c r="AN259" s="4226">
        <v>0</v>
      </c>
      <c r="AO259" s="4224"/>
      <c r="AP259" s="4224"/>
      <c r="AQ259" s="4224">
        <v>1668869</v>
      </c>
      <c r="AR259" s="4221">
        <v>0.19520000000000001</v>
      </c>
      <c r="AS259" s="4217">
        <v>2253705</v>
      </c>
      <c r="AT259" s="5216">
        <v>0</v>
      </c>
      <c r="AU259" s="5216">
        <v>0</v>
      </c>
      <c r="AV259" s="4220">
        <v>1668869</v>
      </c>
      <c r="AW259" s="5243">
        <v>0</v>
      </c>
      <c r="AX259" s="4224"/>
      <c r="AY259" s="5217">
        <v>146232</v>
      </c>
      <c r="AZ259" s="4224"/>
      <c r="BA259" s="4224">
        <v>129712</v>
      </c>
      <c r="BB259" s="4224">
        <v>0</v>
      </c>
      <c r="BC259" s="5218"/>
      <c r="BD259" s="4217">
        <v>0</v>
      </c>
      <c r="BE259" s="4224">
        <v>1662194</v>
      </c>
    </row>
    <row r="260" spans="1:57">
      <c r="A260" s="3810">
        <v>480</v>
      </c>
      <c r="B260" s="4210" t="s">
        <v>650</v>
      </c>
      <c r="C260" s="4211" t="s">
        <v>268</v>
      </c>
      <c r="D260" s="4212">
        <v>167036978</v>
      </c>
      <c r="E260" s="4213">
        <v>153576662</v>
      </c>
      <c r="F260" s="4224">
        <v>160660169</v>
      </c>
      <c r="G260" s="4224">
        <v>147178829</v>
      </c>
      <c r="H260" s="4214">
        <v>4639.5</v>
      </c>
      <c r="I260" s="4215">
        <v>4666.5</v>
      </c>
      <c r="J260" s="4216">
        <v>205</v>
      </c>
      <c r="K260" s="4217">
        <v>41029432</v>
      </c>
      <c r="L260" s="4225">
        <v>4597.3</v>
      </c>
      <c r="M260" s="4225">
        <v>4621.1000000000004</v>
      </c>
      <c r="N260" s="4225">
        <v>4721.5</v>
      </c>
      <c r="O260" s="4225">
        <v>4737.5</v>
      </c>
      <c r="P260" s="4218">
        <v>2561371</v>
      </c>
      <c r="Q260" s="4218">
        <v>2666098</v>
      </c>
      <c r="R260" s="4220">
        <v>6820169</v>
      </c>
      <c r="S260" s="4220"/>
      <c r="T260" s="4219">
        <v>0</v>
      </c>
      <c r="U260" s="5214">
        <v>0</v>
      </c>
      <c r="V260" s="4222"/>
      <c r="W260" s="4224">
        <v>0</v>
      </c>
      <c r="X260" s="4217">
        <v>3557</v>
      </c>
      <c r="Y260" s="4223">
        <v>479</v>
      </c>
      <c r="Z260" s="5215">
        <v>0.64</v>
      </c>
      <c r="AA260" s="5215">
        <v>0.43</v>
      </c>
      <c r="AB260" s="5205">
        <v>0.71709999999999996</v>
      </c>
      <c r="AC260" s="4224">
        <v>3043703</v>
      </c>
      <c r="AD260" s="4224"/>
      <c r="AE260" s="4224">
        <v>3399466</v>
      </c>
      <c r="AF260" s="4225">
        <v>4512.3</v>
      </c>
      <c r="AG260" s="4225">
        <v>4536.1000000000004</v>
      </c>
      <c r="AH260" s="4225">
        <v>0</v>
      </c>
      <c r="AI260" s="4225">
        <v>0</v>
      </c>
      <c r="AJ260" s="4225">
        <v>0</v>
      </c>
      <c r="AK260" s="4225">
        <v>0</v>
      </c>
      <c r="AL260" s="4225">
        <v>0</v>
      </c>
      <c r="AM260" s="4221">
        <v>0</v>
      </c>
      <c r="AN260" s="4226">
        <v>0</v>
      </c>
      <c r="AO260" s="4224"/>
      <c r="AP260" s="4224"/>
      <c r="AQ260" s="4224">
        <v>29042597</v>
      </c>
      <c r="AR260" s="4221">
        <v>0.28699999999999998</v>
      </c>
      <c r="AS260" s="4217">
        <v>36455034</v>
      </c>
      <c r="AT260" s="5216">
        <v>0</v>
      </c>
      <c r="AU260" s="5216">
        <v>0</v>
      </c>
      <c r="AV260" s="4220">
        <v>29042597</v>
      </c>
      <c r="AW260" s="5243">
        <v>0</v>
      </c>
      <c r="AX260" s="4224"/>
      <c r="AY260" s="5217">
        <v>6820169</v>
      </c>
      <c r="AZ260" s="4224"/>
      <c r="BA260" s="4224">
        <v>2604177</v>
      </c>
      <c r="BB260" s="4224">
        <v>0</v>
      </c>
      <c r="BC260" s="5218"/>
      <c r="BD260" s="4217">
        <v>85181</v>
      </c>
      <c r="BE260" s="4224">
        <v>28926427</v>
      </c>
    </row>
    <row r="261" spans="1:57">
      <c r="A261" s="3810">
        <v>481</v>
      </c>
      <c r="B261" s="4210" t="s">
        <v>651</v>
      </c>
      <c r="C261" s="4211" t="s">
        <v>248</v>
      </c>
      <c r="D261" s="4212">
        <v>29465511</v>
      </c>
      <c r="E261" s="4213">
        <v>27217384</v>
      </c>
      <c r="F261" s="4224">
        <v>31445327</v>
      </c>
      <c r="G261" s="4224">
        <v>29212047</v>
      </c>
      <c r="H261" s="5198">
        <v>285</v>
      </c>
      <c r="I261" s="4215">
        <v>293</v>
      </c>
      <c r="J261" s="4216">
        <v>303.8</v>
      </c>
      <c r="K261" s="4217">
        <v>2826030</v>
      </c>
      <c r="L261" s="4225">
        <v>324</v>
      </c>
      <c r="M261" s="4225">
        <v>315.5</v>
      </c>
      <c r="N261" s="4225">
        <v>291</v>
      </c>
      <c r="O261" s="4225">
        <v>299</v>
      </c>
      <c r="P261" s="4218">
        <v>271096</v>
      </c>
      <c r="Q261" s="4218">
        <v>240756</v>
      </c>
      <c r="R261" s="4220">
        <v>155666</v>
      </c>
      <c r="S261" s="4220"/>
      <c r="T261" s="4219">
        <v>0</v>
      </c>
      <c r="U261" s="5214">
        <v>0</v>
      </c>
      <c r="V261" s="4222"/>
      <c r="W261" s="4224">
        <v>0</v>
      </c>
      <c r="X261" s="4217">
        <v>135</v>
      </c>
      <c r="Y261" s="4223">
        <v>22</v>
      </c>
      <c r="Z261" s="5215">
        <v>0</v>
      </c>
      <c r="AA261" s="5215">
        <v>0</v>
      </c>
      <c r="AB261" s="5205">
        <v>0.12239999999999999</v>
      </c>
      <c r="AC261" s="4224">
        <v>190564</v>
      </c>
      <c r="AD261" s="4224"/>
      <c r="AE261" s="4224">
        <v>213972</v>
      </c>
      <c r="AF261" s="4225">
        <v>318.5</v>
      </c>
      <c r="AG261" s="4225">
        <v>309.5</v>
      </c>
      <c r="AH261" s="4225">
        <v>0</v>
      </c>
      <c r="AI261" s="4225">
        <v>0</v>
      </c>
      <c r="AJ261" s="4225">
        <v>0</v>
      </c>
      <c r="AK261" s="4225">
        <v>0</v>
      </c>
      <c r="AL261" s="4225">
        <v>0</v>
      </c>
      <c r="AM261" s="4221">
        <v>0</v>
      </c>
      <c r="AN261" s="4226">
        <v>0</v>
      </c>
      <c r="AO261" s="4224"/>
      <c r="AP261" s="4224"/>
      <c r="AQ261" s="4224">
        <v>2290869</v>
      </c>
      <c r="AR261" s="4221">
        <v>0.3</v>
      </c>
      <c r="AS261" s="4217">
        <v>3071227</v>
      </c>
      <c r="AT261" s="5216">
        <v>0</v>
      </c>
      <c r="AU261" s="5216">
        <v>0</v>
      </c>
      <c r="AV261" s="4220">
        <v>2290869</v>
      </c>
      <c r="AW261" s="5243">
        <v>0</v>
      </c>
      <c r="AX261" s="4224"/>
      <c r="AY261" s="5217">
        <v>140099</v>
      </c>
      <c r="AZ261" s="4224"/>
      <c r="BA261" s="4224">
        <v>163469</v>
      </c>
      <c r="BB261" s="4224">
        <v>0</v>
      </c>
      <c r="BC261" s="5218"/>
      <c r="BD261" s="4217">
        <v>0</v>
      </c>
      <c r="BE261" s="4224">
        <v>2281706</v>
      </c>
    </row>
    <row r="262" spans="1:57">
      <c r="A262" s="3810">
        <v>482</v>
      </c>
      <c r="B262" s="4210" t="s">
        <v>652</v>
      </c>
      <c r="C262" s="4211" t="s">
        <v>266</v>
      </c>
      <c r="D262" s="4212">
        <v>52864115</v>
      </c>
      <c r="E262" s="4213">
        <v>51292209</v>
      </c>
      <c r="F262" s="4224">
        <v>37828819</v>
      </c>
      <c r="G262" s="4224">
        <v>36261442</v>
      </c>
      <c r="H262" s="4214">
        <v>230</v>
      </c>
      <c r="I262" s="4215">
        <v>212.5</v>
      </c>
      <c r="J262" s="4216">
        <v>619.5</v>
      </c>
      <c r="K262" s="4217">
        <v>2025736</v>
      </c>
      <c r="L262" s="4225">
        <v>241.5</v>
      </c>
      <c r="M262" s="4225">
        <v>245</v>
      </c>
      <c r="N262" s="4225">
        <v>232</v>
      </c>
      <c r="O262" s="4225">
        <v>216</v>
      </c>
      <c r="P262" s="4218">
        <v>170033</v>
      </c>
      <c r="Q262" s="4218">
        <v>163047</v>
      </c>
      <c r="R262" s="4220">
        <v>0</v>
      </c>
      <c r="S262" s="4220"/>
      <c r="T262" s="4219">
        <v>0</v>
      </c>
      <c r="U262" s="5214">
        <v>0</v>
      </c>
      <c r="V262" s="4222"/>
      <c r="W262" s="4224">
        <v>0</v>
      </c>
      <c r="X262" s="4217">
        <v>71</v>
      </c>
      <c r="Y262" s="4223">
        <v>36</v>
      </c>
      <c r="Z262" s="5215">
        <v>0</v>
      </c>
      <c r="AA262" s="5215">
        <v>0</v>
      </c>
      <c r="AB262" s="5205">
        <v>0</v>
      </c>
      <c r="AC262" s="4224">
        <v>144905</v>
      </c>
      <c r="AD262" s="4224"/>
      <c r="AE262" s="4224">
        <v>165722</v>
      </c>
      <c r="AF262" s="4225">
        <v>237.5</v>
      </c>
      <c r="AG262" s="4225">
        <v>242.5</v>
      </c>
      <c r="AH262" s="4225">
        <v>0</v>
      </c>
      <c r="AI262" s="4225">
        <v>0</v>
      </c>
      <c r="AJ262" s="4225">
        <v>0</v>
      </c>
      <c r="AK262" s="4225">
        <v>0</v>
      </c>
      <c r="AL262" s="4225">
        <v>0</v>
      </c>
      <c r="AM262" s="4221">
        <v>0</v>
      </c>
      <c r="AN262" s="4226">
        <v>0</v>
      </c>
      <c r="AO262" s="4224"/>
      <c r="AP262" s="4224"/>
      <c r="AQ262" s="4224">
        <v>1714739</v>
      </c>
      <c r="AR262" s="4221">
        <v>0.3</v>
      </c>
      <c r="AS262" s="4217">
        <v>2279658</v>
      </c>
      <c r="AT262" s="5216">
        <v>0</v>
      </c>
      <c r="AU262" s="5216">
        <v>0</v>
      </c>
      <c r="AV262" s="4220">
        <v>1714739</v>
      </c>
      <c r="AW262" s="5243">
        <v>0</v>
      </c>
      <c r="AX262" s="4224"/>
      <c r="AY262" s="5217">
        <v>0</v>
      </c>
      <c r="AZ262" s="4224"/>
      <c r="BA262" s="4224">
        <v>127294</v>
      </c>
      <c r="BB262" s="4224">
        <v>0</v>
      </c>
      <c r="BC262" s="5218"/>
      <c r="BD262" s="4217">
        <v>150679</v>
      </c>
      <c r="BE262" s="4224">
        <v>1717125</v>
      </c>
    </row>
    <row r="263" spans="1:57">
      <c r="A263" s="3810">
        <v>483</v>
      </c>
      <c r="B263" s="4210" t="s">
        <v>653</v>
      </c>
      <c r="C263" s="4211" t="s">
        <v>268</v>
      </c>
      <c r="D263" s="4212">
        <v>82022685</v>
      </c>
      <c r="E263" s="4213">
        <v>79700323</v>
      </c>
      <c r="F263" s="4224">
        <v>72032144</v>
      </c>
      <c r="G263" s="4224">
        <v>69713723</v>
      </c>
      <c r="H263" s="4214">
        <v>679.5</v>
      </c>
      <c r="I263" s="4215">
        <v>667</v>
      </c>
      <c r="J263" s="4216">
        <v>541</v>
      </c>
      <c r="K263" s="4217">
        <v>6857442</v>
      </c>
      <c r="L263" s="4225">
        <v>676.6</v>
      </c>
      <c r="M263" s="4225">
        <v>675.5</v>
      </c>
      <c r="N263" s="4225">
        <v>699.5</v>
      </c>
      <c r="O263" s="4225">
        <v>681</v>
      </c>
      <c r="P263" s="4218">
        <v>512651</v>
      </c>
      <c r="Q263" s="4218">
        <v>527605</v>
      </c>
      <c r="R263" s="4220">
        <v>0</v>
      </c>
      <c r="S263" s="4220"/>
      <c r="T263" s="4219">
        <v>0</v>
      </c>
      <c r="U263" s="5214">
        <v>0</v>
      </c>
      <c r="V263" s="4222"/>
      <c r="W263" s="4224">
        <v>0</v>
      </c>
      <c r="X263" s="4217">
        <v>480</v>
      </c>
      <c r="Y263" s="4223">
        <v>84</v>
      </c>
      <c r="Z263" s="5215">
        <v>0</v>
      </c>
      <c r="AA263" s="5215">
        <v>0</v>
      </c>
      <c r="AB263" s="5205">
        <v>0.1198</v>
      </c>
      <c r="AC263" s="4224">
        <v>503286</v>
      </c>
      <c r="AD263" s="4224"/>
      <c r="AE263" s="4224">
        <v>569484</v>
      </c>
      <c r="AF263" s="4225">
        <v>656.6</v>
      </c>
      <c r="AG263" s="4225">
        <v>659.5</v>
      </c>
      <c r="AH263" s="4225">
        <v>0</v>
      </c>
      <c r="AI263" s="4225">
        <v>0</v>
      </c>
      <c r="AJ263" s="4225">
        <v>0</v>
      </c>
      <c r="AK263" s="4225">
        <v>0</v>
      </c>
      <c r="AL263" s="4225">
        <v>0</v>
      </c>
      <c r="AM263" s="4221">
        <v>0</v>
      </c>
      <c r="AN263" s="4226">
        <v>0</v>
      </c>
      <c r="AO263" s="4224"/>
      <c r="AP263" s="4224"/>
      <c r="AQ263" s="4224">
        <v>5887717</v>
      </c>
      <c r="AR263" s="4221">
        <v>0.1862</v>
      </c>
      <c r="AS263" s="4217">
        <v>7545875</v>
      </c>
      <c r="AT263" s="5216">
        <v>0</v>
      </c>
      <c r="AU263" s="5216">
        <v>0</v>
      </c>
      <c r="AV263" s="4220">
        <v>5887717</v>
      </c>
      <c r="AW263" s="5243">
        <v>0</v>
      </c>
      <c r="AX263" s="4224"/>
      <c r="AY263" s="5217">
        <v>0</v>
      </c>
      <c r="AZ263" s="4224"/>
      <c r="BA263" s="4224">
        <v>434596</v>
      </c>
      <c r="BB263" s="4224">
        <v>0</v>
      </c>
      <c r="BC263" s="5218"/>
      <c r="BD263" s="4217">
        <v>0</v>
      </c>
      <c r="BE263" s="4224">
        <v>5847272</v>
      </c>
    </row>
    <row r="264" spans="1:57">
      <c r="A264" s="3810">
        <v>484</v>
      </c>
      <c r="B264" s="4210" t="s">
        <v>654</v>
      </c>
      <c r="C264" s="4211" t="s">
        <v>245</v>
      </c>
      <c r="D264" s="4212">
        <v>40583875</v>
      </c>
      <c r="E264" s="4213">
        <v>35628282</v>
      </c>
      <c r="F264" s="4224">
        <v>42192350</v>
      </c>
      <c r="G264" s="4224">
        <v>37252687</v>
      </c>
      <c r="H264" s="4214">
        <v>642.5</v>
      </c>
      <c r="I264" s="4215">
        <v>631.29999999999995</v>
      </c>
      <c r="J264" s="4216">
        <v>402</v>
      </c>
      <c r="K264" s="4217">
        <v>5905703</v>
      </c>
      <c r="L264" s="4225">
        <v>686.4</v>
      </c>
      <c r="M264" s="4225">
        <v>656.6</v>
      </c>
      <c r="N264" s="4225">
        <v>651.9</v>
      </c>
      <c r="O264" s="4225">
        <v>650.9</v>
      </c>
      <c r="P264" s="4218">
        <v>493418</v>
      </c>
      <c r="Q264" s="4218">
        <v>500355</v>
      </c>
      <c r="R264" s="4220">
        <v>718659</v>
      </c>
      <c r="S264" s="4220"/>
      <c r="T264" s="4219">
        <v>0</v>
      </c>
      <c r="U264" s="5214">
        <v>0</v>
      </c>
      <c r="V264" s="4222"/>
      <c r="W264" s="4224">
        <v>0</v>
      </c>
      <c r="X264" s="4217">
        <v>306</v>
      </c>
      <c r="Y264" s="4223">
        <v>82</v>
      </c>
      <c r="Z264" s="5215">
        <v>0.34</v>
      </c>
      <c r="AA264" s="5215">
        <v>0.12</v>
      </c>
      <c r="AB264" s="5205">
        <v>0.45960000000000001</v>
      </c>
      <c r="AC264" s="4224">
        <v>391725</v>
      </c>
      <c r="AD264" s="4224"/>
      <c r="AE264" s="4224">
        <v>431246</v>
      </c>
      <c r="AF264" s="4225">
        <v>676.4</v>
      </c>
      <c r="AG264" s="4225">
        <v>648.20000000000005</v>
      </c>
      <c r="AH264" s="4225">
        <v>0.9</v>
      </c>
      <c r="AI264" s="4225">
        <v>0</v>
      </c>
      <c r="AJ264" s="4225">
        <v>0</v>
      </c>
      <c r="AK264" s="4225">
        <v>0</v>
      </c>
      <c r="AL264" s="4225">
        <v>0</v>
      </c>
      <c r="AM264" s="4221">
        <v>0</v>
      </c>
      <c r="AN264" s="4226">
        <v>0</v>
      </c>
      <c r="AO264" s="4224"/>
      <c r="AP264" s="4224"/>
      <c r="AQ264" s="4224">
        <v>4344434</v>
      </c>
      <c r="AR264" s="4221">
        <v>0.3</v>
      </c>
      <c r="AS264" s="4217">
        <v>5731534</v>
      </c>
      <c r="AT264" s="5216">
        <v>0</v>
      </c>
      <c r="AU264" s="5216">
        <v>0</v>
      </c>
      <c r="AV264" s="4220">
        <v>4344434</v>
      </c>
      <c r="AW264" s="5243">
        <v>14630</v>
      </c>
      <c r="AX264" s="4224"/>
      <c r="AY264" s="5217">
        <v>718659</v>
      </c>
      <c r="AZ264" s="4224"/>
      <c r="BA264" s="4224">
        <v>330219</v>
      </c>
      <c r="BB264" s="4224">
        <v>12250</v>
      </c>
      <c r="BC264" s="5218"/>
      <c r="BD264" s="4217">
        <v>0</v>
      </c>
      <c r="BE264" s="4224">
        <v>4342989</v>
      </c>
    </row>
    <row r="265" spans="1:57">
      <c r="A265" s="3810">
        <v>487</v>
      </c>
      <c r="B265" s="4210" t="s">
        <v>655</v>
      </c>
      <c r="C265" s="4211" t="s">
        <v>248</v>
      </c>
      <c r="D265" s="4212">
        <v>20093302</v>
      </c>
      <c r="E265" s="4213">
        <v>17176677</v>
      </c>
      <c r="F265" s="4224">
        <v>20790375</v>
      </c>
      <c r="G265" s="4224">
        <v>17890043</v>
      </c>
      <c r="H265" s="5198">
        <v>442.5</v>
      </c>
      <c r="I265" s="4215">
        <v>421.5</v>
      </c>
      <c r="J265" s="4216">
        <v>93.7</v>
      </c>
      <c r="K265" s="4217">
        <v>4495311</v>
      </c>
      <c r="L265" s="4225">
        <v>463.5</v>
      </c>
      <c r="M265" s="4225">
        <v>456.3</v>
      </c>
      <c r="N265" s="4225">
        <v>466.1</v>
      </c>
      <c r="O265" s="4225">
        <v>473</v>
      </c>
      <c r="P265" s="4218">
        <v>408110</v>
      </c>
      <c r="Q265" s="4218">
        <v>385340</v>
      </c>
      <c r="R265" s="4220">
        <v>705774</v>
      </c>
      <c r="S265" s="4220"/>
      <c r="T265" s="4219">
        <v>5769</v>
      </c>
      <c r="U265" s="5214">
        <v>5125</v>
      </c>
      <c r="V265" s="4222"/>
      <c r="W265" s="4224">
        <v>0</v>
      </c>
      <c r="X265" s="4217">
        <v>220</v>
      </c>
      <c r="Y265" s="4223">
        <v>67</v>
      </c>
      <c r="Z265" s="5215">
        <v>0.54</v>
      </c>
      <c r="AA265" s="5215">
        <v>0.33</v>
      </c>
      <c r="AB265" s="5205">
        <v>0.63360000000000005</v>
      </c>
      <c r="AC265" s="4224">
        <v>283614</v>
      </c>
      <c r="AD265" s="4224"/>
      <c r="AE265" s="4224">
        <v>317454</v>
      </c>
      <c r="AF265" s="4225">
        <v>446.5</v>
      </c>
      <c r="AG265" s="4225">
        <v>436</v>
      </c>
      <c r="AH265" s="4225">
        <v>18</v>
      </c>
      <c r="AI265" s="4225">
        <v>0</v>
      </c>
      <c r="AJ265" s="4225">
        <v>0</v>
      </c>
      <c r="AK265" s="4225">
        <v>0</v>
      </c>
      <c r="AL265" s="4225">
        <v>0</v>
      </c>
      <c r="AM265" s="4221">
        <v>0</v>
      </c>
      <c r="AN265" s="4226">
        <v>0</v>
      </c>
      <c r="AO265" s="4224"/>
      <c r="AP265" s="4224"/>
      <c r="AQ265" s="4224">
        <v>3192526</v>
      </c>
      <c r="AR265" s="4221">
        <v>0.2923</v>
      </c>
      <c r="AS265" s="4217">
        <v>4104795</v>
      </c>
      <c r="AT265" s="5216">
        <v>0</v>
      </c>
      <c r="AU265" s="5216">
        <v>0</v>
      </c>
      <c r="AV265" s="4220">
        <v>3192526</v>
      </c>
      <c r="AW265" s="5243">
        <v>0</v>
      </c>
      <c r="AX265" s="4224"/>
      <c r="AY265" s="5217">
        <v>705774</v>
      </c>
      <c r="AZ265" s="4224"/>
      <c r="BA265" s="4224">
        <v>242495</v>
      </c>
      <c r="BB265" s="4224">
        <v>0</v>
      </c>
      <c r="BC265" s="5218"/>
      <c r="BD265" s="4217">
        <v>0</v>
      </c>
      <c r="BE265" s="4224">
        <v>3161673</v>
      </c>
    </row>
    <row r="266" spans="1:57">
      <c r="A266" s="3810">
        <v>489</v>
      </c>
      <c r="B266" s="4210" t="s">
        <v>656</v>
      </c>
      <c r="C266" s="4211" t="s">
        <v>246</v>
      </c>
      <c r="D266" s="4212">
        <v>310726148</v>
      </c>
      <c r="E266" s="4213">
        <v>291914335</v>
      </c>
      <c r="F266" s="4224">
        <v>300187073</v>
      </c>
      <c r="G266" s="4224">
        <v>281256884</v>
      </c>
      <c r="H266" s="4214">
        <v>2779.1</v>
      </c>
      <c r="I266" s="4215">
        <v>2787.5</v>
      </c>
      <c r="J266" s="4216">
        <v>380.5</v>
      </c>
      <c r="K266" s="4217">
        <v>18373213</v>
      </c>
      <c r="L266" s="4225">
        <v>2870.4</v>
      </c>
      <c r="M266" s="4225">
        <v>2821.7</v>
      </c>
      <c r="N266" s="4225">
        <v>2851.6</v>
      </c>
      <c r="O266" s="4225">
        <v>2913</v>
      </c>
      <c r="P266" s="4218">
        <v>2209280</v>
      </c>
      <c r="Q266" s="4218">
        <v>2187138</v>
      </c>
      <c r="R266" s="4220">
        <v>354388</v>
      </c>
      <c r="S266" s="4220"/>
      <c r="T266" s="4219">
        <v>0</v>
      </c>
      <c r="U266" s="5214">
        <v>0</v>
      </c>
      <c r="V266" s="4222"/>
      <c r="W266" s="4224">
        <v>0</v>
      </c>
      <c r="X266" s="4217">
        <v>932</v>
      </c>
      <c r="Y266" s="4223">
        <v>295</v>
      </c>
      <c r="Z266" s="5215">
        <v>0</v>
      </c>
      <c r="AA266" s="5215">
        <v>0</v>
      </c>
      <c r="AB266" s="5205">
        <v>0.14149999999999999</v>
      </c>
      <c r="AC266" s="4224">
        <v>2028575</v>
      </c>
      <c r="AD266" s="4224"/>
      <c r="AE266" s="4224">
        <v>2146629</v>
      </c>
      <c r="AF266" s="4225">
        <v>2804.4</v>
      </c>
      <c r="AG266" s="4225">
        <v>2761.2</v>
      </c>
      <c r="AH266" s="4225">
        <v>55.1</v>
      </c>
      <c r="AI266" s="4225">
        <v>0</v>
      </c>
      <c r="AJ266" s="4225">
        <v>125.5</v>
      </c>
      <c r="AK266" s="4225">
        <v>0</v>
      </c>
      <c r="AL266" s="4225">
        <v>0</v>
      </c>
      <c r="AM266" s="4227">
        <v>6.1000000000000004E-3</v>
      </c>
      <c r="AN266" s="4226">
        <v>0</v>
      </c>
      <c r="AO266" s="4224"/>
      <c r="AP266" s="4224"/>
      <c r="AQ266" s="4224">
        <v>14236299</v>
      </c>
      <c r="AR266" s="4221">
        <v>0.3</v>
      </c>
      <c r="AS266" s="4217">
        <v>19501768</v>
      </c>
      <c r="AT266" s="5216">
        <v>483454</v>
      </c>
      <c r="AU266" s="5216">
        <v>0</v>
      </c>
      <c r="AV266" s="4220">
        <v>14236299</v>
      </c>
      <c r="AW266" s="5243">
        <v>0</v>
      </c>
      <c r="AX266" s="4224"/>
      <c r="AY266" s="5217">
        <v>315086</v>
      </c>
      <c r="AZ266" s="4224"/>
      <c r="BA266" s="4224">
        <v>1661747</v>
      </c>
      <c r="BB266" s="4224">
        <v>0</v>
      </c>
      <c r="BC266" s="5218"/>
      <c r="BD266" s="4217">
        <v>0</v>
      </c>
      <c r="BE266" s="4224">
        <v>14183447</v>
      </c>
    </row>
    <row r="267" spans="1:57">
      <c r="A267" s="3810">
        <v>490</v>
      </c>
      <c r="B267" s="4210" t="s">
        <v>657</v>
      </c>
      <c r="C267" s="4211" t="s">
        <v>177</v>
      </c>
      <c r="D267" s="4212">
        <v>164222858</v>
      </c>
      <c r="E267" s="4213">
        <v>153077969</v>
      </c>
      <c r="F267" s="4224">
        <v>165425037</v>
      </c>
      <c r="G267" s="4224">
        <v>154328860</v>
      </c>
      <c r="H267" s="4214">
        <v>1851</v>
      </c>
      <c r="I267" s="4215">
        <v>1834</v>
      </c>
      <c r="J267" s="4216">
        <v>128</v>
      </c>
      <c r="K267" s="4217">
        <v>13418983</v>
      </c>
      <c r="L267" s="4225">
        <v>1922.6</v>
      </c>
      <c r="M267" s="4225">
        <v>1872.4</v>
      </c>
      <c r="N267" s="4225">
        <v>1882</v>
      </c>
      <c r="O267" s="4225">
        <v>1883</v>
      </c>
      <c r="P267" s="4218">
        <v>1527995</v>
      </c>
      <c r="Q267" s="4218">
        <v>1483129</v>
      </c>
      <c r="R267" s="4220">
        <v>847310</v>
      </c>
      <c r="S267" s="4220"/>
      <c r="T267" s="4219">
        <v>0</v>
      </c>
      <c r="U267" s="5214">
        <v>169</v>
      </c>
      <c r="V267" s="4222"/>
      <c r="W267" s="4224">
        <v>0</v>
      </c>
      <c r="X267" s="4217">
        <v>944</v>
      </c>
      <c r="Y267" s="4223">
        <v>213</v>
      </c>
      <c r="Z267" s="5215">
        <v>0.11</v>
      </c>
      <c r="AA267" s="5215">
        <v>0</v>
      </c>
      <c r="AB267" s="5205">
        <v>0.2742</v>
      </c>
      <c r="AC267" s="4224">
        <v>1666852</v>
      </c>
      <c r="AD267" s="4224"/>
      <c r="AE267" s="4224">
        <v>1094383</v>
      </c>
      <c r="AF267" s="4225">
        <v>1900.1</v>
      </c>
      <c r="AG267" s="4225">
        <v>1849.6</v>
      </c>
      <c r="AH267" s="4225">
        <v>16.8</v>
      </c>
      <c r="AI267" s="4225">
        <v>0</v>
      </c>
      <c r="AJ267" s="4225">
        <v>0</v>
      </c>
      <c r="AK267" s="4225">
        <v>0</v>
      </c>
      <c r="AL267" s="4225">
        <v>95.3</v>
      </c>
      <c r="AM267" s="4221">
        <v>0</v>
      </c>
      <c r="AN267" s="4226">
        <v>0</v>
      </c>
      <c r="AO267" s="4224"/>
      <c r="AP267" s="4224"/>
      <c r="AQ267" s="4224">
        <v>10366254</v>
      </c>
      <c r="AR267" s="4221">
        <v>0.3</v>
      </c>
      <c r="AS267" s="4217">
        <v>13895050</v>
      </c>
      <c r="AT267" s="5216">
        <v>0</v>
      </c>
      <c r="AU267" s="5216">
        <v>0</v>
      </c>
      <c r="AV267" s="4220">
        <v>10366254</v>
      </c>
      <c r="AW267" s="5243">
        <v>18042</v>
      </c>
      <c r="AX267" s="4224"/>
      <c r="AY267" s="5217">
        <v>762578</v>
      </c>
      <c r="AZ267" s="4224"/>
      <c r="BA267" s="4224">
        <v>833780</v>
      </c>
      <c r="BB267" s="4224">
        <v>0</v>
      </c>
      <c r="BC267" s="5218"/>
      <c r="BD267" s="4217">
        <v>0</v>
      </c>
      <c r="BE267" s="4224">
        <v>10339294</v>
      </c>
    </row>
    <row r="268" spans="1:57">
      <c r="A268" s="3810">
        <v>491</v>
      </c>
      <c r="B268" s="4210" t="s">
        <v>658</v>
      </c>
      <c r="C268" s="4211" t="s">
        <v>225</v>
      </c>
      <c r="D268" s="4212">
        <v>57676078</v>
      </c>
      <c r="E268" s="4213">
        <v>52016866</v>
      </c>
      <c r="F268" s="4224">
        <v>59647015</v>
      </c>
      <c r="G268" s="4224">
        <v>53961765</v>
      </c>
      <c r="H268" s="4214">
        <v>1589.7</v>
      </c>
      <c r="I268" s="4215">
        <v>1629.7</v>
      </c>
      <c r="J268" s="4216">
        <v>53</v>
      </c>
      <c r="K268" s="4217">
        <v>12199293</v>
      </c>
      <c r="L268" s="4225">
        <v>1522.8</v>
      </c>
      <c r="M268" s="4225">
        <v>1571.7</v>
      </c>
      <c r="N268" s="4225">
        <v>1589.7</v>
      </c>
      <c r="O268" s="4225">
        <v>1662.8</v>
      </c>
      <c r="P268" s="4218">
        <v>1532299</v>
      </c>
      <c r="Q268" s="4218">
        <v>1601883</v>
      </c>
      <c r="R268" s="4220">
        <v>2064374</v>
      </c>
      <c r="S268" s="4220"/>
      <c r="T268" s="4219">
        <v>0</v>
      </c>
      <c r="U268" s="5214">
        <v>0</v>
      </c>
      <c r="V268" s="4222"/>
      <c r="W268" s="4224">
        <v>0</v>
      </c>
      <c r="X268" s="4217">
        <v>504</v>
      </c>
      <c r="Y268" s="4223">
        <v>168</v>
      </c>
      <c r="Z268" s="5215">
        <v>0.62</v>
      </c>
      <c r="AA268" s="5215">
        <v>0.41</v>
      </c>
      <c r="AB268" s="5205">
        <v>0.70069999999999999</v>
      </c>
      <c r="AC268" s="4224">
        <v>873301</v>
      </c>
      <c r="AD268" s="4224"/>
      <c r="AE268" s="4224">
        <v>953491</v>
      </c>
      <c r="AF268" s="4225">
        <v>1522.8</v>
      </c>
      <c r="AG268" s="4225">
        <v>1571.7</v>
      </c>
      <c r="AH268" s="4225">
        <v>0</v>
      </c>
      <c r="AI268" s="4225">
        <v>0</v>
      </c>
      <c r="AJ268" s="4225">
        <v>0</v>
      </c>
      <c r="AK268" s="4225">
        <v>0</v>
      </c>
      <c r="AL268" s="4225">
        <v>0</v>
      </c>
      <c r="AM268" s="4221">
        <v>0</v>
      </c>
      <c r="AN268" s="4226">
        <v>0</v>
      </c>
      <c r="AO268" s="4224"/>
      <c r="AP268" s="4224"/>
      <c r="AQ268" s="4224">
        <v>7531457</v>
      </c>
      <c r="AR268" s="4221">
        <v>0.3</v>
      </c>
      <c r="AS268" s="4217">
        <v>10311147</v>
      </c>
      <c r="AT268" s="5216">
        <v>0</v>
      </c>
      <c r="AU268" s="5216">
        <v>0</v>
      </c>
      <c r="AV268" s="4220">
        <v>7531457</v>
      </c>
      <c r="AW268" s="5243">
        <v>184564</v>
      </c>
      <c r="AX268" s="4224"/>
      <c r="AY268" s="5221">
        <v>2052328</v>
      </c>
      <c r="AZ268" s="4224"/>
      <c r="BA268" s="4224">
        <v>729984</v>
      </c>
      <c r="BB268" s="4224">
        <v>184564</v>
      </c>
      <c r="BC268" s="5218"/>
      <c r="BD268" s="4217">
        <v>0</v>
      </c>
      <c r="BE268" s="4224">
        <v>7630534</v>
      </c>
    </row>
    <row r="269" spans="1:57">
      <c r="A269" s="3810">
        <v>492</v>
      </c>
      <c r="B269" s="4210" t="s">
        <v>659</v>
      </c>
      <c r="C269" s="4211" t="s">
        <v>177</v>
      </c>
      <c r="D269" s="4212">
        <v>17277755</v>
      </c>
      <c r="E269" s="4213">
        <v>15879244</v>
      </c>
      <c r="F269" s="4224">
        <v>18967534</v>
      </c>
      <c r="G269" s="4224">
        <v>17569404</v>
      </c>
      <c r="H269" s="4214">
        <v>254.3</v>
      </c>
      <c r="I269" s="4215">
        <v>250.4</v>
      </c>
      <c r="J269" s="4216">
        <v>389</v>
      </c>
      <c r="K269" s="4217">
        <v>2725308</v>
      </c>
      <c r="L269" s="4225">
        <v>273.8</v>
      </c>
      <c r="M269" s="4225">
        <v>282.10000000000002</v>
      </c>
      <c r="N269" s="4225">
        <v>276</v>
      </c>
      <c r="O269" s="4225">
        <v>251.4</v>
      </c>
      <c r="P269" s="4218">
        <v>322332</v>
      </c>
      <c r="Q269" s="4218">
        <v>317500</v>
      </c>
      <c r="R269" s="4220">
        <v>341887</v>
      </c>
      <c r="S269" s="4220"/>
      <c r="T269" s="4219">
        <v>0</v>
      </c>
      <c r="U269" s="5214">
        <v>0</v>
      </c>
      <c r="V269" s="4222"/>
      <c r="W269" s="4224">
        <v>0</v>
      </c>
      <c r="X269" s="4217">
        <v>80</v>
      </c>
      <c r="Y269" s="4223">
        <v>32</v>
      </c>
      <c r="Z269" s="5215">
        <v>0.23</v>
      </c>
      <c r="AA269" s="5215">
        <v>0.01</v>
      </c>
      <c r="AB269" s="5205">
        <v>0.37040000000000001</v>
      </c>
      <c r="AC269" s="4224">
        <v>172116</v>
      </c>
      <c r="AD269" s="4224"/>
      <c r="AE269" s="4224">
        <v>213113</v>
      </c>
      <c r="AF269" s="4225">
        <v>255.3</v>
      </c>
      <c r="AG269" s="4225">
        <v>264.89999999999998</v>
      </c>
      <c r="AH269" s="4225">
        <v>22.8</v>
      </c>
      <c r="AI269" s="4225">
        <v>0</v>
      </c>
      <c r="AJ269" s="4225">
        <v>0</v>
      </c>
      <c r="AK269" s="4225">
        <v>0</v>
      </c>
      <c r="AL269" s="4225">
        <v>0</v>
      </c>
      <c r="AM269" s="4221">
        <v>0</v>
      </c>
      <c r="AN269" s="4226">
        <v>0</v>
      </c>
      <c r="AO269" s="4224"/>
      <c r="AP269" s="4224"/>
      <c r="AQ269" s="4224">
        <v>1981538</v>
      </c>
      <c r="AR269" s="4221">
        <v>0.3</v>
      </c>
      <c r="AS269" s="4217">
        <v>2530065</v>
      </c>
      <c r="AT269" s="5216">
        <v>0</v>
      </c>
      <c r="AU269" s="5216">
        <v>0</v>
      </c>
      <c r="AV269" s="4220">
        <v>1981538</v>
      </c>
      <c r="AW269" s="5243">
        <v>12250</v>
      </c>
      <c r="AX269" s="4224"/>
      <c r="AY269" s="5217">
        <v>341887</v>
      </c>
      <c r="AZ269" s="4224"/>
      <c r="BA269" s="4224">
        <v>162665</v>
      </c>
      <c r="BB269" s="4224">
        <v>11737</v>
      </c>
      <c r="BC269" s="5218"/>
      <c r="BD269" s="4217">
        <v>0</v>
      </c>
      <c r="BE269" s="4224">
        <v>1890993</v>
      </c>
    </row>
    <row r="270" spans="1:57">
      <c r="A270" s="3810">
        <v>493</v>
      </c>
      <c r="B270" s="4210" t="s">
        <v>660</v>
      </c>
      <c r="C270" s="4211" t="s">
        <v>253</v>
      </c>
      <c r="D270" s="4212">
        <v>58871471</v>
      </c>
      <c r="E270" s="4213">
        <v>52015772</v>
      </c>
      <c r="F270" s="4224">
        <v>62439109</v>
      </c>
      <c r="G270" s="4224">
        <v>55547959</v>
      </c>
      <c r="H270" s="4214">
        <v>960.4</v>
      </c>
      <c r="I270" s="4215">
        <v>919</v>
      </c>
      <c r="J270" s="4216">
        <v>354</v>
      </c>
      <c r="K270" s="4217">
        <v>9041179</v>
      </c>
      <c r="L270" s="4225">
        <v>1008</v>
      </c>
      <c r="M270" s="4225">
        <v>987.5</v>
      </c>
      <c r="N270" s="4225">
        <v>974.4</v>
      </c>
      <c r="O270" s="4225">
        <v>931</v>
      </c>
      <c r="P270" s="4218">
        <v>975046</v>
      </c>
      <c r="Q270" s="4218">
        <v>980573</v>
      </c>
      <c r="R270" s="4220">
        <v>1150759</v>
      </c>
      <c r="S270" s="4220"/>
      <c r="T270" s="4219">
        <v>0</v>
      </c>
      <c r="U270" s="5214">
        <v>0</v>
      </c>
      <c r="V270" s="4222"/>
      <c r="W270" s="4224">
        <v>0</v>
      </c>
      <c r="X270" s="4217">
        <v>448</v>
      </c>
      <c r="Y270" s="4223">
        <v>90</v>
      </c>
      <c r="Z270" s="5215">
        <v>0.31</v>
      </c>
      <c r="AA270" s="5215">
        <v>0.09</v>
      </c>
      <c r="AB270" s="5205">
        <v>0.44040000000000001</v>
      </c>
      <c r="AC270" s="4224">
        <v>771719</v>
      </c>
      <c r="AD270" s="4224"/>
      <c r="AE270" s="4224">
        <v>850610</v>
      </c>
      <c r="AF270" s="4225">
        <v>994.5</v>
      </c>
      <c r="AG270" s="4225">
        <v>972.5</v>
      </c>
      <c r="AH270" s="4225">
        <v>0</v>
      </c>
      <c r="AI270" s="4225">
        <v>0</v>
      </c>
      <c r="AJ270" s="4225">
        <v>0</v>
      </c>
      <c r="AK270" s="4225">
        <v>0</v>
      </c>
      <c r="AL270" s="4225">
        <v>0</v>
      </c>
      <c r="AM270" s="4221">
        <v>0</v>
      </c>
      <c r="AN270" s="4226">
        <v>0</v>
      </c>
      <c r="AO270" s="4224"/>
      <c r="AP270" s="4224"/>
      <c r="AQ270" s="4224">
        <v>6238755</v>
      </c>
      <c r="AR270" s="4221">
        <v>0.3</v>
      </c>
      <c r="AS270" s="4217">
        <v>8320526</v>
      </c>
      <c r="AT270" s="5216">
        <v>0</v>
      </c>
      <c r="AU270" s="5216">
        <v>0</v>
      </c>
      <c r="AV270" s="4220">
        <v>6238755</v>
      </c>
      <c r="AW270" s="5243">
        <v>43012</v>
      </c>
      <c r="AX270" s="4224"/>
      <c r="AY270" s="5217">
        <v>1150759</v>
      </c>
      <c r="AZ270" s="4224"/>
      <c r="BA270" s="4224">
        <v>653177</v>
      </c>
      <c r="BB270" s="4224">
        <v>42313</v>
      </c>
      <c r="BC270" s="5218"/>
      <c r="BD270" s="4217">
        <v>0</v>
      </c>
      <c r="BE270" s="4224">
        <v>6213800</v>
      </c>
    </row>
    <row r="271" spans="1:57">
      <c r="A271" s="3810">
        <v>494</v>
      </c>
      <c r="B271" s="4210" t="s">
        <v>661</v>
      </c>
      <c r="C271" s="4211" t="s">
        <v>269</v>
      </c>
      <c r="D271" s="4212">
        <v>43874067</v>
      </c>
      <c r="E271" s="4213">
        <v>41643638</v>
      </c>
      <c r="F271" s="4224">
        <v>42619158</v>
      </c>
      <c r="G271" s="4224">
        <v>40392758</v>
      </c>
      <c r="H271" s="4214">
        <v>490.5</v>
      </c>
      <c r="I271" s="4215">
        <v>495</v>
      </c>
      <c r="J271" s="4216">
        <v>992</v>
      </c>
      <c r="K271" s="4217">
        <v>4507735</v>
      </c>
      <c r="L271" s="4225">
        <v>457.5</v>
      </c>
      <c r="M271" s="4225">
        <v>480</v>
      </c>
      <c r="N271" s="4225">
        <v>500.5</v>
      </c>
      <c r="O271" s="4225">
        <v>502.5</v>
      </c>
      <c r="P271" s="4218">
        <v>261129</v>
      </c>
      <c r="Q271" s="4218">
        <v>267237</v>
      </c>
      <c r="R271" s="4220">
        <v>231956</v>
      </c>
      <c r="S271" s="4220"/>
      <c r="T271" s="4219">
        <v>0</v>
      </c>
      <c r="U271" s="5214">
        <v>0</v>
      </c>
      <c r="V271" s="4222"/>
      <c r="W271" s="4224">
        <v>0</v>
      </c>
      <c r="X271" s="4217">
        <v>285</v>
      </c>
      <c r="Y271" s="4223">
        <v>70</v>
      </c>
      <c r="Z271" s="5215">
        <v>0.14000000000000001</v>
      </c>
      <c r="AA271" s="5215">
        <v>0</v>
      </c>
      <c r="AB271" s="5205">
        <v>0.2923</v>
      </c>
      <c r="AC271" s="4224">
        <v>281921</v>
      </c>
      <c r="AD271" s="4224"/>
      <c r="AE271" s="4224">
        <v>306478</v>
      </c>
      <c r="AF271" s="4225">
        <v>452</v>
      </c>
      <c r="AG271" s="4225">
        <v>470</v>
      </c>
      <c r="AH271" s="4225">
        <v>0</v>
      </c>
      <c r="AI271" s="4225">
        <v>0</v>
      </c>
      <c r="AJ271" s="4225">
        <v>0</v>
      </c>
      <c r="AK271" s="4225">
        <v>0</v>
      </c>
      <c r="AL271" s="4225">
        <v>0</v>
      </c>
      <c r="AM271" s="4221">
        <v>0</v>
      </c>
      <c r="AN271" s="4226">
        <v>0</v>
      </c>
      <c r="AO271" s="4224"/>
      <c r="AP271" s="4224"/>
      <c r="AQ271" s="4224">
        <v>3794390</v>
      </c>
      <c r="AR271" s="4221">
        <v>0.3</v>
      </c>
      <c r="AS271" s="4217">
        <v>4743393</v>
      </c>
      <c r="AT271" s="5216">
        <v>0</v>
      </c>
      <c r="AU271" s="5216">
        <v>0</v>
      </c>
      <c r="AV271" s="4220">
        <v>3794390</v>
      </c>
      <c r="AW271" s="5243">
        <v>0</v>
      </c>
      <c r="AX271" s="4224"/>
      <c r="AY271" s="5217">
        <v>212394</v>
      </c>
      <c r="AZ271" s="4224"/>
      <c r="BA271" s="4224">
        <v>234176</v>
      </c>
      <c r="BB271" s="4224">
        <v>0</v>
      </c>
      <c r="BC271" s="5218"/>
      <c r="BD271" s="4217">
        <v>0</v>
      </c>
      <c r="BE271" s="4224">
        <v>3790383</v>
      </c>
    </row>
    <row r="272" spans="1:57">
      <c r="A272" s="3810">
        <v>495</v>
      </c>
      <c r="B272" s="4210" t="s">
        <v>662</v>
      </c>
      <c r="C272" s="4211" t="s">
        <v>270</v>
      </c>
      <c r="D272" s="4212">
        <v>54984435</v>
      </c>
      <c r="E272" s="4213">
        <v>49362541</v>
      </c>
      <c r="F272" s="4224">
        <v>57045456</v>
      </c>
      <c r="G272" s="4224">
        <v>51411795</v>
      </c>
      <c r="H272" s="4214">
        <v>864.8</v>
      </c>
      <c r="I272" s="4215">
        <v>839.5</v>
      </c>
      <c r="J272" s="4216">
        <v>518</v>
      </c>
      <c r="K272" s="4217">
        <v>8632670</v>
      </c>
      <c r="L272" s="4225">
        <v>894.8</v>
      </c>
      <c r="M272" s="4225">
        <v>921.4</v>
      </c>
      <c r="N272" s="4225">
        <v>879.8</v>
      </c>
      <c r="O272" s="4225">
        <v>854.5</v>
      </c>
      <c r="P272" s="4218">
        <v>1099362</v>
      </c>
      <c r="Q272" s="4218">
        <v>1044763</v>
      </c>
      <c r="R272" s="4220">
        <v>1118037</v>
      </c>
      <c r="S272" s="4220"/>
      <c r="T272" s="4219">
        <v>0</v>
      </c>
      <c r="U272" s="5214">
        <v>0</v>
      </c>
      <c r="V272" s="4222"/>
      <c r="W272" s="4224">
        <v>0</v>
      </c>
      <c r="X272" s="4217">
        <v>377</v>
      </c>
      <c r="Y272" s="4223">
        <v>128</v>
      </c>
      <c r="Z272" s="5215">
        <v>0.32</v>
      </c>
      <c r="AA272" s="5215">
        <v>0.11</v>
      </c>
      <c r="AB272" s="5205">
        <v>0.44929999999999998</v>
      </c>
      <c r="AC272" s="4224">
        <v>811151</v>
      </c>
      <c r="AD272" s="4224"/>
      <c r="AE272" s="4224">
        <v>903350</v>
      </c>
      <c r="AF272" s="4225">
        <v>881.8</v>
      </c>
      <c r="AG272" s="4225">
        <v>906.9</v>
      </c>
      <c r="AH272" s="4225">
        <v>0</v>
      </c>
      <c r="AI272" s="4225">
        <v>0</v>
      </c>
      <c r="AJ272" s="4225">
        <v>0</v>
      </c>
      <c r="AK272" s="4225">
        <v>0</v>
      </c>
      <c r="AL272" s="4225">
        <v>0</v>
      </c>
      <c r="AM272" s="4221">
        <v>0</v>
      </c>
      <c r="AN272" s="4226">
        <v>0</v>
      </c>
      <c r="AO272" s="4224"/>
      <c r="AP272" s="4224"/>
      <c r="AQ272" s="4224">
        <v>5623077</v>
      </c>
      <c r="AR272" s="4221">
        <v>0.3</v>
      </c>
      <c r="AS272" s="4217">
        <v>7692478</v>
      </c>
      <c r="AT272" s="5216">
        <v>0</v>
      </c>
      <c r="AU272" s="5216">
        <v>0</v>
      </c>
      <c r="AV272" s="4220">
        <v>5623077</v>
      </c>
      <c r="AW272" s="5243">
        <v>91624</v>
      </c>
      <c r="AX272" s="4224"/>
      <c r="AY272" s="5217">
        <v>1118037</v>
      </c>
      <c r="AZ272" s="4224"/>
      <c r="BA272" s="4224">
        <v>688907</v>
      </c>
      <c r="BB272" s="4224">
        <v>91624</v>
      </c>
      <c r="BC272" s="5218"/>
      <c r="BD272" s="4217">
        <v>0</v>
      </c>
      <c r="BE272" s="4224">
        <v>5600585</v>
      </c>
    </row>
    <row r="273" spans="1:57">
      <c r="A273" s="3810">
        <v>496</v>
      </c>
      <c r="B273" s="4210" t="s">
        <v>663</v>
      </c>
      <c r="C273" s="4211" t="s">
        <v>270</v>
      </c>
      <c r="D273" s="4212">
        <v>15164192</v>
      </c>
      <c r="E273" s="4213">
        <v>14459028</v>
      </c>
      <c r="F273" s="4224">
        <v>16295721</v>
      </c>
      <c r="G273" s="4224">
        <v>15589012</v>
      </c>
      <c r="H273" s="4214">
        <v>112.5</v>
      </c>
      <c r="I273" s="4215">
        <v>134.5</v>
      </c>
      <c r="J273" s="4216">
        <v>283</v>
      </c>
      <c r="K273" s="4217">
        <v>1611962</v>
      </c>
      <c r="L273" s="4225">
        <v>188.5</v>
      </c>
      <c r="M273" s="4225">
        <v>166.5</v>
      </c>
      <c r="N273" s="4225">
        <v>164.1</v>
      </c>
      <c r="O273" s="4225">
        <v>154.5</v>
      </c>
      <c r="P273" s="4218">
        <v>119478</v>
      </c>
      <c r="Q273" s="4218">
        <v>128033</v>
      </c>
      <c r="R273" s="4220">
        <v>101755</v>
      </c>
      <c r="S273" s="4220"/>
      <c r="T273" s="4219">
        <v>0</v>
      </c>
      <c r="U273" s="5214">
        <v>0</v>
      </c>
      <c r="V273" s="4222"/>
      <c r="W273" s="4224">
        <v>174824</v>
      </c>
      <c r="X273" s="4217">
        <v>57</v>
      </c>
      <c r="Y273" s="4223">
        <v>25</v>
      </c>
      <c r="Z273" s="5215">
        <v>0</v>
      </c>
      <c r="AA273" s="5215">
        <v>0</v>
      </c>
      <c r="AB273" s="5205">
        <v>0.12670000000000001</v>
      </c>
      <c r="AC273" s="4224">
        <v>82519</v>
      </c>
      <c r="AD273" s="4224"/>
      <c r="AE273" s="4224">
        <v>101499</v>
      </c>
      <c r="AF273" s="4225">
        <v>116.5</v>
      </c>
      <c r="AG273" s="4225">
        <v>112.5</v>
      </c>
      <c r="AH273" s="4225">
        <v>54.2</v>
      </c>
      <c r="AI273" s="4225">
        <v>0</v>
      </c>
      <c r="AJ273" s="4225">
        <v>0</v>
      </c>
      <c r="AK273" s="4225">
        <v>0</v>
      </c>
      <c r="AL273" s="4225">
        <v>0</v>
      </c>
      <c r="AM273" s="4221">
        <v>0</v>
      </c>
      <c r="AN273" s="4226">
        <v>0</v>
      </c>
      <c r="AO273" s="4224"/>
      <c r="AP273" s="4224"/>
      <c r="AQ273" s="4224">
        <v>1203441</v>
      </c>
      <c r="AR273" s="4221">
        <v>0.31</v>
      </c>
      <c r="AS273" s="4217">
        <v>1342420</v>
      </c>
      <c r="AT273" s="5216">
        <v>0</v>
      </c>
      <c r="AU273" s="5216">
        <v>0</v>
      </c>
      <c r="AV273" s="4220">
        <v>1203441</v>
      </c>
      <c r="AW273" s="5243">
        <v>3506</v>
      </c>
      <c r="AX273" s="4224"/>
      <c r="AY273" s="5217">
        <v>84524</v>
      </c>
      <c r="AZ273" s="4224"/>
      <c r="BA273" s="4224">
        <v>77709</v>
      </c>
      <c r="BB273" s="4224">
        <v>0</v>
      </c>
      <c r="BC273" s="5218"/>
      <c r="BD273" s="4217">
        <v>0</v>
      </c>
      <c r="BE273" s="4224">
        <v>1023673</v>
      </c>
    </row>
    <row r="274" spans="1:57">
      <c r="A274" s="3810">
        <v>497</v>
      </c>
      <c r="B274" s="4210" t="s">
        <v>664</v>
      </c>
      <c r="C274" s="4211" t="s">
        <v>225</v>
      </c>
      <c r="D274" s="4212">
        <v>1016292269</v>
      </c>
      <c r="E274" s="4213">
        <v>957231832</v>
      </c>
      <c r="F274" s="4224">
        <v>1045729023</v>
      </c>
      <c r="G274" s="4224">
        <v>986437070</v>
      </c>
      <c r="H274" s="4214">
        <v>10088</v>
      </c>
      <c r="I274" s="4215">
        <v>10227.299999999999</v>
      </c>
      <c r="J274" s="4216">
        <v>175.2</v>
      </c>
      <c r="K274" s="4217">
        <v>79550141</v>
      </c>
      <c r="L274" s="4225">
        <v>11237.5</v>
      </c>
      <c r="M274" s="4225">
        <v>11347.2</v>
      </c>
      <c r="N274" s="4225">
        <v>11304</v>
      </c>
      <c r="O274" s="4225">
        <v>11515.6</v>
      </c>
      <c r="P274" s="4218">
        <v>11928486</v>
      </c>
      <c r="Q274" s="4218">
        <v>12325306</v>
      </c>
      <c r="R274" s="4220">
        <v>4768517</v>
      </c>
      <c r="S274" s="4220"/>
      <c r="T274" s="4219">
        <v>0</v>
      </c>
      <c r="U274" s="5214">
        <v>2921</v>
      </c>
      <c r="V274" s="4222"/>
      <c r="W274" s="4224">
        <v>0</v>
      </c>
      <c r="X274" s="4217">
        <v>3539</v>
      </c>
      <c r="Y274" s="4223">
        <v>863</v>
      </c>
      <c r="Z274" s="5215">
        <v>0.08</v>
      </c>
      <c r="AA274" s="5215">
        <v>0</v>
      </c>
      <c r="AB274" s="5205">
        <v>0.24790000000000001</v>
      </c>
      <c r="AC274" s="4224">
        <v>7115475</v>
      </c>
      <c r="AD274" s="4224"/>
      <c r="AE274" s="4224">
        <v>8008142</v>
      </c>
      <c r="AF274" s="4225">
        <v>9812.6</v>
      </c>
      <c r="AG274" s="4225">
        <v>9971.1</v>
      </c>
      <c r="AH274" s="4225">
        <v>1242</v>
      </c>
      <c r="AI274" s="4225">
        <v>335</v>
      </c>
      <c r="AJ274" s="4225">
        <v>0</v>
      </c>
      <c r="AK274" s="4225">
        <v>0</v>
      </c>
      <c r="AL274" s="4225">
        <v>0</v>
      </c>
      <c r="AM274" s="4227">
        <v>1.7899999999999999E-2</v>
      </c>
      <c r="AN274" s="4226">
        <v>0</v>
      </c>
      <c r="AO274" s="4224"/>
      <c r="AP274" s="4224"/>
      <c r="AQ274" s="4224">
        <v>55094254</v>
      </c>
      <c r="AR274" s="4221">
        <v>0.31</v>
      </c>
      <c r="AS274" s="4217">
        <v>70597520</v>
      </c>
      <c r="AT274" s="5216">
        <v>0</v>
      </c>
      <c r="AU274" s="5216">
        <v>0</v>
      </c>
      <c r="AV274" s="4220">
        <v>55094254</v>
      </c>
      <c r="AW274" s="5243">
        <v>177300</v>
      </c>
      <c r="AX274" s="4224"/>
      <c r="AY274" s="5217">
        <v>4203557</v>
      </c>
      <c r="AZ274" s="4224"/>
      <c r="BA274" s="4224">
        <v>6090694</v>
      </c>
      <c r="BB274" s="4224">
        <v>0</v>
      </c>
      <c r="BC274" s="5218"/>
      <c r="BD274" s="4217">
        <v>0</v>
      </c>
      <c r="BE274" s="4224">
        <v>56772167</v>
      </c>
    </row>
    <row r="275" spans="1:57">
      <c r="A275" s="3810">
        <v>498</v>
      </c>
      <c r="B275" s="4210" t="s">
        <v>665</v>
      </c>
      <c r="C275" s="4211" t="s">
        <v>232</v>
      </c>
      <c r="D275" s="4212">
        <v>19006011</v>
      </c>
      <c r="E275" s="4213">
        <v>16928652</v>
      </c>
      <c r="F275" s="4224">
        <v>20671526</v>
      </c>
      <c r="G275" s="4224">
        <v>18590864</v>
      </c>
      <c r="H275" s="4214">
        <v>403.5</v>
      </c>
      <c r="I275" s="4215">
        <v>372.5</v>
      </c>
      <c r="J275" s="4216">
        <v>205</v>
      </c>
      <c r="K275" s="4217">
        <v>4189603</v>
      </c>
      <c r="L275" s="4225">
        <v>376</v>
      </c>
      <c r="M275" s="4225">
        <v>394.4</v>
      </c>
      <c r="N275" s="4225">
        <v>407</v>
      </c>
      <c r="O275" s="4225">
        <v>374</v>
      </c>
      <c r="P275" s="4218">
        <v>370427</v>
      </c>
      <c r="Q275" s="4218">
        <v>351577</v>
      </c>
      <c r="R275" s="4220">
        <v>672055</v>
      </c>
      <c r="S275" s="4220"/>
      <c r="T275" s="4219">
        <v>0</v>
      </c>
      <c r="U275" s="5214">
        <v>7840</v>
      </c>
      <c r="V275" s="4222"/>
      <c r="W275" s="4224">
        <v>0</v>
      </c>
      <c r="X275" s="4217">
        <v>141</v>
      </c>
      <c r="Y275" s="4223">
        <v>57</v>
      </c>
      <c r="Z275" s="5215">
        <v>0.44</v>
      </c>
      <c r="AA275" s="5215">
        <v>0.22</v>
      </c>
      <c r="AB275" s="5205">
        <v>0.54369999999999996</v>
      </c>
      <c r="AC275" s="4224">
        <v>250516</v>
      </c>
      <c r="AD275" s="4224"/>
      <c r="AE275" s="4224">
        <v>277296</v>
      </c>
      <c r="AF275" s="4225">
        <v>371.5</v>
      </c>
      <c r="AG275" s="4225">
        <v>390.9</v>
      </c>
      <c r="AH275" s="4225">
        <v>0</v>
      </c>
      <c r="AI275" s="4225">
        <v>0</v>
      </c>
      <c r="AJ275" s="4225">
        <v>0</v>
      </c>
      <c r="AK275" s="4225">
        <v>0</v>
      </c>
      <c r="AL275" s="4225">
        <v>0</v>
      </c>
      <c r="AM275" s="4221">
        <v>0</v>
      </c>
      <c r="AN275" s="4226">
        <v>0</v>
      </c>
      <c r="AO275" s="4224"/>
      <c r="AP275" s="4224"/>
      <c r="AQ275" s="4224">
        <v>2919181</v>
      </c>
      <c r="AR275" s="4221">
        <v>0.3</v>
      </c>
      <c r="AS275" s="4217">
        <v>3911676</v>
      </c>
      <c r="AT275" s="5216">
        <v>0</v>
      </c>
      <c r="AU275" s="5216">
        <v>0</v>
      </c>
      <c r="AV275" s="4220">
        <v>2919181</v>
      </c>
      <c r="AW275" s="5243">
        <v>46676</v>
      </c>
      <c r="AX275" s="4224"/>
      <c r="AY275" s="5217">
        <v>672055</v>
      </c>
      <c r="AZ275" s="4224"/>
      <c r="BA275" s="4224">
        <v>211791</v>
      </c>
      <c r="BB275" s="4224">
        <v>46676</v>
      </c>
      <c r="BC275" s="5218"/>
      <c r="BD275" s="4217">
        <v>0</v>
      </c>
      <c r="BE275" s="4224">
        <v>2907504</v>
      </c>
    </row>
    <row r="276" spans="1:57">
      <c r="A276" s="3810">
        <v>499</v>
      </c>
      <c r="B276" s="4210" t="s">
        <v>666</v>
      </c>
      <c r="C276" s="4211" t="s">
        <v>253</v>
      </c>
      <c r="D276" s="4212">
        <v>16868496</v>
      </c>
      <c r="E276" s="4213">
        <v>13813618</v>
      </c>
      <c r="F276" s="4224">
        <v>17325628</v>
      </c>
      <c r="G276" s="4224">
        <v>14384171</v>
      </c>
      <c r="H276" s="4214">
        <v>785.2</v>
      </c>
      <c r="I276" s="4215">
        <v>767.2</v>
      </c>
      <c r="J276" s="4216">
        <v>13.5</v>
      </c>
      <c r="K276" s="4217">
        <v>8205148</v>
      </c>
      <c r="L276" s="4225">
        <v>783.4</v>
      </c>
      <c r="M276" s="4225">
        <v>812.7</v>
      </c>
      <c r="N276" s="4225">
        <v>796.4</v>
      </c>
      <c r="O276" s="4225">
        <v>792.8</v>
      </c>
      <c r="P276" s="4218">
        <v>729141</v>
      </c>
      <c r="Q276" s="4218">
        <v>733000</v>
      </c>
      <c r="R276" s="4220">
        <v>1677503</v>
      </c>
      <c r="S276" s="4220"/>
      <c r="T276" s="4219">
        <v>6256</v>
      </c>
      <c r="U276" s="5214">
        <v>2052</v>
      </c>
      <c r="V276" s="4222"/>
      <c r="W276" s="4224">
        <v>0</v>
      </c>
      <c r="X276" s="4217">
        <v>462</v>
      </c>
      <c r="Y276" s="4223">
        <v>129</v>
      </c>
      <c r="Z276" s="5215">
        <v>0.76</v>
      </c>
      <c r="AA276" s="5215">
        <v>0.55000000000000004</v>
      </c>
      <c r="AB276" s="5205">
        <v>0.81759999999999999</v>
      </c>
      <c r="AC276" s="4224">
        <v>501225</v>
      </c>
      <c r="AD276" s="4224"/>
      <c r="AE276" s="4224">
        <v>557789</v>
      </c>
      <c r="AF276" s="4225">
        <v>774.9</v>
      </c>
      <c r="AG276" s="4225">
        <v>800.2</v>
      </c>
      <c r="AH276" s="4225">
        <v>1.8</v>
      </c>
      <c r="AI276" s="4225">
        <v>0</v>
      </c>
      <c r="AJ276" s="4225">
        <v>0</v>
      </c>
      <c r="AK276" s="4225">
        <v>0</v>
      </c>
      <c r="AL276" s="4225">
        <v>21.1</v>
      </c>
      <c r="AM276" s="4221">
        <v>0</v>
      </c>
      <c r="AN276" s="4226">
        <v>0</v>
      </c>
      <c r="AO276" s="4224"/>
      <c r="AP276" s="4224"/>
      <c r="AQ276" s="4224">
        <v>5365108</v>
      </c>
      <c r="AR276" s="4221">
        <v>0.3</v>
      </c>
      <c r="AS276" s="4217">
        <v>6974731</v>
      </c>
      <c r="AT276" s="5216">
        <v>0</v>
      </c>
      <c r="AU276" s="5216">
        <v>0</v>
      </c>
      <c r="AV276" s="4220">
        <v>5365108</v>
      </c>
      <c r="AW276" s="5243">
        <v>0</v>
      </c>
      <c r="AX276" s="4224"/>
      <c r="AY276" s="5217">
        <v>1677503</v>
      </c>
      <c r="AZ276" s="4224"/>
      <c r="BA276" s="4224">
        <v>426122</v>
      </c>
      <c r="BB276" s="4224">
        <v>0</v>
      </c>
      <c r="BC276" s="5218"/>
      <c r="BD276" s="4217">
        <v>0</v>
      </c>
      <c r="BE276" s="4224">
        <v>5368523</v>
      </c>
    </row>
    <row r="277" spans="1:57">
      <c r="A277" s="3810">
        <v>500</v>
      </c>
      <c r="B277" s="4210" t="s">
        <v>667</v>
      </c>
      <c r="C277" s="4211" t="s">
        <v>176</v>
      </c>
      <c r="D277" s="4212">
        <v>683520741</v>
      </c>
      <c r="E277" s="4213">
        <v>601054750</v>
      </c>
      <c r="F277" s="4224">
        <v>708701131</v>
      </c>
      <c r="G277" s="4224">
        <v>626196914</v>
      </c>
      <c r="H277" s="4214">
        <v>20238.7</v>
      </c>
      <c r="I277" s="4215">
        <v>19981.5</v>
      </c>
      <c r="J277" s="4216">
        <v>59</v>
      </c>
      <c r="K277" s="4217">
        <v>195000034</v>
      </c>
      <c r="L277" s="4225">
        <v>19269.2</v>
      </c>
      <c r="M277" s="4225">
        <v>19998.2</v>
      </c>
      <c r="N277" s="4225">
        <v>20523.2</v>
      </c>
      <c r="O277" s="4225">
        <v>20518.3</v>
      </c>
      <c r="P277" s="4218">
        <v>15724582</v>
      </c>
      <c r="Q277" s="4218">
        <v>15314917</v>
      </c>
      <c r="R277" s="4220">
        <v>34674673</v>
      </c>
      <c r="S277" s="4220"/>
      <c r="T277" s="4219">
        <v>28714</v>
      </c>
      <c r="U277" s="5214">
        <v>13428</v>
      </c>
      <c r="V277" s="4222"/>
      <c r="W277" s="4224">
        <v>0</v>
      </c>
      <c r="X277" s="4217">
        <v>15689</v>
      </c>
      <c r="Y277" s="4223">
        <v>1385</v>
      </c>
      <c r="Z277" s="5215">
        <v>0.65</v>
      </c>
      <c r="AA277" s="5215">
        <v>0.43</v>
      </c>
      <c r="AB277" s="5205">
        <v>0.7208</v>
      </c>
      <c r="AC277" s="4224">
        <v>16572466</v>
      </c>
      <c r="AD277" s="4224"/>
      <c r="AE277" s="4224">
        <v>18252778</v>
      </c>
      <c r="AF277" s="4225">
        <v>18984.2</v>
      </c>
      <c r="AG277" s="4225">
        <v>19713.2</v>
      </c>
      <c r="AH277" s="4225">
        <v>0</v>
      </c>
      <c r="AI277" s="4225">
        <v>0</v>
      </c>
      <c r="AJ277" s="4225">
        <v>0</v>
      </c>
      <c r="AK277" s="4225">
        <v>0</v>
      </c>
      <c r="AL277" s="4225">
        <v>0</v>
      </c>
      <c r="AM277" s="4221">
        <v>0</v>
      </c>
      <c r="AN277" s="4226">
        <v>0</v>
      </c>
      <c r="AO277" s="4224"/>
      <c r="AP277" s="4224"/>
      <c r="AQ277" s="4224">
        <v>129415696</v>
      </c>
      <c r="AR277" s="4221">
        <v>0.3</v>
      </c>
      <c r="AS277" s="4217">
        <v>166575112</v>
      </c>
      <c r="AT277" s="5216">
        <v>0</v>
      </c>
      <c r="AU277" s="5216">
        <v>0</v>
      </c>
      <c r="AV277" s="4220">
        <v>129415696</v>
      </c>
      <c r="AW277" s="5243">
        <v>2290527</v>
      </c>
      <c r="AX277" s="4224"/>
      <c r="AY277" s="5217">
        <v>34674673</v>
      </c>
      <c r="AZ277" s="4224"/>
      <c r="BA277" s="4224">
        <v>13265415</v>
      </c>
      <c r="BB277" s="4224">
        <v>2290527</v>
      </c>
      <c r="BC277" s="5218"/>
      <c r="BD277" s="4217">
        <v>0</v>
      </c>
      <c r="BE277" s="4224">
        <v>129452649</v>
      </c>
    </row>
    <row r="278" spans="1:57">
      <c r="A278" s="3810">
        <v>501</v>
      </c>
      <c r="B278" s="4210" t="s">
        <v>668</v>
      </c>
      <c r="C278" s="4211" t="s">
        <v>223</v>
      </c>
      <c r="D278" s="4212">
        <v>605767414</v>
      </c>
      <c r="E278" s="4213">
        <v>530185151</v>
      </c>
      <c r="F278" s="4224">
        <v>619622846</v>
      </c>
      <c r="G278" s="4224">
        <v>544077783</v>
      </c>
      <c r="H278" s="4214">
        <v>12973.3</v>
      </c>
      <c r="I278" s="4215">
        <v>12872.5</v>
      </c>
      <c r="J278" s="4216">
        <v>35</v>
      </c>
      <c r="K278" s="4217">
        <v>120785719</v>
      </c>
      <c r="L278" s="4225">
        <v>13078</v>
      </c>
      <c r="M278" s="4225">
        <v>13192</v>
      </c>
      <c r="N278" s="4225">
        <v>13294.5</v>
      </c>
      <c r="O278" s="4225">
        <v>13413.4</v>
      </c>
      <c r="P278" s="4218">
        <v>14741640</v>
      </c>
      <c r="Q278" s="4218">
        <v>15081185</v>
      </c>
      <c r="R278" s="4220">
        <v>17843394</v>
      </c>
      <c r="S278" s="4220"/>
      <c r="T278" s="4219">
        <v>7886</v>
      </c>
      <c r="U278" s="5214">
        <v>11409</v>
      </c>
      <c r="V278" s="4222"/>
      <c r="W278" s="4224">
        <v>0</v>
      </c>
      <c r="X278" s="4217">
        <v>9989</v>
      </c>
      <c r="Y278" s="4223">
        <v>856</v>
      </c>
      <c r="Z278" s="5215">
        <v>0.53</v>
      </c>
      <c r="AA278" s="5215">
        <v>0.32</v>
      </c>
      <c r="AB278" s="5205">
        <v>0.62460000000000004</v>
      </c>
      <c r="AC278" s="4224">
        <v>9585143</v>
      </c>
      <c r="AD278" s="4224"/>
      <c r="AE278" s="4224">
        <v>11172901</v>
      </c>
      <c r="AF278" s="4225">
        <v>12824.5</v>
      </c>
      <c r="AG278" s="4225">
        <v>12857.2</v>
      </c>
      <c r="AH278" s="4225">
        <v>232.3</v>
      </c>
      <c r="AI278" s="4225">
        <v>0</v>
      </c>
      <c r="AJ278" s="4225">
        <v>0</v>
      </c>
      <c r="AK278" s="4225">
        <v>0</v>
      </c>
      <c r="AL278" s="4225">
        <v>0</v>
      </c>
      <c r="AM278" s="4221">
        <v>0</v>
      </c>
      <c r="AN278" s="4226">
        <v>0</v>
      </c>
      <c r="AO278" s="4224"/>
      <c r="AP278" s="4224"/>
      <c r="AQ278" s="4224">
        <v>75405854</v>
      </c>
      <c r="AR278" s="4221">
        <v>0.3</v>
      </c>
      <c r="AS278" s="4217">
        <v>101868532</v>
      </c>
      <c r="AT278" s="5216">
        <v>0</v>
      </c>
      <c r="AU278" s="5216">
        <v>0</v>
      </c>
      <c r="AV278" s="4220">
        <v>75405854</v>
      </c>
      <c r="AW278" s="5243">
        <v>1461763</v>
      </c>
      <c r="AX278" s="4224"/>
      <c r="AY278" s="5217">
        <v>17843394</v>
      </c>
      <c r="AZ278" s="4224"/>
      <c r="BA278" s="4224">
        <v>8594373</v>
      </c>
      <c r="BB278" s="4224">
        <v>1461763</v>
      </c>
      <c r="BC278" s="5218"/>
      <c r="BD278" s="4217">
        <v>0</v>
      </c>
      <c r="BE278" s="4224">
        <v>74567866</v>
      </c>
    </row>
    <row r="279" spans="1:57">
      <c r="A279" s="3810">
        <v>502</v>
      </c>
      <c r="B279" s="4210" t="s">
        <v>669</v>
      </c>
      <c r="C279" s="4211" t="s">
        <v>224</v>
      </c>
      <c r="D279" s="4212">
        <v>17299477</v>
      </c>
      <c r="E279" s="4213">
        <v>16640510</v>
      </c>
      <c r="F279" s="4224">
        <v>19436449</v>
      </c>
      <c r="G279" s="4224">
        <v>18773328</v>
      </c>
      <c r="H279" s="4214">
        <v>104</v>
      </c>
      <c r="I279" s="4215">
        <v>109.5</v>
      </c>
      <c r="J279" s="4216">
        <v>223.8</v>
      </c>
      <c r="K279" s="4217">
        <v>1177091</v>
      </c>
      <c r="L279" s="4225">
        <v>104</v>
      </c>
      <c r="M279" s="4225">
        <v>100</v>
      </c>
      <c r="N279" s="4225">
        <v>104.5</v>
      </c>
      <c r="O279" s="4225">
        <v>113</v>
      </c>
      <c r="P279" s="4218">
        <v>120385</v>
      </c>
      <c r="Q279" s="4218">
        <v>134039</v>
      </c>
      <c r="R279" s="4220">
        <v>0</v>
      </c>
      <c r="S279" s="4220"/>
      <c r="T279" s="4219">
        <v>0</v>
      </c>
      <c r="U279" s="5214">
        <v>0</v>
      </c>
      <c r="V279" s="4222"/>
      <c r="W279" s="4224">
        <v>0</v>
      </c>
      <c r="X279" s="4217">
        <v>53</v>
      </c>
      <c r="Y279" s="4223">
        <v>15</v>
      </c>
      <c r="Z279" s="5215">
        <v>0</v>
      </c>
      <c r="AA279" s="5215">
        <v>0</v>
      </c>
      <c r="AB279" s="5205">
        <v>0</v>
      </c>
      <c r="AC279" s="4224">
        <v>64892</v>
      </c>
      <c r="AD279" s="4224"/>
      <c r="AE279" s="4224">
        <v>80478</v>
      </c>
      <c r="AF279" s="4225">
        <v>102.5</v>
      </c>
      <c r="AG279" s="4225">
        <v>99</v>
      </c>
      <c r="AH279" s="4225">
        <v>0</v>
      </c>
      <c r="AI279" s="4225">
        <v>0</v>
      </c>
      <c r="AJ279" s="4225">
        <v>0</v>
      </c>
      <c r="AK279" s="4225">
        <v>0</v>
      </c>
      <c r="AL279" s="4225">
        <v>0</v>
      </c>
      <c r="AM279" s="4221">
        <v>0</v>
      </c>
      <c r="AN279" s="4226">
        <v>0</v>
      </c>
      <c r="AO279" s="4224"/>
      <c r="AP279" s="4224"/>
      <c r="AQ279" s="4224">
        <v>967750</v>
      </c>
      <c r="AR279" s="4221">
        <v>0.28549999999999998</v>
      </c>
      <c r="AS279" s="4217">
        <v>1260744</v>
      </c>
      <c r="AT279" s="5216">
        <v>0</v>
      </c>
      <c r="AU279" s="5216">
        <v>0</v>
      </c>
      <c r="AV279" s="4220">
        <v>967750</v>
      </c>
      <c r="AW279" s="5243">
        <v>0</v>
      </c>
      <c r="AX279" s="4224"/>
      <c r="AY279" s="5217">
        <v>0</v>
      </c>
      <c r="AZ279" s="4224"/>
      <c r="BA279" s="4224">
        <v>61523</v>
      </c>
      <c r="BB279" s="4224">
        <v>0</v>
      </c>
      <c r="BC279" s="5218"/>
      <c r="BD279" s="4217">
        <v>0</v>
      </c>
      <c r="BE279" s="4224">
        <v>963879</v>
      </c>
    </row>
    <row r="280" spans="1:57">
      <c r="A280" s="3810">
        <v>503</v>
      </c>
      <c r="B280" s="4210" t="s">
        <v>670</v>
      </c>
      <c r="C280" s="4211" t="s">
        <v>271</v>
      </c>
      <c r="D280" s="4212">
        <v>51812491</v>
      </c>
      <c r="E280" s="4213">
        <v>43027364</v>
      </c>
      <c r="F280" s="4224">
        <v>52927859</v>
      </c>
      <c r="G280" s="4224">
        <v>44148745</v>
      </c>
      <c r="H280" s="4214">
        <v>1212.2</v>
      </c>
      <c r="I280" s="4215">
        <v>1207</v>
      </c>
      <c r="J280" s="4216">
        <v>51</v>
      </c>
      <c r="K280" s="4217">
        <v>10920527</v>
      </c>
      <c r="L280" s="4225">
        <v>1194.8</v>
      </c>
      <c r="M280" s="4225">
        <v>1241.4000000000001</v>
      </c>
      <c r="N280" s="4225">
        <v>1225</v>
      </c>
      <c r="O280" s="4225">
        <v>1219</v>
      </c>
      <c r="P280" s="4218">
        <v>1077486</v>
      </c>
      <c r="Q280" s="4218">
        <v>1093122</v>
      </c>
      <c r="R280" s="4220">
        <v>1819315</v>
      </c>
      <c r="S280" s="4220"/>
      <c r="T280" s="4219">
        <v>0</v>
      </c>
      <c r="U280" s="5214">
        <v>0</v>
      </c>
      <c r="V280" s="4222"/>
      <c r="W280" s="4224">
        <v>0</v>
      </c>
      <c r="X280" s="4217">
        <v>762</v>
      </c>
      <c r="Y280" s="4223">
        <v>174</v>
      </c>
      <c r="Z280" s="5215">
        <v>0.55000000000000004</v>
      </c>
      <c r="AA280" s="5215">
        <v>0.33</v>
      </c>
      <c r="AB280" s="5205">
        <v>0.64070000000000005</v>
      </c>
      <c r="AC280" s="4224">
        <v>754930</v>
      </c>
      <c r="AD280" s="4224"/>
      <c r="AE280" s="4224">
        <v>846669</v>
      </c>
      <c r="AF280" s="4225">
        <v>1182.8</v>
      </c>
      <c r="AG280" s="4225">
        <v>1229.4000000000001</v>
      </c>
      <c r="AH280" s="4225">
        <v>0.8</v>
      </c>
      <c r="AI280" s="4225">
        <v>0</v>
      </c>
      <c r="AJ280" s="4225">
        <v>0</v>
      </c>
      <c r="AK280" s="4225">
        <v>0</v>
      </c>
      <c r="AL280" s="4225">
        <v>0</v>
      </c>
      <c r="AM280" s="4221">
        <v>0</v>
      </c>
      <c r="AN280" s="4226">
        <v>0</v>
      </c>
      <c r="AO280" s="4224"/>
      <c r="AP280" s="4224"/>
      <c r="AQ280" s="4224">
        <v>7313644</v>
      </c>
      <c r="AR280" s="4221">
        <v>0.3</v>
      </c>
      <c r="AS280" s="4217">
        <v>9799279</v>
      </c>
      <c r="AT280" s="5216">
        <v>0</v>
      </c>
      <c r="AU280" s="5216">
        <v>0</v>
      </c>
      <c r="AV280" s="4220">
        <v>7313644</v>
      </c>
      <c r="AW280" s="5243">
        <v>70620</v>
      </c>
      <c r="AX280" s="4224"/>
      <c r="AY280" s="5217">
        <v>1819315</v>
      </c>
      <c r="AZ280" s="4224"/>
      <c r="BA280" s="4224">
        <v>644876</v>
      </c>
      <c r="BB280" s="4224">
        <v>70620</v>
      </c>
      <c r="BC280" s="5218"/>
      <c r="BD280" s="4217">
        <v>0</v>
      </c>
      <c r="BE280" s="4224">
        <v>7281320</v>
      </c>
    </row>
    <row r="281" spans="1:57">
      <c r="A281" s="3810">
        <v>504</v>
      </c>
      <c r="B281" s="4210" t="s">
        <v>1155</v>
      </c>
      <c r="C281" s="4211" t="s">
        <v>271</v>
      </c>
      <c r="D281" s="4212">
        <v>12369450</v>
      </c>
      <c r="E281" s="4213">
        <v>10426454</v>
      </c>
      <c r="F281" s="4224">
        <v>12074570</v>
      </c>
      <c r="G281" s="4224">
        <v>10130585</v>
      </c>
      <c r="H281" s="4214">
        <v>462</v>
      </c>
      <c r="I281" s="4215">
        <v>441.5</v>
      </c>
      <c r="J281" s="4216">
        <v>45</v>
      </c>
      <c r="K281" s="4217">
        <v>4741801</v>
      </c>
      <c r="L281" s="4225">
        <v>446.5</v>
      </c>
      <c r="M281" s="4225">
        <v>462.2</v>
      </c>
      <c r="N281" s="4225">
        <v>467.5</v>
      </c>
      <c r="O281" s="4225">
        <v>445.5</v>
      </c>
      <c r="P281" s="4218">
        <v>421663</v>
      </c>
      <c r="Q281" s="4218">
        <v>403537</v>
      </c>
      <c r="R281" s="4220">
        <v>919000</v>
      </c>
      <c r="S281" s="4220"/>
      <c r="T281" s="4219">
        <v>0</v>
      </c>
      <c r="U281" s="5214">
        <v>7038</v>
      </c>
      <c r="V281" s="4222"/>
      <c r="W281" s="4224">
        <v>0</v>
      </c>
      <c r="X281" s="4217">
        <v>225</v>
      </c>
      <c r="Y281" s="4223">
        <v>60</v>
      </c>
      <c r="Z281" s="5215">
        <v>0.71</v>
      </c>
      <c r="AA281" s="5215">
        <v>0.5</v>
      </c>
      <c r="AB281" s="5205">
        <v>0.77490000000000003</v>
      </c>
      <c r="AC281" s="4224">
        <v>270963</v>
      </c>
      <c r="AD281" s="4224"/>
      <c r="AE281" s="4224">
        <v>306488</v>
      </c>
      <c r="AF281" s="4225">
        <v>441</v>
      </c>
      <c r="AG281" s="4225">
        <v>458.7</v>
      </c>
      <c r="AH281" s="4225">
        <v>0</v>
      </c>
      <c r="AI281" s="4225">
        <v>0</v>
      </c>
      <c r="AJ281" s="4225">
        <v>0</v>
      </c>
      <c r="AK281" s="4225">
        <v>0</v>
      </c>
      <c r="AL281" s="4225">
        <v>0</v>
      </c>
      <c r="AM281" s="4221">
        <v>0</v>
      </c>
      <c r="AN281" s="4226">
        <v>0</v>
      </c>
      <c r="AO281" s="4224"/>
      <c r="AP281" s="4224"/>
      <c r="AQ281" s="4224">
        <v>3145272</v>
      </c>
      <c r="AR281" s="4221">
        <v>0.29809999999999998</v>
      </c>
      <c r="AS281" s="4217">
        <v>4087972</v>
      </c>
      <c r="AT281" s="5216">
        <v>0</v>
      </c>
      <c r="AU281" s="5216">
        <v>0</v>
      </c>
      <c r="AV281" s="4220">
        <v>3145272</v>
      </c>
      <c r="AW281" s="5243">
        <v>50118</v>
      </c>
      <c r="AX281" s="4224"/>
      <c r="AY281" s="5217">
        <v>919000</v>
      </c>
      <c r="AZ281" s="4224"/>
      <c r="BA281" s="4224">
        <v>234288</v>
      </c>
      <c r="BB281" s="4224">
        <v>50118</v>
      </c>
      <c r="BC281" s="5218"/>
      <c r="BD281" s="4217">
        <v>0</v>
      </c>
      <c r="BE281" s="4224">
        <v>3132691</v>
      </c>
    </row>
    <row r="282" spans="1:57">
      <c r="A282" s="3810">
        <v>505</v>
      </c>
      <c r="B282" s="4210" t="s">
        <v>1156</v>
      </c>
      <c r="C282" s="4211" t="s">
        <v>271</v>
      </c>
      <c r="D282" s="4212">
        <v>15217540</v>
      </c>
      <c r="E282" s="4213">
        <v>12786692</v>
      </c>
      <c r="F282" s="4224">
        <v>15810769</v>
      </c>
      <c r="G282" s="4224">
        <v>13392950</v>
      </c>
      <c r="H282" s="4214">
        <v>436</v>
      </c>
      <c r="I282" s="4215">
        <v>424</v>
      </c>
      <c r="J282" s="4216">
        <v>126</v>
      </c>
      <c r="K282" s="4217">
        <v>4638302</v>
      </c>
      <c r="L282" s="4225">
        <v>464.2</v>
      </c>
      <c r="M282" s="4225">
        <v>456.2</v>
      </c>
      <c r="N282" s="4225">
        <v>453</v>
      </c>
      <c r="O282" s="4225">
        <v>439</v>
      </c>
      <c r="P282" s="4218">
        <v>432129</v>
      </c>
      <c r="Q282" s="4218">
        <v>436126</v>
      </c>
      <c r="R282" s="4220">
        <v>860619</v>
      </c>
      <c r="S282" s="4220"/>
      <c r="T282" s="4219">
        <v>0</v>
      </c>
      <c r="U282" s="5214">
        <v>0</v>
      </c>
      <c r="V282" s="4222"/>
      <c r="W282" s="4224">
        <v>0</v>
      </c>
      <c r="X282" s="4217">
        <v>220</v>
      </c>
      <c r="Y282" s="4223">
        <v>84</v>
      </c>
      <c r="Z282" s="5215">
        <v>0.62</v>
      </c>
      <c r="AA282" s="5215">
        <v>0.41</v>
      </c>
      <c r="AB282" s="5205">
        <v>0.70069999999999999</v>
      </c>
      <c r="AC282" s="4224">
        <v>308850</v>
      </c>
      <c r="AD282" s="4224"/>
      <c r="AE282" s="4224">
        <v>314634</v>
      </c>
      <c r="AF282" s="4225">
        <v>452.5</v>
      </c>
      <c r="AG282" s="4225">
        <v>444.5</v>
      </c>
      <c r="AH282" s="4225">
        <v>11.6</v>
      </c>
      <c r="AI282" s="4225">
        <v>0</v>
      </c>
      <c r="AJ282" s="4225">
        <v>0</v>
      </c>
      <c r="AK282" s="4225">
        <v>0</v>
      </c>
      <c r="AL282" s="4225">
        <v>0</v>
      </c>
      <c r="AM282" s="4221">
        <v>0</v>
      </c>
      <c r="AN282" s="4226">
        <v>0</v>
      </c>
      <c r="AO282" s="4224"/>
      <c r="AP282" s="4224"/>
      <c r="AQ282" s="4224">
        <v>3089098</v>
      </c>
      <c r="AR282" s="4221">
        <v>0.3</v>
      </c>
      <c r="AS282" s="4217">
        <v>4086573</v>
      </c>
      <c r="AT282" s="5216">
        <v>0</v>
      </c>
      <c r="AU282" s="5216">
        <v>0</v>
      </c>
      <c r="AV282" s="4220">
        <v>3089098</v>
      </c>
      <c r="AW282" s="5243">
        <v>53251</v>
      </c>
      <c r="AX282" s="4224"/>
      <c r="AY282" s="5217">
        <v>860619</v>
      </c>
      <c r="AZ282" s="4224"/>
      <c r="BA282" s="4224">
        <v>243929</v>
      </c>
      <c r="BB282" s="4224">
        <v>53251</v>
      </c>
      <c r="BC282" s="5218"/>
      <c r="BD282" s="4217">
        <v>0</v>
      </c>
      <c r="BE282" s="4224">
        <v>3043828</v>
      </c>
    </row>
    <row r="283" spans="1:57">
      <c r="A283" s="3810">
        <v>506</v>
      </c>
      <c r="B283" s="4210" t="s">
        <v>1157</v>
      </c>
      <c r="C283" s="4211" t="s">
        <v>271</v>
      </c>
      <c r="D283" s="4212">
        <v>52500058</v>
      </c>
      <c r="E283" s="4213">
        <v>45631628</v>
      </c>
      <c r="F283" s="4224">
        <v>54344573</v>
      </c>
      <c r="G283" s="4224">
        <v>47490466</v>
      </c>
      <c r="H283" s="4214">
        <v>1479.8</v>
      </c>
      <c r="I283" s="4215">
        <v>1475.7</v>
      </c>
      <c r="J283" s="4216">
        <v>500</v>
      </c>
      <c r="K283" s="4217">
        <v>13076225</v>
      </c>
      <c r="L283" s="4225">
        <v>1534.3</v>
      </c>
      <c r="M283" s="4225">
        <v>1471.3</v>
      </c>
      <c r="N283" s="4225">
        <v>1491.8</v>
      </c>
      <c r="O283" s="4225">
        <v>1484.7</v>
      </c>
      <c r="P283" s="4218">
        <v>1464976</v>
      </c>
      <c r="Q283" s="4218">
        <v>1545824</v>
      </c>
      <c r="R283" s="4220">
        <v>2287865</v>
      </c>
      <c r="S283" s="4220"/>
      <c r="T283" s="4219">
        <v>0</v>
      </c>
      <c r="U283" s="5214">
        <v>0</v>
      </c>
      <c r="V283" s="4222"/>
      <c r="W283" s="4224">
        <v>0</v>
      </c>
      <c r="X283" s="4217">
        <v>676</v>
      </c>
      <c r="Y283" s="4223">
        <v>207</v>
      </c>
      <c r="Z283" s="5215">
        <v>0.62</v>
      </c>
      <c r="AA283" s="5215">
        <v>0.4</v>
      </c>
      <c r="AB283" s="5205">
        <v>0.6946</v>
      </c>
      <c r="AC283" s="4224">
        <v>851820</v>
      </c>
      <c r="AD283" s="4224"/>
      <c r="AE283" s="4224">
        <v>925657</v>
      </c>
      <c r="AF283" s="4225">
        <v>1522.3</v>
      </c>
      <c r="AG283" s="4225">
        <v>1460.3</v>
      </c>
      <c r="AH283" s="4225">
        <v>0</v>
      </c>
      <c r="AI283" s="4225">
        <v>0</v>
      </c>
      <c r="AJ283" s="4225">
        <v>0</v>
      </c>
      <c r="AK283" s="4225">
        <v>0</v>
      </c>
      <c r="AL283" s="4225">
        <v>0</v>
      </c>
      <c r="AM283" s="4221">
        <v>0</v>
      </c>
      <c r="AN283" s="4226">
        <v>0</v>
      </c>
      <c r="AO283" s="4224"/>
      <c r="AP283" s="4224"/>
      <c r="AQ283" s="4224">
        <v>8388307</v>
      </c>
      <c r="AR283" s="4221">
        <v>0.3</v>
      </c>
      <c r="AS283" s="4217">
        <v>11251829</v>
      </c>
      <c r="AT283" s="5216">
        <v>0</v>
      </c>
      <c r="AU283" s="5216">
        <v>0</v>
      </c>
      <c r="AV283" s="4220">
        <v>8388307</v>
      </c>
      <c r="AW283" s="5243">
        <v>175769</v>
      </c>
      <c r="AX283" s="4224"/>
      <c r="AY283" s="5217">
        <v>2287865</v>
      </c>
      <c r="AZ283" s="4224"/>
      <c r="BA283" s="4224">
        <v>707468</v>
      </c>
      <c r="BB283" s="4224">
        <v>175769</v>
      </c>
      <c r="BC283" s="5218"/>
      <c r="BD283" s="4217">
        <v>0</v>
      </c>
      <c r="BE283" s="4224">
        <v>8354754</v>
      </c>
    </row>
    <row r="284" spans="1:57">
      <c r="A284" s="3810">
        <v>507</v>
      </c>
      <c r="B284" s="4210" t="s">
        <v>1158</v>
      </c>
      <c r="C284" s="4211" t="s">
        <v>237</v>
      </c>
      <c r="D284" s="4212">
        <v>127472166</v>
      </c>
      <c r="E284" s="4213">
        <v>126126459</v>
      </c>
      <c r="F284" s="4224">
        <v>68104412</v>
      </c>
      <c r="G284" s="4224">
        <v>66764280</v>
      </c>
      <c r="H284" s="4214">
        <v>287.5</v>
      </c>
      <c r="I284" s="4215">
        <v>294.5</v>
      </c>
      <c r="J284" s="4216">
        <v>250</v>
      </c>
      <c r="K284" s="4217">
        <v>2610317</v>
      </c>
      <c r="L284" s="4225">
        <v>282</v>
      </c>
      <c r="M284" s="4225">
        <v>281</v>
      </c>
      <c r="N284" s="4225">
        <v>293.5</v>
      </c>
      <c r="O284" s="4225">
        <v>299.5</v>
      </c>
      <c r="P284" s="4218">
        <v>162447</v>
      </c>
      <c r="Q284" s="4218">
        <v>163821</v>
      </c>
      <c r="R284" s="4220">
        <v>0</v>
      </c>
      <c r="S284" s="4220"/>
      <c r="T284" s="4219">
        <v>0</v>
      </c>
      <c r="U284" s="5214">
        <v>0</v>
      </c>
      <c r="V284" s="4222"/>
      <c r="W284" s="4224">
        <v>0</v>
      </c>
      <c r="X284" s="4217">
        <v>160</v>
      </c>
      <c r="Y284" s="4223">
        <v>36</v>
      </c>
      <c r="Z284" s="5215">
        <v>0</v>
      </c>
      <c r="AA284" s="5215">
        <v>0</v>
      </c>
      <c r="AB284" s="5205">
        <v>0</v>
      </c>
      <c r="AC284" s="4224">
        <v>224049</v>
      </c>
      <c r="AD284" s="4224"/>
      <c r="AE284" s="4224">
        <v>251857</v>
      </c>
      <c r="AF284" s="4225">
        <v>272</v>
      </c>
      <c r="AG284" s="4225">
        <v>275</v>
      </c>
      <c r="AH284" s="4225">
        <v>0</v>
      </c>
      <c r="AI284" s="4225">
        <v>0</v>
      </c>
      <c r="AJ284" s="4225">
        <v>0</v>
      </c>
      <c r="AK284" s="4225">
        <v>0</v>
      </c>
      <c r="AL284" s="4225">
        <v>0</v>
      </c>
      <c r="AM284" s="4221">
        <v>0</v>
      </c>
      <c r="AN284" s="4226">
        <v>0</v>
      </c>
      <c r="AO284" s="4224"/>
      <c r="AP284" s="4224"/>
      <c r="AQ284" s="4224">
        <v>2157053</v>
      </c>
      <c r="AR284" s="4221">
        <v>0.3</v>
      </c>
      <c r="AS284" s="4217">
        <v>3040440</v>
      </c>
      <c r="AT284" s="5216">
        <v>0</v>
      </c>
      <c r="AU284" s="5216">
        <v>0</v>
      </c>
      <c r="AV284" s="4220">
        <v>2157053</v>
      </c>
      <c r="AW284" s="5243">
        <v>0</v>
      </c>
      <c r="AX284" s="4224"/>
      <c r="AY284" s="5217">
        <v>0</v>
      </c>
      <c r="AZ284" s="4224"/>
      <c r="BA284" s="4224">
        <v>193236</v>
      </c>
      <c r="BB284" s="4224">
        <v>0</v>
      </c>
      <c r="BC284" s="5218"/>
      <c r="BD284" s="4217">
        <v>436648</v>
      </c>
      <c r="BE284" s="4224">
        <v>2148425</v>
      </c>
    </row>
    <row r="285" spans="1:57">
      <c r="A285" s="3810">
        <v>508</v>
      </c>
      <c r="B285" s="4210" t="s">
        <v>1159</v>
      </c>
      <c r="C285" s="4211" t="s">
        <v>253</v>
      </c>
      <c r="D285" s="4212">
        <v>24461651</v>
      </c>
      <c r="E285" s="4213">
        <v>20171217</v>
      </c>
      <c r="F285" s="4224">
        <v>24603999</v>
      </c>
      <c r="G285" s="4224">
        <v>20416093</v>
      </c>
      <c r="H285" s="4214">
        <v>943</v>
      </c>
      <c r="I285" s="4215">
        <v>971.5</v>
      </c>
      <c r="J285" s="4216">
        <v>26</v>
      </c>
      <c r="K285" s="4217">
        <v>9435668</v>
      </c>
      <c r="L285" s="4225">
        <v>991.3</v>
      </c>
      <c r="M285" s="4225">
        <v>971.8</v>
      </c>
      <c r="N285" s="4225">
        <v>983.5</v>
      </c>
      <c r="O285" s="4225">
        <v>998</v>
      </c>
      <c r="P285" s="4218">
        <v>906778</v>
      </c>
      <c r="Q285" s="4218">
        <v>918434</v>
      </c>
      <c r="R285" s="4220">
        <v>1738400</v>
      </c>
      <c r="S285" s="4220"/>
      <c r="T285" s="4219">
        <v>1248</v>
      </c>
      <c r="U285" s="5214">
        <v>864</v>
      </c>
      <c r="V285" s="4222"/>
      <c r="W285" s="4224">
        <v>0</v>
      </c>
      <c r="X285" s="4217">
        <v>551</v>
      </c>
      <c r="Y285" s="4223">
        <v>119</v>
      </c>
      <c r="Z285" s="5215">
        <v>0.74</v>
      </c>
      <c r="AA285" s="5215">
        <v>0.52</v>
      </c>
      <c r="AB285" s="5205">
        <v>0.79430000000000001</v>
      </c>
      <c r="AC285" s="4224">
        <v>554000</v>
      </c>
      <c r="AD285" s="4224"/>
      <c r="AE285" s="4224">
        <v>633697</v>
      </c>
      <c r="AF285" s="4225">
        <v>957.5</v>
      </c>
      <c r="AG285" s="4225">
        <v>944.5</v>
      </c>
      <c r="AH285" s="4225">
        <v>29.9</v>
      </c>
      <c r="AI285" s="4225">
        <v>0</v>
      </c>
      <c r="AJ285" s="4225">
        <v>0</v>
      </c>
      <c r="AK285" s="4225">
        <v>0</v>
      </c>
      <c r="AL285" s="4225">
        <v>71.3</v>
      </c>
      <c r="AM285" s="4221">
        <v>0</v>
      </c>
      <c r="AN285" s="4226">
        <v>0</v>
      </c>
      <c r="AO285" s="4224"/>
      <c r="AP285" s="4224"/>
      <c r="AQ285" s="4224">
        <v>6345380</v>
      </c>
      <c r="AR285" s="4221">
        <v>0.27789999999999998</v>
      </c>
      <c r="AS285" s="4217">
        <v>8168904</v>
      </c>
      <c r="AT285" s="5216">
        <v>0</v>
      </c>
      <c r="AU285" s="5216">
        <v>0</v>
      </c>
      <c r="AV285" s="4220">
        <v>6345380</v>
      </c>
      <c r="AW285" s="5243">
        <v>25707</v>
      </c>
      <c r="AX285" s="4224"/>
      <c r="AY285" s="5217">
        <v>1738400</v>
      </c>
      <c r="AZ285" s="4224"/>
      <c r="BA285" s="4224">
        <v>484202</v>
      </c>
      <c r="BB285" s="4224">
        <v>25707</v>
      </c>
      <c r="BC285" s="5218"/>
      <c r="BD285" s="4217">
        <v>0</v>
      </c>
      <c r="BE285" s="4224">
        <v>6266504</v>
      </c>
    </row>
    <row r="286" spans="1:57">
      <c r="A286" s="3810">
        <v>509</v>
      </c>
      <c r="B286" s="4210" t="s">
        <v>1160</v>
      </c>
      <c r="C286" s="4211" t="s">
        <v>228</v>
      </c>
      <c r="D286" s="4212">
        <v>9995499</v>
      </c>
      <c r="E286" s="4213">
        <v>9227909</v>
      </c>
      <c r="F286" s="4224">
        <v>9039719</v>
      </c>
      <c r="G286" s="4224">
        <v>8249834</v>
      </c>
      <c r="H286" s="4214">
        <v>177.5</v>
      </c>
      <c r="I286" s="4215">
        <v>185.7</v>
      </c>
      <c r="J286" s="4216">
        <v>150</v>
      </c>
      <c r="K286" s="4217">
        <v>2241051</v>
      </c>
      <c r="L286" s="4225">
        <v>189.5</v>
      </c>
      <c r="M286" s="4225">
        <v>173</v>
      </c>
      <c r="N286" s="4225">
        <v>179.5</v>
      </c>
      <c r="O286" s="4225">
        <v>191.5</v>
      </c>
      <c r="P286" s="4218">
        <v>246641</v>
      </c>
      <c r="Q286" s="4218">
        <v>279720</v>
      </c>
      <c r="R286" s="4220">
        <v>295947</v>
      </c>
      <c r="S286" s="4220"/>
      <c r="T286" s="4219">
        <v>4491</v>
      </c>
      <c r="U286" s="5214">
        <v>6725</v>
      </c>
      <c r="V286" s="4222"/>
      <c r="W286" s="4224">
        <v>31675</v>
      </c>
      <c r="X286" s="4217">
        <v>71</v>
      </c>
      <c r="Y286" s="4223">
        <v>30</v>
      </c>
      <c r="Z286" s="5215">
        <v>0.52</v>
      </c>
      <c r="AA286" s="5215">
        <v>0.3</v>
      </c>
      <c r="AB286" s="5205">
        <v>0.61409999999999998</v>
      </c>
      <c r="AC286" s="4224">
        <v>133429</v>
      </c>
      <c r="AD286" s="4224"/>
      <c r="AE286" s="4224">
        <v>140654</v>
      </c>
      <c r="AF286" s="4225">
        <v>188</v>
      </c>
      <c r="AG286" s="4225">
        <v>171.5</v>
      </c>
      <c r="AH286" s="4225">
        <v>0</v>
      </c>
      <c r="AI286" s="4225">
        <v>0</v>
      </c>
      <c r="AJ286" s="4225">
        <v>0</v>
      </c>
      <c r="AK286" s="4225">
        <v>0</v>
      </c>
      <c r="AL286" s="4225">
        <v>0</v>
      </c>
      <c r="AM286" s="4221">
        <v>0</v>
      </c>
      <c r="AN286" s="4226">
        <v>0</v>
      </c>
      <c r="AO286" s="4224"/>
      <c r="AP286" s="4224"/>
      <c r="AQ286" s="4224">
        <v>1496592</v>
      </c>
      <c r="AR286" s="4221">
        <v>0.31</v>
      </c>
      <c r="AS286" s="4217">
        <v>2074966</v>
      </c>
      <c r="AT286" s="5216">
        <v>0</v>
      </c>
      <c r="AU286" s="5216">
        <v>0</v>
      </c>
      <c r="AV286" s="4220">
        <v>1496592</v>
      </c>
      <c r="AW286" s="5243">
        <v>13911</v>
      </c>
      <c r="AX286" s="4224"/>
      <c r="AY286" s="5217">
        <v>295947</v>
      </c>
      <c r="AZ286" s="4224"/>
      <c r="BA286" s="4224">
        <v>107534</v>
      </c>
      <c r="BB286" s="4224">
        <v>13329</v>
      </c>
      <c r="BC286" s="5218"/>
      <c r="BD286" s="4217">
        <v>7352</v>
      </c>
      <c r="BE286" s="4224">
        <v>1510600</v>
      </c>
    </row>
    <row r="287" spans="1:57">
      <c r="A287" s="3810">
        <v>511</v>
      </c>
      <c r="B287" s="4210" t="s">
        <v>1161</v>
      </c>
      <c r="C287" s="4211" t="s">
        <v>230</v>
      </c>
      <c r="D287" s="4212">
        <v>15661680</v>
      </c>
      <c r="E287" s="4213">
        <v>14820901</v>
      </c>
      <c r="F287" s="4224">
        <v>12841795</v>
      </c>
      <c r="G287" s="4224">
        <v>11989023</v>
      </c>
      <c r="H287" s="4214">
        <v>155.1</v>
      </c>
      <c r="I287" s="4215">
        <v>151.5</v>
      </c>
      <c r="J287" s="4216">
        <v>126</v>
      </c>
      <c r="K287" s="4217">
        <v>1552890</v>
      </c>
      <c r="L287" s="4225">
        <v>155.5</v>
      </c>
      <c r="M287" s="4225">
        <v>157.5</v>
      </c>
      <c r="N287" s="4225">
        <v>155.1</v>
      </c>
      <c r="O287" s="4225">
        <v>151.5</v>
      </c>
      <c r="P287" s="4218">
        <v>184885</v>
      </c>
      <c r="Q287" s="4218">
        <v>187367</v>
      </c>
      <c r="R287" s="4220">
        <v>84305</v>
      </c>
      <c r="S287" s="4220"/>
      <c r="T287" s="4219">
        <v>0</v>
      </c>
      <c r="U287" s="5214">
        <v>0</v>
      </c>
      <c r="V287" s="4222"/>
      <c r="W287" s="4224">
        <v>0</v>
      </c>
      <c r="X287" s="4217">
        <v>64</v>
      </c>
      <c r="Y287" s="4223">
        <v>12</v>
      </c>
      <c r="Z287" s="5215">
        <v>0.15</v>
      </c>
      <c r="AA287" s="5215">
        <v>0</v>
      </c>
      <c r="AB287" s="5205">
        <v>0.30819999999999997</v>
      </c>
      <c r="AC287" s="4224">
        <v>91653</v>
      </c>
      <c r="AD287" s="4224"/>
      <c r="AE287" s="4224">
        <v>123494</v>
      </c>
      <c r="AF287" s="4225">
        <v>155.5</v>
      </c>
      <c r="AG287" s="4225">
        <v>157.5</v>
      </c>
      <c r="AH287" s="4225">
        <v>0</v>
      </c>
      <c r="AI287" s="4225">
        <v>0</v>
      </c>
      <c r="AJ287" s="4225">
        <v>0</v>
      </c>
      <c r="AK287" s="4225">
        <v>0</v>
      </c>
      <c r="AL287" s="4225">
        <v>0</v>
      </c>
      <c r="AM287" s="4221">
        <v>0</v>
      </c>
      <c r="AN287" s="4226">
        <v>0</v>
      </c>
      <c r="AO287" s="4224"/>
      <c r="AP287" s="4224"/>
      <c r="AQ287" s="4224">
        <v>1183268</v>
      </c>
      <c r="AR287" s="4221">
        <v>0.3</v>
      </c>
      <c r="AS287" s="4217">
        <v>1604623</v>
      </c>
      <c r="AT287" s="5216">
        <v>0</v>
      </c>
      <c r="AU287" s="5216">
        <v>0</v>
      </c>
      <c r="AV287" s="4220">
        <v>1183268</v>
      </c>
      <c r="AW287" s="5243">
        <v>0</v>
      </c>
      <c r="AX287" s="4224"/>
      <c r="AY287" s="5217">
        <v>74068</v>
      </c>
      <c r="AZ287" s="4224"/>
      <c r="BA287" s="4224">
        <v>86881</v>
      </c>
      <c r="BB287" s="4224">
        <v>0</v>
      </c>
      <c r="BC287" s="5218"/>
      <c r="BD287" s="4217">
        <v>0</v>
      </c>
      <c r="BE287" s="4224">
        <v>1165880</v>
      </c>
    </row>
    <row r="288" spans="1:57">
      <c r="A288" s="3810">
        <v>512</v>
      </c>
      <c r="B288" s="4210" t="s">
        <v>1162</v>
      </c>
      <c r="C288" s="4211" t="s">
        <v>188</v>
      </c>
      <c r="D288" s="4212">
        <v>3022419952</v>
      </c>
      <c r="E288" s="4213">
        <v>2852191375</v>
      </c>
      <c r="F288" s="4224">
        <v>3192909126</v>
      </c>
      <c r="G288" s="4224">
        <v>3022450034</v>
      </c>
      <c r="H288" s="4214">
        <v>26229.1</v>
      </c>
      <c r="I288" s="4215">
        <v>26413.1</v>
      </c>
      <c r="J288" s="4216">
        <v>72</v>
      </c>
      <c r="K288" s="4217">
        <v>168545917</v>
      </c>
      <c r="L288" s="4225">
        <v>26233.9</v>
      </c>
      <c r="M288" s="4225">
        <v>26151.5</v>
      </c>
      <c r="N288" s="4225">
        <v>26280.1</v>
      </c>
      <c r="O288" s="4225">
        <v>26464.1</v>
      </c>
      <c r="P288" s="4218">
        <v>17488188</v>
      </c>
      <c r="Q288" s="4218">
        <v>17834470</v>
      </c>
      <c r="R288" s="4220">
        <v>3378132</v>
      </c>
      <c r="S288" s="4220"/>
      <c r="T288" s="4219">
        <v>0</v>
      </c>
      <c r="U288" s="5214">
        <v>0</v>
      </c>
      <c r="V288" s="4222"/>
      <c r="W288" s="4224">
        <v>0</v>
      </c>
      <c r="X288" s="4217">
        <v>8221</v>
      </c>
      <c r="Y288" s="4223">
        <v>2071</v>
      </c>
      <c r="Z288" s="5215">
        <v>0</v>
      </c>
      <c r="AA288" s="5215">
        <v>0</v>
      </c>
      <c r="AB288" s="5205">
        <v>2.63E-2</v>
      </c>
      <c r="AC288" s="4224">
        <v>17116847</v>
      </c>
      <c r="AD288" s="4224"/>
      <c r="AE288" s="4224">
        <v>18806498</v>
      </c>
      <c r="AF288" s="4225">
        <v>26185.9</v>
      </c>
      <c r="AG288" s="4225">
        <v>26100</v>
      </c>
      <c r="AH288" s="4225">
        <v>0</v>
      </c>
      <c r="AI288" s="4225">
        <v>1332.4</v>
      </c>
      <c r="AJ288" s="4225">
        <v>827.4</v>
      </c>
      <c r="AK288" s="4225">
        <v>0</v>
      </c>
      <c r="AL288" s="4225">
        <v>0</v>
      </c>
      <c r="AM288" s="4227">
        <v>3.73E-2</v>
      </c>
      <c r="AN288" s="4226">
        <v>0</v>
      </c>
      <c r="AO288" s="4224"/>
      <c r="AP288" s="4224"/>
      <c r="AQ288" s="4224">
        <v>132870804</v>
      </c>
      <c r="AR288" s="4221">
        <v>0.31</v>
      </c>
      <c r="AS288" s="4217">
        <v>181175783</v>
      </c>
      <c r="AT288" s="5216">
        <v>3187219</v>
      </c>
      <c r="AU288" s="5216">
        <v>0</v>
      </c>
      <c r="AV288" s="4220">
        <v>132870804</v>
      </c>
      <c r="AW288" s="5243">
        <v>0</v>
      </c>
      <c r="AX288" s="4224"/>
      <c r="AY288" s="5217">
        <v>3013316</v>
      </c>
      <c r="AZ288" s="4224"/>
      <c r="BA288" s="4224">
        <v>14272374</v>
      </c>
      <c r="BB288" s="4224">
        <v>0</v>
      </c>
      <c r="BC288" s="5218"/>
      <c r="BD288" s="4217">
        <v>0</v>
      </c>
      <c r="BE288" s="4224">
        <v>133219087</v>
      </c>
    </row>
    <row r="289" spans="1:31">
      <c r="A289" s="3584"/>
      <c r="B289" s="3584"/>
      <c r="C289" s="3584"/>
      <c r="D289" s="3586"/>
      <c r="E289" s="3586"/>
      <c r="F289" s="3585"/>
      <c r="G289" s="3585"/>
      <c r="H289" s="3586"/>
      <c r="I289" s="3586"/>
      <c r="J289" s="3586"/>
      <c r="K289" s="3585"/>
      <c r="L289" s="3585"/>
      <c r="M289" s="3585"/>
      <c r="N289" s="3585"/>
      <c r="O289" s="3585"/>
      <c r="P289" s="3585"/>
      <c r="Q289" s="3585"/>
      <c r="R289" s="3586"/>
      <c r="S289" s="3586"/>
      <c r="T289" s="3586"/>
      <c r="U289" s="3586"/>
      <c r="V289" s="3586"/>
      <c r="W289" s="3586"/>
      <c r="X289" s="3611"/>
      <c r="Y289" s="3611"/>
      <c r="Z289" s="3587"/>
      <c r="AA289" s="3587"/>
      <c r="AB289" s="3586"/>
      <c r="AC289" s="3586"/>
      <c r="AD289" s="3586"/>
      <c r="AE289" s="3586"/>
    </row>
    <row r="290" spans="1:31">
      <c r="A290" s="3584"/>
      <c r="B290" s="3584"/>
      <c r="C290" s="3584"/>
      <c r="D290" s="3586"/>
      <c r="E290" s="3586"/>
      <c r="F290" s="3586"/>
      <c r="G290" s="3586"/>
      <c r="H290" s="3586"/>
      <c r="I290" s="3586"/>
      <c r="J290" s="3586"/>
      <c r="K290" s="3586"/>
      <c r="L290" s="3586"/>
      <c r="M290" s="3586"/>
      <c r="N290" s="3586"/>
      <c r="O290" s="3586"/>
      <c r="P290" s="3586"/>
      <c r="Q290" s="3585"/>
      <c r="R290" s="3586"/>
      <c r="S290" s="3586"/>
      <c r="T290" s="3586"/>
      <c r="U290" s="3586"/>
      <c r="V290" s="3586"/>
      <c r="W290" s="3586"/>
      <c r="X290" s="3611"/>
      <c r="Y290" s="3611"/>
      <c r="Z290" s="3586"/>
      <c r="AA290" s="3586"/>
      <c r="AB290" s="3586"/>
      <c r="AC290" s="3586"/>
      <c r="AD290" s="3586"/>
      <c r="AE290" s="3586"/>
    </row>
  </sheetData>
  <sheetProtection algorithmName="SHA-512" hashValue="4/dAe+zSUYyMUKBsH7ezrKrlhwbW1app5ui7aWy+8uNjzeFC8XcnO/HLg5pI/0Yl8aEVpRyowDSL897Q1UeCiw==" saltValue="42V5LDFI7ZHaMkyU+kvtgg==" spinCount="100000" sheet="1" objects="1" scenarios="1"/>
  <pageMargins left="0.7" right="0.7" top="0.75" bottom="0.75" header="0.3" footer="0.3"/>
  <pageSetup orientation="portrait" r:id="rId1"/>
  <headerFooter>
    <oddHeader>&amp;CIntentionally left blank</oddHeader>
  </headerFooter>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dimension ref="A1:AP288"/>
  <sheetViews>
    <sheetView workbookViewId="0">
      <selection activeCell="AT16" sqref="AT16"/>
    </sheetView>
  </sheetViews>
  <sheetFormatPr defaultRowHeight="12.75"/>
  <cols>
    <col min="1" max="1" width="9.28515625" style="2697" bestFit="1" customWidth="1"/>
    <col min="2" max="2" width="11" style="2697" bestFit="1" customWidth="1"/>
    <col min="3" max="3" width="15.42578125" style="2697" bestFit="1" customWidth="1"/>
    <col min="4" max="4" width="14.5703125" style="2697" bestFit="1" customWidth="1"/>
    <col min="5" max="5" width="14.42578125" style="2697" bestFit="1" customWidth="1"/>
    <col min="6" max="6" width="15.42578125" style="2697" bestFit="1" customWidth="1"/>
    <col min="7" max="7" width="13.7109375" style="2697" bestFit="1" customWidth="1"/>
    <col min="8" max="9" width="13.28515625" style="2697" bestFit="1" customWidth="1"/>
    <col min="10" max="10" width="19.28515625" style="2697" bestFit="1" customWidth="1"/>
    <col min="11" max="11" width="14.85546875" style="2697" bestFit="1" customWidth="1"/>
    <col min="12" max="12" width="16.28515625" style="2697" bestFit="1" customWidth="1"/>
    <col min="13" max="13" width="18.5703125" style="2697" bestFit="1" customWidth="1"/>
    <col min="14" max="14" width="16.28515625" style="2697" bestFit="1" customWidth="1"/>
    <col min="15" max="15" width="21" style="2697" bestFit="1" customWidth="1"/>
    <col min="16" max="16" width="16.140625" style="2697" bestFit="1" customWidth="1"/>
    <col min="17" max="17" width="23.42578125" style="2697" bestFit="1" customWidth="1"/>
    <col min="18" max="18" width="18.42578125" style="2697" bestFit="1" customWidth="1"/>
    <col min="19" max="19" width="14.5703125" style="2697" bestFit="1" customWidth="1"/>
    <col min="20" max="21" width="11" style="2697" bestFit="1" customWidth="1"/>
    <col min="22" max="22" width="15.42578125" style="2697" bestFit="1" customWidth="1"/>
    <col min="23" max="23" width="14.5703125" style="2697" bestFit="1" customWidth="1"/>
    <col min="24" max="24" width="14.42578125" style="2697" bestFit="1" customWidth="1"/>
    <col min="25" max="25" width="15.42578125" style="2697" bestFit="1" customWidth="1"/>
    <col min="26" max="26" width="13.7109375" style="2697" bestFit="1" customWidth="1"/>
    <col min="27" max="28" width="13.28515625" style="2697" bestFit="1" customWidth="1"/>
    <col min="29" max="29" width="19.28515625" style="2697" bestFit="1" customWidth="1"/>
    <col min="30" max="30" width="14.85546875" style="2697" bestFit="1" customWidth="1"/>
    <col min="31" max="31" width="16.28515625" style="2697" bestFit="1" customWidth="1"/>
    <col min="32" max="32" width="18.5703125" style="2697" bestFit="1" customWidth="1"/>
    <col min="33" max="33" width="16.28515625" style="2697" bestFit="1" customWidth="1"/>
    <col min="34" max="34" width="21" style="2697" bestFit="1" customWidth="1"/>
    <col min="35" max="35" width="16.140625" style="2697" bestFit="1" customWidth="1"/>
    <col min="36" max="36" width="23.42578125" style="2697" bestFit="1" customWidth="1"/>
    <col min="37" max="37" width="18.42578125" style="2697" bestFit="1" customWidth="1"/>
    <col min="38" max="38" width="14.5703125" style="2697" bestFit="1" customWidth="1"/>
    <col min="39" max="39" width="11" style="2697" bestFit="1" customWidth="1"/>
    <col min="40" max="16384" width="9.140625" style="2697"/>
  </cols>
  <sheetData>
    <row r="1" spans="1:42">
      <c r="A1" s="5115" t="s">
        <v>1521</v>
      </c>
      <c r="B1" s="5116" t="s">
        <v>1808</v>
      </c>
      <c r="C1" s="5116" t="s">
        <v>1809</v>
      </c>
      <c r="D1" s="5116" t="s">
        <v>1810</v>
      </c>
      <c r="E1" s="5116" t="s">
        <v>1811</v>
      </c>
      <c r="F1" s="5116" t="s">
        <v>1812</v>
      </c>
      <c r="G1" s="5116" t="s">
        <v>1813</v>
      </c>
      <c r="H1" s="5116" t="s">
        <v>1814</v>
      </c>
      <c r="I1" s="5116" t="s">
        <v>1815</v>
      </c>
      <c r="J1" s="5116" t="s">
        <v>1816</v>
      </c>
      <c r="K1" s="5116" t="s">
        <v>1817</v>
      </c>
      <c r="L1" s="5116" t="s">
        <v>1818</v>
      </c>
      <c r="M1" s="5116" t="s">
        <v>1819</v>
      </c>
      <c r="N1" s="5116" t="s">
        <v>1820</v>
      </c>
      <c r="O1" s="5116" t="s">
        <v>1821</v>
      </c>
      <c r="P1" s="5116" t="s">
        <v>1822</v>
      </c>
      <c r="Q1" s="5116" t="s">
        <v>1940</v>
      </c>
      <c r="R1" s="5116" t="s">
        <v>1823</v>
      </c>
      <c r="S1" s="5116" t="s">
        <v>1824</v>
      </c>
      <c r="T1" s="5116" t="s">
        <v>1825</v>
      </c>
      <c r="U1" s="5117" t="s">
        <v>1826</v>
      </c>
      <c r="V1" s="5117" t="s">
        <v>1827</v>
      </c>
      <c r="W1" s="5117" t="s">
        <v>1828</v>
      </c>
      <c r="X1" s="5117" t="s">
        <v>1829</v>
      </c>
      <c r="Y1" s="5117" t="s">
        <v>1830</v>
      </c>
      <c r="Z1" s="5117" t="s">
        <v>1831</v>
      </c>
      <c r="AA1" s="5117" t="s">
        <v>1832</v>
      </c>
      <c r="AB1" s="5117" t="s">
        <v>1833</v>
      </c>
      <c r="AC1" s="5117" t="s">
        <v>1834</v>
      </c>
      <c r="AD1" s="5117" t="s">
        <v>1835</v>
      </c>
      <c r="AE1" s="5117" t="s">
        <v>1836</v>
      </c>
      <c r="AF1" s="5117" t="s">
        <v>1837</v>
      </c>
      <c r="AG1" s="5117" t="s">
        <v>1838</v>
      </c>
      <c r="AH1" s="5117" t="s">
        <v>1839</v>
      </c>
      <c r="AI1" s="5117" t="s">
        <v>1840</v>
      </c>
      <c r="AJ1" s="5117" t="s">
        <v>1941</v>
      </c>
      <c r="AK1" s="5117" t="s">
        <v>1841</v>
      </c>
      <c r="AL1" s="5117" t="s">
        <v>1842</v>
      </c>
      <c r="AM1" s="5117" t="s">
        <v>1843</v>
      </c>
      <c r="AN1" s="5117"/>
      <c r="AO1" s="5117" t="s">
        <v>2567</v>
      </c>
      <c r="AP1" s="5117"/>
    </row>
    <row r="2" spans="1:42" ht="13.5" thickBot="1">
      <c r="A2" s="5118" t="s">
        <v>1019</v>
      </c>
      <c r="B2" s="5119" t="s">
        <v>1903</v>
      </c>
      <c r="C2" s="5119" t="s">
        <v>1904</v>
      </c>
      <c r="D2" s="5119" t="s">
        <v>1905</v>
      </c>
      <c r="E2" s="5119" t="s">
        <v>1906</v>
      </c>
      <c r="F2" s="5119" t="s">
        <v>1907</v>
      </c>
      <c r="G2" s="5119" t="s">
        <v>1908</v>
      </c>
      <c r="H2" s="5119" t="s">
        <v>1909</v>
      </c>
      <c r="I2" s="5119" t="s">
        <v>1910</v>
      </c>
      <c r="J2" s="5119" t="s">
        <v>1911</v>
      </c>
      <c r="K2" s="5119" t="s">
        <v>1912</v>
      </c>
      <c r="L2" s="5119" t="s">
        <v>1913</v>
      </c>
      <c r="M2" s="5119" t="s">
        <v>1914</v>
      </c>
      <c r="N2" s="5119" t="s">
        <v>1915</v>
      </c>
      <c r="O2" s="5119" t="s">
        <v>1916</v>
      </c>
      <c r="P2" s="5120" t="s">
        <v>1917</v>
      </c>
      <c r="Q2" s="5120" t="s">
        <v>1918</v>
      </c>
      <c r="R2" s="5119" t="s">
        <v>1919</v>
      </c>
      <c r="S2" s="5119" t="s">
        <v>1920</v>
      </c>
      <c r="T2" s="5119" t="s">
        <v>1921</v>
      </c>
      <c r="U2" s="5119" t="s">
        <v>1903</v>
      </c>
      <c r="V2" s="5119" t="s">
        <v>2568</v>
      </c>
      <c r="W2" s="5119" t="s">
        <v>2569</v>
      </c>
      <c r="X2" s="5119" t="s">
        <v>2570</v>
      </c>
      <c r="Y2" s="5119" t="s">
        <v>2571</v>
      </c>
      <c r="Z2" s="5119" t="s">
        <v>2572</v>
      </c>
      <c r="AA2" s="5119" t="s">
        <v>2573</v>
      </c>
      <c r="AB2" s="5119" t="s">
        <v>2574</v>
      </c>
      <c r="AC2" s="5119" t="s">
        <v>2575</v>
      </c>
      <c r="AD2" s="5119" t="s">
        <v>2576</v>
      </c>
      <c r="AE2" s="5119" t="s">
        <v>2577</v>
      </c>
      <c r="AF2" s="5119" t="s">
        <v>2578</v>
      </c>
      <c r="AG2" s="5119" t="s">
        <v>2579</v>
      </c>
      <c r="AH2" s="5119" t="s">
        <v>2580</v>
      </c>
      <c r="AI2" s="5120" t="s">
        <v>2581</v>
      </c>
      <c r="AJ2" s="5120" t="s">
        <v>2582</v>
      </c>
      <c r="AK2" s="5119" t="s">
        <v>2583</v>
      </c>
      <c r="AL2" s="5119" t="s">
        <v>2584</v>
      </c>
      <c r="AM2" s="5119" t="s">
        <v>2585</v>
      </c>
      <c r="AN2" s="5117" t="s">
        <v>1186</v>
      </c>
      <c r="AO2" s="5117" t="s">
        <v>2586</v>
      </c>
      <c r="AP2" s="5117" t="s">
        <v>2587</v>
      </c>
    </row>
    <row r="3" spans="1:42">
      <c r="A3" s="5121">
        <v>101</v>
      </c>
      <c r="B3" s="5122">
        <v>20</v>
      </c>
      <c r="C3" s="5123">
        <v>20.077000000000002</v>
      </c>
      <c r="D3" s="5123">
        <v>0</v>
      </c>
      <c r="E3" s="5123">
        <v>0</v>
      </c>
      <c r="F3" s="5123">
        <v>0</v>
      </c>
      <c r="G3" s="5123">
        <v>0</v>
      </c>
      <c r="H3" s="5123">
        <v>38.848999999999997</v>
      </c>
      <c r="I3" s="5123">
        <v>0</v>
      </c>
      <c r="J3" s="5123">
        <v>0</v>
      </c>
      <c r="K3" s="5123">
        <v>0</v>
      </c>
      <c r="L3" s="5123">
        <v>0</v>
      </c>
      <c r="M3" s="5123">
        <v>0</v>
      </c>
      <c r="N3" s="5123">
        <v>0</v>
      </c>
      <c r="O3" s="5123">
        <v>0</v>
      </c>
      <c r="P3" s="5123">
        <v>0</v>
      </c>
      <c r="Q3" s="5123">
        <v>0</v>
      </c>
      <c r="R3" s="5123">
        <v>0</v>
      </c>
      <c r="S3" s="5123">
        <v>0</v>
      </c>
      <c r="T3" s="5123">
        <v>0</v>
      </c>
      <c r="U3" s="5122">
        <v>20</v>
      </c>
      <c r="V3" s="5123">
        <v>23.119</v>
      </c>
      <c r="W3" s="5123">
        <v>0</v>
      </c>
      <c r="X3" s="5123">
        <v>3.9990000000000001</v>
      </c>
      <c r="Y3" s="5123">
        <v>0</v>
      </c>
      <c r="Z3" s="5123">
        <v>0</v>
      </c>
      <c r="AA3" s="5123">
        <v>27.74</v>
      </c>
      <c r="AB3" s="5123">
        <v>0</v>
      </c>
      <c r="AC3" s="5123">
        <v>0</v>
      </c>
      <c r="AD3" s="5123">
        <v>0</v>
      </c>
      <c r="AE3" s="5123">
        <v>0</v>
      </c>
      <c r="AF3" s="5123">
        <v>0</v>
      </c>
      <c r="AG3" s="5123">
        <v>0</v>
      </c>
      <c r="AH3" s="5123">
        <v>0</v>
      </c>
      <c r="AI3" s="5123">
        <v>0</v>
      </c>
      <c r="AJ3" s="5123">
        <v>0</v>
      </c>
      <c r="AK3" s="5123">
        <v>0</v>
      </c>
      <c r="AL3" s="5123">
        <v>0</v>
      </c>
      <c r="AM3" s="5123">
        <v>0</v>
      </c>
      <c r="AN3" s="5124">
        <f>SUM(U3:AM3)</f>
        <v>74.858000000000004</v>
      </c>
      <c r="AO3" s="5125">
        <v>74.858000000000004</v>
      </c>
      <c r="AP3" s="5126">
        <f>AN3-AO3</f>
        <v>0</v>
      </c>
    </row>
    <row r="4" spans="1:42">
      <c r="A4" s="5121">
        <v>102</v>
      </c>
      <c r="B4" s="5122">
        <v>20</v>
      </c>
      <c r="C4" s="5123">
        <v>15.486000000000001</v>
      </c>
      <c r="D4" s="5123">
        <v>0</v>
      </c>
      <c r="E4" s="5123">
        <v>4</v>
      </c>
      <c r="F4" s="5123">
        <v>0</v>
      </c>
      <c r="G4" s="5123">
        <v>0</v>
      </c>
      <c r="H4" s="5123">
        <v>5.6669999999999998</v>
      </c>
      <c r="I4" s="5123">
        <v>0</v>
      </c>
      <c r="J4" s="5123">
        <v>0</v>
      </c>
      <c r="K4" s="5123">
        <v>0</v>
      </c>
      <c r="L4" s="5123">
        <v>0</v>
      </c>
      <c r="M4" s="5123">
        <v>0</v>
      </c>
      <c r="N4" s="5123">
        <v>0</v>
      </c>
      <c r="O4" s="5123">
        <v>0</v>
      </c>
      <c r="P4" s="5123">
        <v>0</v>
      </c>
      <c r="Q4" s="5123">
        <v>0</v>
      </c>
      <c r="R4" s="5123">
        <v>0</v>
      </c>
      <c r="S4" s="5123">
        <v>0</v>
      </c>
      <c r="T4" s="5123">
        <v>0</v>
      </c>
      <c r="U4" s="5122">
        <v>20</v>
      </c>
      <c r="V4" s="5123">
        <v>16.448</v>
      </c>
      <c r="W4" s="5123">
        <v>0</v>
      </c>
      <c r="X4" s="5123">
        <v>4</v>
      </c>
      <c r="Y4" s="5123">
        <v>0</v>
      </c>
      <c r="Z4" s="5123">
        <v>0</v>
      </c>
      <c r="AA4" s="5123">
        <v>3.387</v>
      </c>
      <c r="AB4" s="5123">
        <v>0</v>
      </c>
      <c r="AC4" s="5123">
        <v>0</v>
      </c>
      <c r="AD4" s="5123">
        <v>0</v>
      </c>
      <c r="AE4" s="5123">
        <v>0</v>
      </c>
      <c r="AF4" s="5123">
        <v>0</v>
      </c>
      <c r="AG4" s="5123">
        <v>0</v>
      </c>
      <c r="AH4" s="5123">
        <v>0</v>
      </c>
      <c r="AI4" s="5123">
        <v>0</v>
      </c>
      <c r="AJ4" s="5123">
        <v>0</v>
      </c>
      <c r="AK4" s="5123">
        <v>0</v>
      </c>
      <c r="AL4" s="5123">
        <v>0</v>
      </c>
      <c r="AM4" s="5123">
        <v>0</v>
      </c>
      <c r="AN4" s="5124">
        <f t="shared" ref="AN4:AN67" si="0">SUM(U4:AM4)</f>
        <v>43.835000000000001</v>
      </c>
      <c r="AO4" s="5125">
        <v>43.835000000000001</v>
      </c>
      <c r="AP4" s="5126">
        <f t="shared" ref="AP4:AP67" si="1">AN4-AO4</f>
        <v>0</v>
      </c>
    </row>
    <row r="5" spans="1:42">
      <c r="A5" s="5121">
        <v>103</v>
      </c>
      <c r="B5" s="5122">
        <v>20</v>
      </c>
      <c r="C5" s="5123">
        <v>11.016</v>
      </c>
      <c r="D5" s="5123">
        <v>0</v>
      </c>
      <c r="E5" s="5123">
        <v>8</v>
      </c>
      <c r="F5" s="5123">
        <v>0</v>
      </c>
      <c r="G5" s="5123">
        <v>0</v>
      </c>
      <c r="H5" s="5123">
        <v>0</v>
      </c>
      <c r="I5" s="5123">
        <v>0</v>
      </c>
      <c r="J5" s="5123">
        <v>0</v>
      </c>
      <c r="K5" s="5123">
        <v>0</v>
      </c>
      <c r="L5" s="5123">
        <v>0</v>
      </c>
      <c r="M5" s="5123">
        <v>0</v>
      </c>
      <c r="N5" s="5123">
        <v>0</v>
      </c>
      <c r="O5" s="5123">
        <v>0</v>
      </c>
      <c r="P5" s="5123">
        <v>1.1000000000000001</v>
      </c>
      <c r="Q5" s="5123">
        <v>0</v>
      </c>
      <c r="R5" s="5123">
        <v>0</v>
      </c>
      <c r="S5" s="5123">
        <v>0</v>
      </c>
      <c r="T5" s="5123">
        <v>0</v>
      </c>
      <c r="U5" s="5122">
        <v>20</v>
      </c>
      <c r="V5" s="5123">
        <v>13.654</v>
      </c>
      <c r="W5" s="5123">
        <v>0</v>
      </c>
      <c r="X5" s="5123">
        <v>7.97</v>
      </c>
      <c r="Y5" s="5123">
        <v>0</v>
      </c>
      <c r="Z5" s="5123">
        <v>0</v>
      </c>
      <c r="AA5" s="5123">
        <v>0</v>
      </c>
      <c r="AB5" s="5123">
        <v>0</v>
      </c>
      <c r="AC5" s="5123">
        <v>0</v>
      </c>
      <c r="AD5" s="5123">
        <v>0</v>
      </c>
      <c r="AE5" s="5123">
        <v>0</v>
      </c>
      <c r="AF5" s="5123">
        <v>0</v>
      </c>
      <c r="AG5" s="5123">
        <v>0</v>
      </c>
      <c r="AH5" s="5123">
        <v>0</v>
      </c>
      <c r="AI5" s="5123">
        <v>1.0960000000000001</v>
      </c>
      <c r="AJ5" s="5123">
        <v>0</v>
      </c>
      <c r="AK5" s="5123">
        <v>0</v>
      </c>
      <c r="AL5" s="5123">
        <v>0</v>
      </c>
      <c r="AM5" s="5123">
        <v>0</v>
      </c>
      <c r="AN5" s="5124">
        <f t="shared" si="0"/>
        <v>42.72</v>
      </c>
      <c r="AO5" s="5125">
        <v>42.72</v>
      </c>
      <c r="AP5" s="5126">
        <f t="shared" si="1"/>
        <v>0</v>
      </c>
    </row>
    <row r="6" spans="1:42">
      <c r="A6" s="5121">
        <v>105</v>
      </c>
      <c r="B6" s="5122">
        <v>20</v>
      </c>
      <c r="C6" s="5123">
        <v>14.566000000000001</v>
      </c>
      <c r="D6" s="5123">
        <v>0</v>
      </c>
      <c r="E6" s="5123">
        <v>7.6950000000000003</v>
      </c>
      <c r="F6" s="5123">
        <v>0</v>
      </c>
      <c r="G6" s="5123">
        <v>0</v>
      </c>
      <c r="H6" s="5123">
        <v>0</v>
      </c>
      <c r="I6" s="5123">
        <v>0</v>
      </c>
      <c r="J6" s="5123">
        <v>0</v>
      </c>
      <c r="K6" s="5123">
        <v>0</v>
      </c>
      <c r="L6" s="5123">
        <v>0</v>
      </c>
      <c r="M6" s="5123">
        <v>0</v>
      </c>
      <c r="N6" s="5123">
        <v>0</v>
      </c>
      <c r="O6" s="5123">
        <v>0</v>
      </c>
      <c r="P6" s="5123">
        <v>2.3319999999999999</v>
      </c>
      <c r="Q6" s="5123">
        <v>0</v>
      </c>
      <c r="R6" s="5123">
        <v>0</v>
      </c>
      <c r="S6" s="5123">
        <v>0</v>
      </c>
      <c r="T6" s="5123">
        <v>0</v>
      </c>
      <c r="U6" s="5122">
        <v>20</v>
      </c>
      <c r="V6" s="5123">
        <v>21.033000000000001</v>
      </c>
      <c r="W6" s="5123">
        <v>0</v>
      </c>
      <c r="X6" s="5123">
        <v>8</v>
      </c>
      <c r="Y6" s="5123">
        <v>0</v>
      </c>
      <c r="Z6" s="5123">
        <v>0</v>
      </c>
      <c r="AA6" s="5123">
        <v>0</v>
      </c>
      <c r="AB6" s="5123">
        <v>0</v>
      </c>
      <c r="AC6" s="5123">
        <v>0</v>
      </c>
      <c r="AD6" s="5123">
        <v>0</v>
      </c>
      <c r="AE6" s="5123">
        <v>0</v>
      </c>
      <c r="AF6" s="5123">
        <v>0</v>
      </c>
      <c r="AG6" s="5123">
        <v>0</v>
      </c>
      <c r="AH6" s="5123">
        <v>0</v>
      </c>
      <c r="AI6" s="5123">
        <v>2.3029999999999999</v>
      </c>
      <c r="AJ6" s="5123">
        <v>0</v>
      </c>
      <c r="AK6" s="5123">
        <v>0</v>
      </c>
      <c r="AL6" s="5123">
        <v>0</v>
      </c>
      <c r="AM6" s="5123">
        <v>0</v>
      </c>
      <c r="AN6" s="5124">
        <f t="shared" si="0"/>
        <v>51.335999999999999</v>
      </c>
      <c r="AO6" s="5125">
        <v>51.335999999999999</v>
      </c>
      <c r="AP6" s="5126">
        <f t="shared" si="1"/>
        <v>0</v>
      </c>
    </row>
    <row r="7" spans="1:42">
      <c r="A7" s="5121">
        <v>106</v>
      </c>
      <c r="B7" s="5122">
        <v>20</v>
      </c>
      <c r="C7" s="5123">
        <v>9.3040000000000003</v>
      </c>
      <c r="D7" s="5123">
        <v>0</v>
      </c>
      <c r="E7" s="5123">
        <v>4.7859999999999996</v>
      </c>
      <c r="F7" s="5123">
        <v>0</v>
      </c>
      <c r="G7" s="5123">
        <v>0</v>
      </c>
      <c r="H7" s="5123">
        <v>0</v>
      </c>
      <c r="I7" s="5123">
        <v>0</v>
      </c>
      <c r="J7" s="5123">
        <v>0</v>
      </c>
      <c r="K7" s="5123">
        <v>0</v>
      </c>
      <c r="L7" s="5123">
        <v>0</v>
      </c>
      <c r="M7" s="5123">
        <v>0</v>
      </c>
      <c r="N7" s="5123">
        <v>0</v>
      </c>
      <c r="O7" s="5123">
        <v>0</v>
      </c>
      <c r="P7" s="5123">
        <v>1</v>
      </c>
      <c r="Q7" s="5123">
        <v>0</v>
      </c>
      <c r="R7" s="5123">
        <v>0</v>
      </c>
      <c r="S7" s="5123">
        <v>0</v>
      </c>
      <c r="T7" s="5123">
        <v>0</v>
      </c>
      <c r="U7" s="5122">
        <v>20</v>
      </c>
      <c r="V7" s="5123">
        <v>15.215999999999999</v>
      </c>
      <c r="W7" s="5123">
        <v>0</v>
      </c>
      <c r="X7" s="5123">
        <v>5.9729999999999999</v>
      </c>
      <c r="Y7" s="5123">
        <v>0</v>
      </c>
      <c r="Z7" s="5123">
        <v>0</v>
      </c>
      <c r="AA7" s="5123">
        <v>0</v>
      </c>
      <c r="AB7" s="5123">
        <v>0</v>
      </c>
      <c r="AC7" s="5123">
        <v>0</v>
      </c>
      <c r="AD7" s="5123">
        <v>0</v>
      </c>
      <c r="AE7" s="5123">
        <v>0</v>
      </c>
      <c r="AF7" s="5123">
        <v>0</v>
      </c>
      <c r="AG7" s="5123">
        <v>0</v>
      </c>
      <c r="AH7" s="5123">
        <v>0</v>
      </c>
      <c r="AI7" s="5123">
        <v>0.995</v>
      </c>
      <c r="AJ7" s="5123">
        <v>0</v>
      </c>
      <c r="AK7" s="5123">
        <v>0</v>
      </c>
      <c r="AL7" s="5123">
        <v>0</v>
      </c>
      <c r="AM7" s="5123">
        <v>0</v>
      </c>
      <c r="AN7" s="5124">
        <f t="shared" si="0"/>
        <v>42.183999999999997</v>
      </c>
      <c r="AO7" s="5125">
        <v>42.183999999999997</v>
      </c>
      <c r="AP7" s="5126">
        <f t="shared" si="1"/>
        <v>0</v>
      </c>
    </row>
    <row r="8" spans="1:42">
      <c r="A8" s="5121">
        <v>107</v>
      </c>
      <c r="B8" s="5122">
        <v>20</v>
      </c>
      <c r="C8" s="5123">
        <v>18.949000000000002</v>
      </c>
      <c r="D8" s="5123">
        <v>0</v>
      </c>
      <c r="E8" s="5123">
        <v>0</v>
      </c>
      <c r="F8" s="5123">
        <v>0</v>
      </c>
      <c r="G8" s="5123">
        <v>0</v>
      </c>
      <c r="H8" s="5123">
        <v>0</v>
      </c>
      <c r="I8" s="5123">
        <v>0</v>
      </c>
      <c r="J8" s="5123">
        <v>0</v>
      </c>
      <c r="K8" s="5123">
        <v>0</v>
      </c>
      <c r="L8" s="5123">
        <v>0</v>
      </c>
      <c r="M8" s="5123">
        <v>0</v>
      </c>
      <c r="N8" s="5123">
        <v>0</v>
      </c>
      <c r="O8" s="5123">
        <v>0</v>
      </c>
      <c r="P8" s="5123">
        <v>0</v>
      </c>
      <c r="Q8" s="5123">
        <v>0</v>
      </c>
      <c r="R8" s="5123">
        <v>0</v>
      </c>
      <c r="S8" s="5123">
        <v>0</v>
      </c>
      <c r="T8" s="5123">
        <v>0</v>
      </c>
      <c r="U8" s="5122">
        <v>20</v>
      </c>
      <c r="V8" s="5123">
        <v>15.67</v>
      </c>
      <c r="W8" s="5123">
        <v>0</v>
      </c>
      <c r="X8" s="5123">
        <v>0</v>
      </c>
      <c r="Y8" s="5123">
        <v>0</v>
      </c>
      <c r="Z8" s="5123">
        <v>0</v>
      </c>
      <c r="AA8" s="5123">
        <v>0</v>
      </c>
      <c r="AB8" s="5123">
        <v>0</v>
      </c>
      <c r="AC8" s="5123">
        <v>0</v>
      </c>
      <c r="AD8" s="5123">
        <v>0</v>
      </c>
      <c r="AE8" s="5123">
        <v>0</v>
      </c>
      <c r="AF8" s="5123">
        <v>0</v>
      </c>
      <c r="AG8" s="5123">
        <v>0</v>
      </c>
      <c r="AH8" s="5123">
        <v>0</v>
      </c>
      <c r="AI8" s="5123">
        <v>0</v>
      </c>
      <c r="AJ8" s="5123">
        <v>0</v>
      </c>
      <c r="AK8" s="5123">
        <v>0</v>
      </c>
      <c r="AL8" s="5123">
        <v>0</v>
      </c>
      <c r="AM8" s="5123">
        <v>0</v>
      </c>
      <c r="AN8" s="5124">
        <f t="shared" si="0"/>
        <v>35.67</v>
      </c>
      <c r="AO8" s="5125">
        <v>35.67</v>
      </c>
      <c r="AP8" s="5126">
        <f t="shared" si="1"/>
        <v>0</v>
      </c>
    </row>
    <row r="9" spans="1:42">
      <c r="A9" s="5121">
        <v>108</v>
      </c>
      <c r="B9" s="5122">
        <v>20</v>
      </c>
      <c r="C9" s="5123">
        <v>20.783999999999999</v>
      </c>
      <c r="D9" s="5123">
        <v>0</v>
      </c>
      <c r="E9" s="5123">
        <v>4.0010000000000003</v>
      </c>
      <c r="F9" s="5123">
        <v>0</v>
      </c>
      <c r="G9" s="5123">
        <v>0</v>
      </c>
      <c r="H9" s="5123">
        <v>8.2200000000000006</v>
      </c>
      <c r="I9" s="5123">
        <v>0</v>
      </c>
      <c r="J9" s="5123">
        <v>0</v>
      </c>
      <c r="K9" s="5123">
        <v>0</v>
      </c>
      <c r="L9" s="5123">
        <v>0</v>
      </c>
      <c r="M9" s="5123">
        <v>0</v>
      </c>
      <c r="N9" s="5123">
        <v>0</v>
      </c>
      <c r="O9" s="5123">
        <v>0</v>
      </c>
      <c r="P9" s="5123">
        <v>0</v>
      </c>
      <c r="Q9" s="5123">
        <v>0</v>
      </c>
      <c r="R9" s="5123">
        <v>0</v>
      </c>
      <c r="S9" s="5123">
        <v>0</v>
      </c>
      <c r="T9" s="5123">
        <v>0</v>
      </c>
      <c r="U9" s="5122">
        <v>20</v>
      </c>
      <c r="V9" s="5123">
        <v>24.95</v>
      </c>
      <c r="W9" s="5123">
        <v>0</v>
      </c>
      <c r="X9" s="5123">
        <v>6.0010000000000003</v>
      </c>
      <c r="Y9" s="5123">
        <v>0</v>
      </c>
      <c r="Z9" s="5123">
        <v>0</v>
      </c>
      <c r="AA9" s="5123">
        <v>7.0960000000000001</v>
      </c>
      <c r="AB9" s="5123">
        <v>0</v>
      </c>
      <c r="AC9" s="5123">
        <v>0</v>
      </c>
      <c r="AD9" s="5123">
        <v>0</v>
      </c>
      <c r="AE9" s="5123">
        <v>0</v>
      </c>
      <c r="AF9" s="5123">
        <v>0</v>
      </c>
      <c r="AG9" s="5123">
        <v>0</v>
      </c>
      <c r="AH9" s="5123">
        <v>0</v>
      </c>
      <c r="AI9" s="5123">
        <v>0</v>
      </c>
      <c r="AJ9" s="5123">
        <v>0</v>
      </c>
      <c r="AK9" s="5123">
        <v>0</v>
      </c>
      <c r="AL9" s="5123">
        <v>0</v>
      </c>
      <c r="AM9" s="5123">
        <v>0</v>
      </c>
      <c r="AN9" s="5124">
        <f t="shared" si="0"/>
        <v>58.046999999999997</v>
      </c>
      <c r="AO9" s="5125">
        <v>58.046999999999997</v>
      </c>
      <c r="AP9" s="5126">
        <f t="shared" si="1"/>
        <v>0</v>
      </c>
    </row>
    <row r="10" spans="1:42">
      <c r="A10" s="5121">
        <v>109</v>
      </c>
      <c r="B10" s="5122">
        <v>20</v>
      </c>
      <c r="C10" s="5123">
        <v>19.806999999999999</v>
      </c>
      <c r="D10" s="5123">
        <v>0</v>
      </c>
      <c r="E10" s="5123">
        <v>7.9989999999999997</v>
      </c>
      <c r="F10" s="5123">
        <v>0</v>
      </c>
      <c r="G10" s="5123">
        <v>0</v>
      </c>
      <c r="H10" s="5123">
        <v>0</v>
      </c>
      <c r="I10" s="5123">
        <v>0</v>
      </c>
      <c r="J10" s="5123">
        <v>0</v>
      </c>
      <c r="K10" s="5123">
        <v>0</v>
      </c>
      <c r="L10" s="5123">
        <v>0</v>
      </c>
      <c r="M10" s="5123">
        <v>0</v>
      </c>
      <c r="N10" s="5123">
        <v>0</v>
      </c>
      <c r="O10" s="5123">
        <v>0</v>
      </c>
      <c r="P10" s="5123">
        <v>0</v>
      </c>
      <c r="Q10" s="5123">
        <v>0</v>
      </c>
      <c r="R10" s="5123">
        <v>0</v>
      </c>
      <c r="S10" s="5123">
        <v>0</v>
      </c>
      <c r="T10" s="5123">
        <v>0</v>
      </c>
      <c r="U10" s="5122">
        <v>20</v>
      </c>
      <c r="V10" s="5123">
        <v>22.728999999999999</v>
      </c>
      <c r="W10" s="5123">
        <v>0</v>
      </c>
      <c r="X10" s="5123">
        <v>6.9980000000000002</v>
      </c>
      <c r="Y10" s="5123">
        <v>0</v>
      </c>
      <c r="Z10" s="5123">
        <v>0</v>
      </c>
      <c r="AA10" s="5123">
        <v>0</v>
      </c>
      <c r="AB10" s="5123">
        <v>0</v>
      </c>
      <c r="AC10" s="5123">
        <v>0</v>
      </c>
      <c r="AD10" s="5123">
        <v>0</v>
      </c>
      <c r="AE10" s="5123">
        <v>0</v>
      </c>
      <c r="AF10" s="5123">
        <v>0</v>
      </c>
      <c r="AG10" s="5123">
        <v>0</v>
      </c>
      <c r="AH10" s="5123">
        <v>0</v>
      </c>
      <c r="AI10" s="5123">
        <v>0</v>
      </c>
      <c r="AJ10" s="5123">
        <v>0</v>
      </c>
      <c r="AK10" s="5123">
        <v>0</v>
      </c>
      <c r="AL10" s="5123">
        <v>0</v>
      </c>
      <c r="AM10" s="5123">
        <v>0</v>
      </c>
      <c r="AN10" s="5124">
        <f t="shared" si="0"/>
        <v>49.726999999999997</v>
      </c>
      <c r="AO10" s="5125">
        <v>49.726999999999997</v>
      </c>
      <c r="AP10" s="5126">
        <f t="shared" si="1"/>
        <v>0</v>
      </c>
    </row>
    <row r="11" spans="1:42">
      <c r="A11" s="5121">
        <v>110</v>
      </c>
      <c r="B11" s="5122">
        <v>20</v>
      </c>
      <c r="C11" s="5123">
        <v>19.356999999999999</v>
      </c>
      <c r="D11" s="5123">
        <v>0</v>
      </c>
      <c r="E11" s="5123">
        <v>8</v>
      </c>
      <c r="F11" s="5123">
        <v>0</v>
      </c>
      <c r="G11" s="5123">
        <v>0</v>
      </c>
      <c r="H11" s="5123">
        <v>0</v>
      </c>
      <c r="I11" s="5123">
        <v>0</v>
      </c>
      <c r="J11" s="5123">
        <v>0</v>
      </c>
      <c r="K11" s="5123">
        <v>0</v>
      </c>
      <c r="L11" s="5123">
        <v>0</v>
      </c>
      <c r="M11" s="5123">
        <v>0</v>
      </c>
      <c r="N11" s="5123">
        <v>0</v>
      </c>
      <c r="O11" s="5123">
        <v>0</v>
      </c>
      <c r="P11" s="5123">
        <v>1.75</v>
      </c>
      <c r="Q11" s="5123">
        <v>0</v>
      </c>
      <c r="R11" s="5123">
        <v>0</v>
      </c>
      <c r="S11" s="5123">
        <v>0</v>
      </c>
      <c r="T11" s="5123">
        <v>0</v>
      </c>
      <c r="U11" s="5122">
        <v>20</v>
      </c>
      <c r="V11" s="5123">
        <v>24.175999999999998</v>
      </c>
      <c r="W11" s="5123">
        <v>0</v>
      </c>
      <c r="X11" s="5123">
        <v>7.9980000000000002</v>
      </c>
      <c r="Y11" s="5123">
        <v>0</v>
      </c>
      <c r="Z11" s="5123">
        <v>0</v>
      </c>
      <c r="AA11" s="5123">
        <v>0</v>
      </c>
      <c r="AB11" s="5123">
        <v>0</v>
      </c>
      <c r="AC11" s="5123">
        <v>0</v>
      </c>
      <c r="AD11" s="5123">
        <v>0</v>
      </c>
      <c r="AE11" s="5123">
        <v>0</v>
      </c>
      <c r="AF11" s="5123">
        <v>0</v>
      </c>
      <c r="AG11" s="5123">
        <v>0</v>
      </c>
      <c r="AH11" s="5123">
        <v>0</v>
      </c>
      <c r="AI11" s="5123">
        <v>1.5329999999999999</v>
      </c>
      <c r="AJ11" s="5123">
        <v>0</v>
      </c>
      <c r="AK11" s="5123">
        <v>0</v>
      </c>
      <c r="AL11" s="5123">
        <v>0</v>
      </c>
      <c r="AM11" s="5123">
        <v>0</v>
      </c>
      <c r="AN11" s="5124">
        <f t="shared" si="0"/>
        <v>53.707000000000001</v>
      </c>
      <c r="AO11" s="5125">
        <v>53.707000000000001</v>
      </c>
      <c r="AP11" s="5126">
        <f t="shared" si="1"/>
        <v>0</v>
      </c>
    </row>
    <row r="12" spans="1:42">
      <c r="A12" s="5121">
        <v>111</v>
      </c>
      <c r="B12" s="5122">
        <v>20</v>
      </c>
      <c r="C12" s="5123">
        <v>18.963999999999999</v>
      </c>
      <c r="D12" s="5123">
        <v>0</v>
      </c>
      <c r="E12" s="5123">
        <v>4</v>
      </c>
      <c r="F12" s="5123">
        <v>0</v>
      </c>
      <c r="G12" s="5123">
        <v>0</v>
      </c>
      <c r="H12" s="5123">
        <v>0</v>
      </c>
      <c r="I12" s="5123">
        <v>0</v>
      </c>
      <c r="J12" s="5123">
        <v>0</v>
      </c>
      <c r="K12" s="5123">
        <v>0</v>
      </c>
      <c r="L12" s="5123">
        <v>0</v>
      </c>
      <c r="M12" s="5123">
        <v>0</v>
      </c>
      <c r="N12" s="5123">
        <v>0</v>
      </c>
      <c r="O12" s="5123">
        <v>0</v>
      </c>
      <c r="P12" s="5123">
        <v>0</v>
      </c>
      <c r="Q12" s="5123">
        <v>0</v>
      </c>
      <c r="R12" s="5123">
        <v>0</v>
      </c>
      <c r="S12" s="5123">
        <v>0</v>
      </c>
      <c r="T12" s="5123">
        <v>0</v>
      </c>
      <c r="U12" s="5122">
        <v>20</v>
      </c>
      <c r="V12" s="5123">
        <v>15.898</v>
      </c>
      <c r="W12" s="5123">
        <v>0</v>
      </c>
      <c r="X12" s="5123">
        <v>5.9989999999999997</v>
      </c>
      <c r="Y12" s="5123">
        <v>0</v>
      </c>
      <c r="Z12" s="5123">
        <v>0</v>
      </c>
      <c r="AA12" s="5123">
        <v>0</v>
      </c>
      <c r="AB12" s="5123">
        <v>0</v>
      </c>
      <c r="AC12" s="5123">
        <v>0</v>
      </c>
      <c r="AD12" s="5123">
        <v>0</v>
      </c>
      <c r="AE12" s="5123">
        <v>0</v>
      </c>
      <c r="AF12" s="5123">
        <v>0</v>
      </c>
      <c r="AG12" s="5123">
        <v>0</v>
      </c>
      <c r="AH12" s="5123">
        <v>0</v>
      </c>
      <c r="AI12" s="5123">
        <v>0</v>
      </c>
      <c r="AJ12" s="5123">
        <v>0</v>
      </c>
      <c r="AK12" s="5123">
        <v>0</v>
      </c>
      <c r="AL12" s="5123">
        <v>0</v>
      </c>
      <c r="AM12" s="5123">
        <v>0</v>
      </c>
      <c r="AN12" s="5124">
        <f t="shared" si="0"/>
        <v>41.896999999999998</v>
      </c>
      <c r="AO12" s="5125">
        <v>41.896999999999998</v>
      </c>
      <c r="AP12" s="5126">
        <f t="shared" si="1"/>
        <v>0</v>
      </c>
    </row>
    <row r="13" spans="1:42">
      <c r="A13" s="5121">
        <v>112</v>
      </c>
      <c r="B13" s="5122">
        <v>20</v>
      </c>
      <c r="C13" s="5123">
        <v>12.465999999999999</v>
      </c>
      <c r="D13" s="5123">
        <v>0</v>
      </c>
      <c r="E13" s="5123">
        <v>5.5419999999999998</v>
      </c>
      <c r="F13" s="5123">
        <v>0</v>
      </c>
      <c r="G13" s="5123">
        <v>0</v>
      </c>
      <c r="H13" s="5123">
        <v>6.6890000000000001</v>
      </c>
      <c r="I13" s="5123">
        <v>0</v>
      </c>
      <c r="J13" s="5123">
        <v>0</v>
      </c>
      <c r="K13" s="5123">
        <v>0</v>
      </c>
      <c r="L13" s="5123">
        <v>0</v>
      </c>
      <c r="M13" s="5123">
        <v>0</v>
      </c>
      <c r="N13" s="5123">
        <v>0</v>
      </c>
      <c r="O13" s="5123">
        <v>0</v>
      </c>
      <c r="P13" s="5127">
        <v>2</v>
      </c>
      <c r="Q13" s="5123">
        <v>0</v>
      </c>
      <c r="R13" s="5123">
        <v>0</v>
      </c>
      <c r="S13" s="5123">
        <v>0</v>
      </c>
      <c r="T13" s="5123">
        <v>0</v>
      </c>
      <c r="U13" s="5122">
        <v>20</v>
      </c>
      <c r="V13" s="5123">
        <v>13.374000000000001</v>
      </c>
      <c r="W13" s="5123">
        <v>0</v>
      </c>
      <c r="X13" s="5123">
        <v>5.9960000000000004</v>
      </c>
      <c r="Y13" s="5123">
        <v>0</v>
      </c>
      <c r="Z13" s="5123">
        <v>0</v>
      </c>
      <c r="AA13" s="5123">
        <v>6.1310000000000002</v>
      </c>
      <c r="AB13" s="5123">
        <v>0</v>
      </c>
      <c r="AC13" s="5123">
        <v>0</v>
      </c>
      <c r="AD13" s="5123">
        <v>0</v>
      </c>
      <c r="AE13" s="5123">
        <v>0</v>
      </c>
      <c r="AF13" s="5123">
        <v>0</v>
      </c>
      <c r="AG13" s="5123">
        <v>0</v>
      </c>
      <c r="AH13" s="5123">
        <v>0</v>
      </c>
      <c r="AI13" s="5127">
        <v>2</v>
      </c>
      <c r="AJ13" s="5123">
        <v>0</v>
      </c>
      <c r="AK13" s="5123">
        <v>0</v>
      </c>
      <c r="AL13" s="5123">
        <v>0</v>
      </c>
      <c r="AM13" s="5123">
        <v>0</v>
      </c>
      <c r="AN13" s="5124">
        <f t="shared" si="0"/>
        <v>47.500999999999998</v>
      </c>
      <c r="AO13" s="5125">
        <v>47.500999999999998</v>
      </c>
      <c r="AP13" s="5126">
        <f t="shared" si="1"/>
        <v>0</v>
      </c>
    </row>
    <row r="14" spans="1:42">
      <c r="A14" s="5121">
        <v>113</v>
      </c>
      <c r="B14" s="5122">
        <v>20</v>
      </c>
      <c r="C14" s="5123">
        <v>17.71</v>
      </c>
      <c r="D14" s="5123">
        <v>0</v>
      </c>
      <c r="E14" s="5123">
        <v>6</v>
      </c>
      <c r="F14" s="5123">
        <v>0</v>
      </c>
      <c r="G14" s="5123">
        <v>0</v>
      </c>
      <c r="H14" s="5127">
        <v>4.75</v>
      </c>
      <c r="I14" s="5127">
        <v>5.234</v>
      </c>
      <c r="J14" s="5123">
        <v>0</v>
      </c>
      <c r="K14" s="5123">
        <v>0</v>
      </c>
      <c r="L14" s="5123">
        <v>0</v>
      </c>
      <c r="M14" s="5123">
        <v>0</v>
      </c>
      <c r="N14" s="5123">
        <v>0</v>
      </c>
      <c r="O14" s="5123">
        <v>0</v>
      </c>
      <c r="P14" s="5123">
        <v>0</v>
      </c>
      <c r="Q14" s="5123">
        <v>0</v>
      </c>
      <c r="R14" s="5123">
        <v>0</v>
      </c>
      <c r="S14" s="5123">
        <v>0</v>
      </c>
      <c r="T14" s="5123">
        <v>0</v>
      </c>
      <c r="U14" s="5122">
        <v>20</v>
      </c>
      <c r="V14" s="5123">
        <v>18.283999999999999</v>
      </c>
      <c r="W14" s="5123">
        <v>0</v>
      </c>
      <c r="X14" s="5123">
        <v>5.9619999999999997</v>
      </c>
      <c r="Y14" s="5123">
        <v>0</v>
      </c>
      <c r="Z14" s="5123">
        <v>0</v>
      </c>
      <c r="AA14" s="5127">
        <v>4.843</v>
      </c>
      <c r="AB14" s="5127">
        <v>6.4390000000000001</v>
      </c>
      <c r="AC14" s="5123">
        <v>0</v>
      </c>
      <c r="AD14" s="5123">
        <v>0</v>
      </c>
      <c r="AE14" s="5123">
        <v>0</v>
      </c>
      <c r="AF14" s="5123">
        <v>0</v>
      </c>
      <c r="AG14" s="5123">
        <v>0</v>
      </c>
      <c r="AH14" s="5123">
        <v>0</v>
      </c>
      <c r="AI14" s="5123">
        <v>0</v>
      </c>
      <c r="AJ14" s="5123">
        <v>0</v>
      </c>
      <c r="AK14" s="5123">
        <v>0</v>
      </c>
      <c r="AL14" s="5123">
        <v>0</v>
      </c>
      <c r="AM14" s="5123">
        <v>0</v>
      </c>
      <c r="AN14" s="5124">
        <f t="shared" si="0"/>
        <v>55.527999999999999</v>
      </c>
      <c r="AO14" s="5125">
        <v>55.527999999999999</v>
      </c>
      <c r="AP14" s="5126">
        <f t="shared" si="1"/>
        <v>0</v>
      </c>
    </row>
    <row r="15" spans="1:42">
      <c r="A15" s="5121">
        <v>114</v>
      </c>
      <c r="B15" s="5122">
        <v>20</v>
      </c>
      <c r="C15" s="5123">
        <v>17.96</v>
      </c>
      <c r="D15" s="5123">
        <v>0</v>
      </c>
      <c r="E15" s="5123">
        <v>0</v>
      </c>
      <c r="F15" s="5123">
        <v>0</v>
      </c>
      <c r="G15" s="5123">
        <v>0</v>
      </c>
      <c r="H15" s="5123">
        <v>0</v>
      </c>
      <c r="I15" s="5123">
        <v>8.61</v>
      </c>
      <c r="J15" s="5123">
        <v>0</v>
      </c>
      <c r="K15" s="5123">
        <v>0</v>
      </c>
      <c r="L15" s="5123">
        <v>0</v>
      </c>
      <c r="M15" s="5123">
        <v>0</v>
      </c>
      <c r="N15" s="5123">
        <v>0</v>
      </c>
      <c r="O15" s="5123">
        <v>0</v>
      </c>
      <c r="P15" s="5123">
        <v>2.5760000000000001</v>
      </c>
      <c r="Q15" s="5123">
        <v>1</v>
      </c>
      <c r="R15" s="5123">
        <v>0</v>
      </c>
      <c r="S15" s="5123">
        <v>0</v>
      </c>
      <c r="T15" s="5123">
        <v>0</v>
      </c>
      <c r="U15" s="5122">
        <v>20</v>
      </c>
      <c r="V15" s="5123">
        <v>17.960999999999999</v>
      </c>
      <c r="W15" s="5123">
        <v>0</v>
      </c>
      <c r="X15" s="5123">
        <v>0</v>
      </c>
      <c r="Y15" s="5123">
        <v>0</v>
      </c>
      <c r="Z15" s="5123">
        <v>0</v>
      </c>
      <c r="AA15" s="5123">
        <v>0</v>
      </c>
      <c r="AB15" s="5123">
        <v>10.053000000000001</v>
      </c>
      <c r="AC15" s="5123">
        <v>0</v>
      </c>
      <c r="AD15" s="5123">
        <v>0</v>
      </c>
      <c r="AE15" s="5123">
        <v>0</v>
      </c>
      <c r="AF15" s="5123">
        <v>0</v>
      </c>
      <c r="AG15" s="5123">
        <v>0</v>
      </c>
      <c r="AH15" s="5123">
        <v>0</v>
      </c>
      <c r="AI15" s="5123">
        <v>2.5750000000000002</v>
      </c>
      <c r="AJ15" s="5123">
        <v>1</v>
      </c>
      <c r="AK15" s="5123">
        <v>0</v>
      </c>
      <c r="AL15" s="5123">
        <v>0</v>
      </c>
      <c r="AM15" s="5123">
        <v>0</v>
      </c>
      <c r="AN15" s="5124">
        <f t="shared" si="0"/>
        <v>51.588999999999999</v>
      </c>
      <c r="AO15" s="5125">
        <v>51.588999999999999</v>
      </c>
      <c r="AP15" s="5126">
        <f t="shared" si="1"/>
        <v>0</v>
      </c>
    </row>
    <row r="16" spans="1:42">
      <c r="A16" s="5121">
        <v>115</v>
      </c>
      <c r="B16" s="5122">
        <v>20</v>
      </c>
      <c r="C16" s="5123">
        <v>14.128</v>
      </c>
      <c r="D16" s="5123">
        <v>0</v>
      </c>
      <c r="E16" s="5123">
        <v>0</v>
      </c>
      <c r="F16" s="5123">
        <v>0</v>
      </c>
      <c r="G16" s="5123">
        <v>0</v>
      </c>
      <c r="H16" s="5123">
        <v>0</v>
      </c>
      <c r="I16" s="5123">
        <v>7</v>
      </c>
      <c r="J16" s="5123">
        <v>0</v>
      </c>
      <c r="K16" s="5123">
        <v>0</v>
      </c>
      <c r="L16" s="5123">
        <v>0</v>
      </c>
      <c r="M16" s="5123">
        <v>0</v>
      </c>
      <c r="N16" s="5123">
        <v>0</v>
      </c>
      <c r="O16" s="5123">
        <v>0</v>
      </c>
      <c r="P16" s="5123">
        <v>0</v>
      </c>
      <c r="Q16" s="5123">
        <v>0</v>
      </c>
      <c r="R16" s="5123">
        <v>0</v>
      </c>
      <c r="S16" s="5123">
        <v>0</v>
      </c>
      <c r="T16" s="5123">
        <v>0</v>
      </c>
      <c r="U16" s="5122">
        <v>20</v>
      </c>
      <c r="V16" s="5123">
        <v>14.161</v>
      </c>
      <c r="W16" s="5123">
        <v>0</v>
      </c>
      <c r="X16" s="5123">
        <v>0</v>
      </c>
      <c r="Y16" s="5123">
        <v>0</v>
      </c>
      <c r="Z16" s="5123">
        <v>0</v>
      </c>
      <c r="AA16" s="5123">
        <v>0</v>
      </c>
      <c r="AB16" s="5127">
        <v>6.9470000000000001</v>
      </c>
      <c r="AC16" s="5123">
        <v>0</v>
      </c>
      <c r="AD16" s="5123">
        <v>0</v>
      </c>
      <c r="AE16" s="5123">
        <v>0</v>
      </c>
      <c r="AF16" s="5123">
        <v>0</v>
      </c>
      <c r="AG16" s="5123">
        <v>0</v>
      </c>
      <c r="AH16" s="5123">
        <v>0</v>
      </c>
      <c r="AI16" s="5123">
        <v>0</v>
      </c>
      <c r="AJ16" s="5123">
        <v>0</v>
      </c>
      <c r="AK16" s="5123">
        <v>0</v>
      </c>
      <c r="AL16" s="5123">
        <v>0</v>
      </c>
      <c r="AM16" s="5123">
        <v>0</v>
      </c>
      <c r="AN16" s="5124">
        <f t="shared" si="0"/>
        <v>41.107999999999997</v>
      </c>
      <c r="AO16" s="5125">
        <v>41.107999999999997</v>
      </c>
      <c r="AP16" s="5126">
        <f t="shared" si="1"/>
        <v>0</v>
      </c>
    </row>
    <row r="17" spans="1:42">
      <c r="A17" s="5121">
        <v>200</v>
      </c>
      <c r="B17" s="5122">
        <v>20</v>
      </c>
      <c r="C17" s="5123">
        <v>20.931999999999999</v>
      </c>
      <c r="D17" s="5123">
        <v>0</v>
      </c>
      <c r="E17" s="5123">
        <v>4.0049999999999999</v>
      </c>
      <c r="F17" s="5123">
        <v>0</v>
      </c>
      <c r="G17" s="5123">
        <v>0</v>
      </c>
      <c r="H17" s="5123">
        <v>9.4440000000000008</v>
      </c>
      <c r="I17" s="5123">
        <v>0</v>
      </c>
      <c r="J17" s="5123">
        <v>0</v>
      </c>
      <c r="K17" s="5123">
        <v>0</v>
      </c>
      <c r="L17" s="5123">
        <v>0</v>
      </c>
      <c r="M17" s="5123">
        <v>0</v>
      </c>
      <c r="N17" s="5123">
        <v>0</v>
      </c>
      <c r="O17" s="5123">
        <v>0</v>
      </c>
      <c r="P17" s="5123">
        <v>0</v>
      </c>
      <c r="Q17" s="5123">
        <v>0</v>
      </c>
      <c r="R17" s="5123">
        <v>0</v>
      </c>
      <c r="S17" s="5123">
        <v>0</v>
      </c>
      <c r="T17" s="5123">
        <v>0</v>
      </c>
      <c r="U17" s="5122">
        <v>20</v>
      </c>
      <c r="V17" s="5123">
        <v>23.100999999999999</v>
      </c>
      <c r="W17" s="5123">
        <v>0</v>
      </c>
      <c r="X17" s="5123">
        <v>4.0010000000000003</v>
      </c>
      <c r="Y17" s="5123">
        <v>0</v>
      </c>
      <c r="Z17" s="5123">
        <v>0</v>
      </c>
      <c r="AA17" s="5123">
        <v>11.192</v>
      </c>
      <c r="AB17" s="5123">
        <v>0</v>
      </c>
      <c r="AC17" s="5123">
        <v>0</v>
      </c>
      <c r="AD17" s="5123">
        <v>0</v>
      </c>
      <c r="AE17" s="5123">
        <v>0</v>
      </c>
      <c r="AF17" s="5123">
        <v>0</v>
      </c>
      <c r="AG17" s="5123">
        <v>0</v>
      </c>
      <c r="AH17" s="5123">
        <v>0</v>
      </c>
      <c r="AI17" s="5123">
        <v>0</v>
      </c>
      <c r="AJ17" s="5123">
        <v>0</v>
      </c>
      <c r="AK17" s="5123">
        <v>0</v>
      </c>
      <c r="AL17" s="5123">
        <v>0</v>
      </c>
      <c r="AM17" s="5123">
        <v>0</v>
      </c>
      <c r="AN17" s="5124">
        <f t="shared" si="0"/>
        <v>58.293999999999997</v>
      </c>
      <c r="AO17" s="5125">
        <v>58.293999999999997</v>
      </c>
      <c r="AP17" s="5126">
        <f t="shared" si="1"/>
        <v>0</v>
      </c>
    </row>
    <row r="18" spans="1:42">
      <c r="A18" s="5121">
        <v>202</v>
      </c>
      <c r="B18" s="5122">
        <v>20</v>
      </c>
      <c r="C18" s="5123">
        <v>13.257999999999999</v>
      </c>
      <c r="D18" s="5123">
        <v>0</v>
      </c>
      <c r="E18" s="5123">
        <v>8</v>
      </c>
      <c r="F18" s="5123">
        <v>0</v>
      </c>
      <c r="G18" s="5123">
        <v>0</v>
      </c>
      <c r="H18" s="5123">
        <v>13.449</v>
      </c>
      <c r="I18" s="5123">
        <v>0</v>
      </c>
      <c r="J18" s="5123">
        <v>0</v>
      </c>
      <c r="K18" s="5123">
        <v>0</v>
      </c>
      <c r="L18" s="5123">
        <v>0</v>
      </c>
      <c r="M18" s="5123">
        <v>0</v>
      </c>
      <c r="N18" s="5123">
        <v>0</v>
      </c>
      <c r="O18" s="5123">
        <v>0</v>
      </c>
      <c r="P18" s="5123">
        <v>6</v>
      </c>
      <c r="Q18" s="5123">
        <v>1.0029999999999999</v>
      </c>
      <c r="R18" s="5123">
        <v>0</v>
      </c>
      <c r="S18" s="5123">
        <v>0</v>
      </c>
      <c r="T18" s="5123">
        <v>0</v>
      </c>
      <c r="U18" s="5122">
        <v>20</v>
      </c>
      <c r="V18" s="5123">
        <v>19.940000000000001</v>
      </c>
      <c r="W18" s="5123">
        <v>0</v>
      </c>
      <c r="X18" s="5123">
        <v>8</v>
      </c>
      <c r="Y18" s="5123">
        <v>0</v>
      </c>
      <c r="Z18" s="5123">
        <v>0</v>
      </c>
      <c r="AA18" s="5123">
        <v>13.862</v>
      </c>
      <c r="AB18" s="5123">
        <v>0</v>
      </c>
      <c r="AC18" s="5123">
        <v>0</v>
      </c>
      <c r="AD18" s="5123">
        <v>0</v>
      </c>
      <c r="AE18" s="5123">
        <v>0</v>
      </c>
      <c r="AF18" s="5123">
        <v>0</v>
      </c>
      <c r="AG18" s="5123">
        <v>0</v>
      </c>
      <c r="AH18" s="5123">
        <v>0</v>
      </c>
      <c r="AI18" s="5123">
        <v>6</v>
      </c>
      <c r="AJ18" s="5123">
        <v>1.032</v>
      </c>
      <c r="AK18" s="5123">
        <v>0</v>
      </c>
      <c r="AL18" s="5123">
        <v>0</v>
      </c>
      <c r="AM18" s="5123">
        <v>0</v>
      </c>
      <c r="AN18" s="5124">
        <f t="shared" si="0"/>
        <v>68.834000000000003</v>
      </c>
      <c r="AO18" s="5125">
        <v>68.834000000000003</v>
      </c>
      <c r="AP18" s="5126">
        <f t="shared" si="1"/>
        <v>0</v>
      </c>
    </row>
    <row r="19" spans="1:42">
      <c r="A19" s="5121">
        <v>203</v>
      </c>
      <c r="B19" s="5122">
        <v>20</v>
      </c>
      <c r="C19" s="5123">
        <v>16.798999999999999</v>
      </c>
      <c r="D19" s="5123">
        <v>0</v>
      </c>
      <c r="E19" s="5123">
        <v>8</v>
      </c>
      <c r="F19" s="5123">
        <v>0</v>
      </c>
      <c r="G19" s="5123">
        <v>0</v>
      </c>
      <c r="H19" s="5123">
        <v>14.737</v>
      </c>
      <c r="I19" s="5123">
        <v>0</v>
      </c>
      <c r="J19" s="5123">
        <v>0</v>
      </c>
      <c r="K19" s="5123">
        <v>0</v>
      </c>
      <c r="L19" s="5123">
        <v>0</v>
      </c>
      <c r="M19" s="5123">
        <v>0</v>
      </c>
      <c r="N19" s="5123">
        <v>0</v>
      </c>
      <c r="O19" s="5123">
        <v>0</v>
      </c>
      <c r="P19" s="5123">
        <v>0</v>
      </c>
      <c r="Q19" s="5123">
        <v>0</v>
      </c>
      <c r="R19" s="5123">
        <v>0</v>
      </c>
      <c r="S19" s="5123">
        <v>0</v>
      </c>
      <c r="T19" s="5123">
        <v>0</v>
      </c>
      <c r="U19" s="5122">
        <v>20</v>
      </c>
      <c r="V19" s="5123">
        <v>18.702999999999999</v>
      </c>
      <c r="W19" s="5123">
        <v>0</v>
      </c>
      <c r="X19" s="5123">
        <v>8</v>
      </c>
      <c r="Y19" s="5123">
        <v>0</v>
      </c>
      <c r="Z19" s="5123">
        <v>0</v>
      </c>
      <c r="AA19" s="5123">
        <v>12.997999999999999</v>
      </c>
      <c r="AB19" s="5123">
        <v>0</v>
      </c>
      <c r="AC19" s="5123">
        <v>0</v>
      </c>
      <c r="AD19" s="5123">
        <v>0</v>
      </c>
      <c r="AE19" s="5123">
        <v>0</v>
      </c>
      <c r="AF19" s="5123">
        <v>0</v>
      </c>
      <c r="AG19" s="5123">
        <v>0</v>
      </c>
      <c r="AH19" s="5123">
        <v>0</v>
      </c>
      <c r="AI19" s="5123">
        <v>0</v>
      </c>
      <c r="AJ19" s="5123">
        <v>0</v>
      </c>
      <c r="AK19" s="5123">
        <v>0</v>
      </c>
      <c r="AL19" s="5123">
        <v>0</v>
      </c>
      <c r="AM19" s="5123">
        <v>0</v>
      </c>
      <c r="AN19" s="5124">
        <f t="shared" si="0"/>
        <v>59.701000000000001</v>
      </c>
      <c r="AO19" s="5125">
        <v>59.701000000000001</v>
      </c>
      <c r="AP19" s="5126">
        <f t="shared" si="1"/>
        <v>0</v>
      </c>
    </row>
    <row r="20" spans="1:42">
      <c r="A20" s="5121">
        <v>204</v>
      </c>
      <c r="B20" s="5122">
        <v>20</v>
      </c>
      <c r="C20" s="5123">
        <v>12.907999999999999</v>
      </c>
      <c r="D20" s="5123">
        <v>0</v>
      </c>
      <c r="E20" s="5123">
        <v>7.9950000000000001</v>
      </c>
      <c r="F20" s="5123">
        <v>0</v>
      </c>
      <c r="G20" s="5123">
        <v>0</v>
      </c>
      <c r="H20" s="5123">
        <v>22.105</v>
      </c>
      <c r="I20" s="5123">
        <v>0</v>
      </c>
      <c r="J20" s="5123">
        <v>0</v>
      </c>
      <c r="K20" s="5123">
        <v>0</v>
      </c>
      <c r="L20" s="5123">
        <v>0</v>
      </c>
      <c r="M20" s="5123">
        <v>0</v>
      </c>
      <c r="N20" s="5123">
        <v>0</v>
      </c>
      <c r="O20" s="5123">
        <v>0</v>
      </c>
      <c r="P20" s="5123">
        <v>0</v>
      </c>
      <c r="Q20" s="5123">
        <v>0</v>
      </c>
      <c r="R20" s="5123">
        <v>0</v>
      </c>
      <c r="S20" s="5123">
        <v>0</v>
      </c>
      <c r="T20" s="5123">
        <v>0</v>
      </c>
      <c r="U20" s="5122">
        <v>20</v>
      </c>
      <c r="V20" s="5123">
        <v>17.042000000000002</v>
      </c>
      <c r="W20" s="5123">
        <v>0</v>
      </c>
      <c r="X20" s="5123">
        <v>7.9569999999999999</v>
      </c>
      <c r="Y20" s="5123">
        <v>0</v>
      </c>
      <c r="Z20" s="5123">
        <v>0</v>
      </c>
      <c r="AA20" s="5123">
        <v>17.776</v>
      </c>
      <c r="AB20" s="5123">
        <v>0</v>
      </c>
      <c r="AC20" s="5123">
        <v>0</v>
      </c>
      <c r="AD20" s="5123">
        <v>0</v>
      </c>
      <c r="AE20" s="5123">
        <v>0</v>
      </c>
      <c r="AF20" s="5123">
        <v>0</v>
      </c>
      <c r="AG20" s="5123">
        <v>0</v>
      </c>
      <c r="AH20" s="5123">
        <v>0</v>
      </c>
      <c r="AI20" s="5123">
        <v>0</v>
      </c>
      <c r="AJ20" s="5123">
        <v>0</v>
      </c>
      <c r="AK20" s="5123">
        <v>0</v>
      </c>
      <c r="AL20" s="5123">
        <v>0</v>
      </c>
      <c r="AM20" s="5123">
        <v>0</v>
      </c>
      <c r="AN20" s="5124">
        <f t="shared" si="0"/>
        <v>62.774999999999999</v>
      </c>
      <c r="AO20" s="5125">
        <v>62.774999999999999</v>
      </c>
      <c r="AP20" s="5126">
        <f t="shared" si="1"/>
        <v>0</v>
      </c>
    </row>
    <row r="21" spans="1:42">
      <c r="A21" s="5121">
        <v>205</v>
      </c>
      <c r="B21" s="5122">
        <v>20</v>
      </c>
      <c r="C21" s="5123">
        <v>19.074999999999999</v>
      </c>
      <c r="D21" s="5123">
        <v>0</v>
      </c>
      <c r="E21" s="5123">
        <v>7.9960000000000004</v>
      </c>
      <c r="F21" s="5123">
        <v>0</v>
      </c>
      <c r="G21" s="5123">
        <v>0</v>
      </c>
      <c r="H21" s="5123">
        <v>0</v>
      </c>
      <c r="I21" s="5123">
        <v>0</v>
      </c>
      <c r="J21" s="5123">
        <v>0</v>
      </c>
      <c r="K21" s="5123">
        <v>0</v>
      </c>
      <c r="L21" s="5123">
        <v>0</v>
      </c>
      <c r="M21" s="5123">
        <v>0</v>
      </c>
      <c r="N21" s="5123">
        <v>0</v>
      </c>
      <c r="O21" s="5123">
        <v>0</v>
      </c>
      <c r="P21" s="5123">
        <v>0</v>
      </c>
      <c r="Q21" s="5123">
        <v>0</v>
      </c>
      <c r="R21" s="5123">
        <v>0</v>
      </c>
      <c r="S21" s="5123">
        <v>0</v>
      </c>
      <c r="T21" s="5123">
        <v>0</v>
      </c>
      <c r="U21" s="5122">
        <v>20</v>
      </c>
      <c r="V21" s="5123">
        <v>27.452999999999999</v>
      </c>
      <c r="W21" s="5123">
        <v>0</v>
      </c>
      <c r="X21" s="5123">
        <v>7.9909999999999997</v>
      </c>
      <c r="Y21" s="5123">
        <v>0</v>
      </c>
      <c r="Z21" s="5123">
        <v>0</v>
      </c>
      <c r="AA21" s="5123">
        <v>0</v>
      </c>
      <c r="AB21" s="5123">
        <v>0</v>
      </c>
      <c r="AC21" s="5123">
        <v>0</v>
      </c>
      <c r="AD21" s="5123">
        <v>0</v>
      </c>
      <c r="AE21" s="5123">
        <v>0</v>
      </c>
      <c r="AF21" s="5123">
        <v>0</v>
      </c>
      <c r="AG21" s="5123">
        <v>0</v>
      </c>
      <c r="AH21" s="5123">
        <v>0</v>
      </c>
      <c r="AI21" s="5123">
        <v>0</v>
      </c>
      <c r="AJ21" s="5123">
        <v>0</v>
      </c>
      <c r="AK21" s="5123">
        <v>0</v>
      </c>
      <c r="AL21" s="5123">
        <v>0</v>
      </c>
      <c r="AM21" s="5123">
        <v>0</v>
      </c>
      <c r="AN21" s="5124">
        <f t="shared" si="0"/>
        <v>55.444000000000003</v>
      </c>
      <c r="AO21" s="5125">
        <v>55.444000000000003</v>
      </c>
      <c r="AP21" s="5126">
        <f t="shared" si="1"/>
        <v>0</v>
      </c>
    </row>
    <row r="22" spans="1:42">
      <c r="A22" s="5121">
        <v>206</v>
      </c>
      <c r="B22" s="5122">
        <v>20</v>
      </c>
      <c r="C22" s="5123">
        <v>17.853000000000002</v>
      </c>
      <c r="D22" s="5123">
        <v>0</v>
      </c>
      <c r="E22" s="5123">
        <v>5.5049999999999999</v>
      </c>
      <c r="F22" s="5123">
        <v>0</v>
      </c>
      <c r="G22" s="5123">
        <v>0</v>
      </c>
      <c r="H22" s="5123">
        <v>7.5839999999999996</v>
      </c>
      <c r="I22" s="5123">
        <v>0</v>
      </c>
      <c r="J22" s="5123">
        <v>0</v>
      </c>
      <c r="K22" s="5123">
        <v>0</v>
      </c>
      <c r="L22" s="5123">
        <v>0</v>
      </c>
      <c r="M22" s="5123">
        <v>0</v>
      </c>
      <c r="N22" s="5123">
        <v>0</v>
      </c>
      <c r="O22" s="5123">
        <v>0</v>
      </c>
      <c r="P22" s="5123">
        <v>0</v>
      </c>
      <c r="Q22" s="5123">
        <v>0</v>
      </c>
      <c r="R22" s="5123">
        <v>0</v>
      </c>
      <c r="S22" s="5123">
        <v>0</v>
      </c>
      <c r="T22" s="5123">
        <v>0</v>
      </c>
      <c r="U22" s="5122">
        <v>20</v>
      </c>
      <c r="V22" s="5123">
        <v>19.32</v>
      </c>
      <c r="W22" s="5123">
        <v>0</v>
      </c>
      <c r="X22" s="5123">
        <v>5.6890000000000001</v>
      </c>
      <c r="Y22" s="5123">
        <v>0</v>
      </c>
      <c r="Z22" s="5123">
        <v>0</v>
      </c>
      <c r="AA22" s="5123">
        <v>8.8979999999999997</v>
      </c>
      <c r="AB22" s="5123">
        <v>0</v>
      </c>
      <c r="AC22" s="5123">
        <v>0</v>
      </c>
      <c r="AD22" s="5123">
        <v>0</v>
      </c>
      <c r="AE22" s="5123">
        <v>0</v>
      </c>
      <c r="AF22" s="5123">
        <v>0</v>
      </c>
      <c r="AG22" s="5123">
        <v>0</v>
      </c>
      <c r="AH22" s="5123">
        <v>0</v>
      </c>
      <c r="AI22" s="5123">
        <v>0</v>
      </c>
      <c r="AJ22" s="5123">
        <v>0</v>
      </c>
      <c r="AK22" s="5123">
        <v>0</v>
      </c>
      <c r="AL22" s="5123">
        <v>0</v>
      </c>
      <c r="AM22" s="5123">
        <v>0</v>
      </c>
      <c r="AN22" s="5124">
        <f t="shared" si="0"/>
        <v>53.906999999999996</v>
      </c>
      <c r="AO22" s="5125">
        <v>53.906999999999996</v>
      </c>
      <c r="AP22" s="5126">
        <f t="shared" si="1"/>
        <v>0</v>
      </c>
    </row>
    <row r="23" spans="1:42">
      <c r="A23" s="5121">
        <v>207</v>
      </c>
      <c r="B23" s="5122">
        <v>20</v>
      </c>
      <c r="C23" s="5123">
        <v>17.116</v>
      </c>
      <c r="D23" s="5123">
        <v>0</v>
      </c>
      <c r="E23" s="5123">
        <v>3.9809999999999999</v>
      </c>
      <c r="F23" s="5123">
        <v>0</v>
      </c>
      <c r="G23" s="5123">
        <v>0</v>
      </c>
      <c r="H23" s="5123">
        <v>0</v>
      </c>
      <c r="I23" s="5123">
        <v>0</v>
      </c>
      <c r="J23" s="5123">
        <v>0</v>
      </c>
      <c r="K23" s="5123">
        <v>0</v>
      </c>
      <c r="L23" s="5123">
        <v>0</v>
      </c>
      <c r="M23" s="5123">
        <v>0</v>
      </c>
      <c r="N23" s="5123">
        <v>0</v>
      </c>
      <c r="O23" s="5123">
        <v>0</v>
      </c>
      <c r="P23" s="5123">
        <v>0</v>
      </c>
      <c r="Q23" s="5123">
        <v>0</v>
      </c>
      <c r="R23" s="5123">
        <v>0</v>
      </c>
      <c r="S23" s="5123">
        <v>0</v>
      </c>
      <c r="T23" s="5123">
        <v>0</v>
      </c>
      <c r="U23" s="5122">
        <v>20</v>
      </c>
      <c r="V23" s="5123">
        <v>18.939</v>
      </c>
      <c r="W23" s="5123">
        <v>0</v>
      </c>
      <c r="X23" s="5123">
        <v>3.9809999999999999</v>
      </c>
      <c r="Y23" s="5123">
        <v>0</v>
      </c>
      <c r="Z23" s="5123">
        <v>0</v>
      </c>
      <c r="AA23" s="5123">
        <v>0</v>
      </c>
      <c r="AB23" s="5123">
        <v>0</v>
      </c>
      <c r="AC23" s="5123">
        <v>0</v>
      </c>
      <c r="AD23" s="5123">
        <v>0</v>
      </c>
      <c r="AE23" s="5123">
        <v>0</v>
      </c>
      <c r="AF23" s="5123">
        <v>0</v>
      </c>
      <c r="AG23" s="5123">
        <v>0</v>
      </c>
      <c r="AH23" s="5123">
        <v>0</v>
      </c>
      <c r="AI23" s="5123">
        <v>0</v>
      </c>
      <c r="AJ23" s="5123">
        <v>0</v>
      </c>
      <c r="AK23" s="5123">
        <v>0</v>
      </c>
      <c r="AL23" s="5123">
        <v>0</v>
      </c>
      <c r="AM23" s="5123">
        <v>0</v>
      </c>
      <c r="AN23" s="5124">
        <f t="shared" si="0"/>
        <v>42.92</v>
      </c>
      <c r="AO23" s="5125">
        <v>42.92</v>
      </c>
      <c r="AP23" s="5126">
        <f t="shared" si="1"/>
        <v>0</v>
      </c>
    </row>
    <row r="24" spans="1:42">
      <c r="A24" s="5121">
        <v>208</v>
      </c>
      <c r="B24" s="5122">
        <v>20</v>
      </c>
      <c r="C24" s="5123">
        <v>15.185</v>
      </c>
      <c r="D24" s="5123">
        <v>0</v>
      </c>
      <c r="E24" s="5123">
        <v>4.0039999999999996</v>
      </c>
      <c r="F24" s="5123">
        <v>0</v>
      </c>
      <c r="G24" s="5123">
        <v>0</v>
      </c>
      <c r="H24" s="5123">
        <v>4</v>
      </c>
      <c r="I24" s="5123">
        <v>0</v>
      </c>
      <c r="J24" s="5123">
        <v>0</v>
      </c>
      <c r="K24" s="5123">
        <v>0</v>
      </c>
      <c r="L24" s="5123">
        <v>0</v>
      </c>
      <c r="M24" s="5123">
        <v>0</v>
      </c>
      <c r="N24" s="5123">
        <v>0</v>
      </c>
      <c r="O24" s="5123">
        <v>0</v>
      </c>
      <c r="P24" s="5123">
        <v>4.0039999999999996</v>
      </c>
      <c r="Q24" s="5123">
        <v>0.496</v>
      </c>
      <c r="R24" s="5123">
        <v>0</v>
      </c>
      <c r="S24" s="5123">
        <v>0</v>
      </c>
      <c r="T24" s="5123">
        <v>0</v>
      </c>
      <c r="U24" s="5122">
        <v>20</v>
      </c>
      <c r="V24" s="5123">
        <v>18.565999999999999</v>
      </c>
      <c r="W24" s="5123">
        <v>0</v>
      </c>
      <c r="X24" s="5123">
        <v>7.8929999999999998</v>
      </c>
      <c r="Y24" s="5123">
        <v>0</v>
      </c>
      <c r="Z24" s="5123">
        <v>0</v>
      </c>
      <c r="AA24" s="5123">
        <v>5.5330000000000004</v>
      </c>
      <c r="AB24" s="5123">
        <v>0</v>
      </c>
      <c r="AC24" s="5123">
        <v>0</v>
      </c>
      <c r="AD24" s="5123">
        <v>0</v>
      </c>
      <c r="AE24" s="5123">
        <v>0</v>
      </c>
      <c r="AF24" s="5123">
        <v>0</v>
      </c>
      <c r="AG24" s="5123">
        <v>0</v>
      </c>
      <c r="AH24" s="5123">
        <v>0</v>
      </c>
      <c r="AI24" s="5123">
        <v>4.4960000000000004</v>
      </c>
      <c r="AJ24" s="5123">
        <v>2.9000000000000001E-2</v>
      </c>
      <c r="AK24" s="5123">
        <v>0</v>
      </c>
      <c r="AL24" s="5123">
        <v>0</v>
      </c>
      <c r="AM24" s="5123">
        <v>0</v>
      </c>
      <c r="AN24" s="5124">
        <f t="shared" si="0"/>
        <v>56.517000000000003</v>
      </c>
      <c r="AO24" s="5125">
        <v>56.517000000000003</v>
      </c>
      <c r="AP24" s="5126">
        <f t="shared" si="1"/>
        <v>0</v>
      </c>
    </row>
    <row r="25" spans="1:42">
      <c r="A25" s="5121">
        <v>209</v>
      </c>
      <c r="B25" s="5122">
        <v>20</v>
      </c>
      <c r="C25" s="5123">
        <v>12.47</v>
      </c>
      <c r="D25" s="5123">
        <v>0</v>
      </c>
      <c r="E25" s="5123">
        <v>8</v>
      </c>
      <c r="F25" s="5123">
        <v>0</v>
      </c>
      <c r="G25" s="5123">
        <v>0</v>
      </c>
      <c r="H25" s="5123">
        <v>0</v>
      </c>
      <c r="I25" s="5123">
        <v>0</v>
      </c>
      <c r="J25" s="5123">
        <v>0</v>
      </c>
      <c r="K25" s="5123">
        <v>0</v>
      </c>
      <c r="L25" s="5123">
        <v>0</v>
      </c>
      <c r="M25" s="5123">
        <v>0</v>
      </c>
      <c r="N25" s="5123">
        <v>0</v>
      </c>
      <c r="O25" s="5123">
        <v>0</v>
      </c>
      <c r="P25" s="5123">
        <v>3</v>
      </c>
      <c r="Q25" s="5123">
        <v>0.27</v>
      </c>
      <c r="R25" s="5123">
        <v>0</v>
      </c>
      <c r="S25" s="5123">
        <v>0</v>
      </c>
      <c r="T25" s="5123">
        <v>0</v>
      </c>
      <c r="U25" s="5122">
        <v>20</v>
      </c>
      <c r="V25" s="5123">
        <v>11.519</v>
      </c>
      <c r="W25" s="5123">
        <v>0</v>
      </c>
      <c r="X25" s="5123">
        <v>8</v>
      </c>
      <c r="Y25" s="5123">
        <v>0</v>
      </c>
      <c r="Z25" s="5123">
        <v>0</v>
      </c>
      <c r="AA25" s="5123">
        <v>0</v>
      </c>
      <c r="AB25" s="5123">
        <v>0</v>
      </c>
      <c r="AC25" s="5123">
        <v>0</v>
      </c>
      <c r="AD25" s="5123">
        <v>0</v>
      </c>
      <c r="AE25" s="5123">
        <v>0</v>
      </c>
      <c r="AF25" s="5123">
        <v>0</v>
      </c>
      <c r="AG25" s="5123">
        <v>0</v>
      </c>
      <c r="AH25" s="5123">
        <v>0</v>
      </c>
      <c r="AI25" s="5123">
        <v>3</v>
      </c>
      <c r="AJ25" s="5123">
        <v>0.33200000000000002</v>
      </c>
      <c r="AK25" s="5123">
        <v>0</v>
      </c>
      <c r="AL25" s="5123">
        <v>0</v>
      </c>
      <c r="AM25" s="5123">
        <v>0</v>
      </c>
      <c r="AN25" s="5124">
        <f t="shared" si="0"/>
        <v>42.850999999999999</v>
      </c>
      <c r="AO25" s="5125">
        <v>42.850999999999999</v>
      </c>
      <c r="AP25" s="5126">
        <f t="shared" si="1"/>
        <v>0</v>
      </c>
    </row>
    <row r="26" spans="1:42">
      <c r="A26" s="5121">
        <v>210</v>
      </c>
      <c r="B26" s="5122">
        <v>20</v>
      </c>
      <c r="C26" s="5123">
        <v>16.417000000000002</v>
      </c>
      <c r="D26" s="5123">
        <v>0</v>
      </c>
      <c r="E26" s="5123">
        <v>4</v>
      </c>
      <c r="F26" s="5123">
        <v>0</v>
      </c>
      <c r="G26" s="5123">
        <v>0</v>
      </c>
      <c r="H26" s="5123">
        <v>12.028</v>
      </c>
      <c r="I26" s="5123">
        <v>0</v>
      </c>
      <c r="J26" s="5123">
        <v>0</v>
      </c>
      <c r="K26" s="5123">
        <v>0</v>
      </c>
      <c r="L26" s="5123">
        <v>0</v>
      </c>
      <c r="M26" s="5123">
        <v>0</v>
      </c>
      <c r="N26" s="5123">
        <v>0</v>
      </c>
      <c r="O26" s="5123">
        <v>0</v>
      </c>
      <c r="P26" s="5123">
        <v>2.75</v>
      </c>
      <c r="Q26" s="5123">
        <v>0.52400000000000002</v>
      </c>
      <c r="R26" s="5123">
        <v>0</v>
      </c>
      <c r="S26" s="5123">
        <v>0</v>
      </c>
      <c r="T26" s="5123">
        <v>0</v>
      </c>
      <c r="U26" s="5122">
        <v>20</v>
      </c>
      <c r="V26" s="5123">
        <v>19.018999999999998</v>
      </c>
      <c r="W26" s="5123">
        <v>0</v>
      </c>
      <c r="X26" s="5123">
        <v>6.0049999999999999</v>
      </c>
      <c r="Y26" s="5123">
        <v>0</v>
      </c>
      <c r="Z26" s="5123">
        <v>0</v>
      </c>
      <c r="AA26" s="5123">
        <v>14.893000000000001</v>
      </c>
      <c r="AB26" s="5123">
        <v>0</v>
      </c>
      <c r="AC26" s="5123">
        <v>0</v>
      </c>
      <c r="AD26" s="5123">
        <v>0</v>
      </c>
      <c r="AE26" s="5123">
        <v>0</v>
      </c>
      <c r="AF26" s="5123">
        <v>0</v>
      </c>
      <c r="AG26" s="5123">
        <v>0</v>
      </c>
      <c r="AH26" s="5123">
        <v>0</v>
      </c>
      <c r="AI26" s="5123">
        <v>2.75</v>
      </c>
      <c r="AJ26" s="5123">
        <v>0.61</v>
      </c>
      <c r="AK26" s="5123">
        <v>0</v>
      </c>
      <c r="AL26" s="5123">
        <v>0</v>
      </c>
      <c r="AM26" s="5123">
        <v>0</v>
      </c>
      <c r="AN26" s="5124">
        <f t="shared" si="0"/>
        <v>63.277000000000001</v>
      </c>
      <c r="AO26" s="5125">
        <v>63.277000000000001</v>
      </c>
      <c r="AP26" s="5126">
        <f t="shared" si="1"/>
        <v>0</v>
      </c>
    </row>
    <row r="27" spans="1:42">
      <c r="A27" s="5121">
        <v>211</v>
      </c>
      <c r="B27" s="5122">
        <v>20</v>
      </c>
      <c r="C27" s="5123">
        <v>16.806999999999999</v>
      </c>
      <c r="D27" s="5123">
        <v>0</v>
      </c>
      <c r="E27" s="5123">
        <v>5.4619999999999997</v>
      </c>
      <c r="F27" s="5123">
        <v>0</v>
      </c>
      <c r="G27" s="5123">
        <v>0</v>
      </c>
      <c r="H27" s="5123">
        <v>0</v>
      </c>
      <c r="I27" s="5123">
        <v>0</v>
      </c>
      <c r="J27" s="5123">
        <v>0</v>
      </c>
      <c r="K27" s="5123">
        <v>0</v>
      </c>
      <c r="L27" s="5123">
        <v>0</v>
      </c>
      <c r="M27" s="5123">
        <v>0</v>
      </c>
      <c r="N27" s="5123">
        <v>0</v>
      </c>
      <c r="O27" s="5123">
        <v>0</v>
      </c>
      <c r="P27" s="5123">
        <v>2.98</v>
      </c>
      <c r="Q27" s="5123">
        <v>0</v>
      </c>
      <c r="R27" s="5123">
        <v>0</v>
      </c>
      <c r="S27" s="5123">
        <v>0</v>
      </c>
      <c r="T27" s="5123">
        <v>0</v>
      </c>
      <c r="U27" s="5122">
        <v>20</v>
      </c>
      <c r="V27" s="5123">
        <v>21.353999999999999</v>
      </c>
      <c r="W27" s="5123">
        <v>0</v>
      </c>
      <c r="X27" s="5123">
        <v>5.4969999999999999</v>
      </c>
      <c r="Y27" s="5123">
        <v>0</v>
      </c>
      <c r="Z27" s="5123">
        <v>0</v>
      </c>
      <c r="AA27" s="5123">
        <v>8.5809999999999995</v>
      </c>
      <c r="AB27" s="5123">
        <v>0</v>
      </c>
      <c r="AC27" s="5123">
        <v>0</v>
      </c>
      <c r="AD27" s="5123">
        <v>0</v>
      </c>
      <c r="AE27" s="5123">
        <v>0</v>
      </c>
      <c r="AF27" s="5123">
        <v>0</v>
      </c>
      <c r="AG27" s="5123">
        <v>0</v>
      </c>
      <c r="AH27" s="5123">
        <v>0</v>
      </c>
      <c r="AI27" s="5123">
        <v>2.9980000000000002</v>
      </c>
      <c r="AJ27" s="5123">
        <v>0</v>
      </c>
      <c r="AK27" s="5123">
        <v>0</v>
      </c>
      <c r="AL27" s="5123">
        <v>0</v>
      </c>
      <c r="AM27" s="5123">
        <v>0</v>
      </c>
      <c r="AN27" s="5124">
        <f t="shared" si="0"/>
        <v>58.43</v>
      </c>
      <c r="AO27" s="5125">
        <v>58.43</v>
      </c>
      <c r="AP27" s="5126">
        <f t="shared" si="1"/>
        <v>0</v>
      </c>
    </row>
    <row r="28" spans="1:42">
      <c r="A28" s="5121">
        <v>212</v>
      </c>
      <c r="B28" s="5122">
        <v>20</v>
      </c>
      <c r="C28" s="5123">
        <v>22.286999999999999</v>
      </c>
      <c r="D28" s="5123">
        <v>0</v>
      </c>
      <c r="E28" s="5123">
        <v>8</v>
      </c>
      <c r="F28" s="5123">
        <v>0</v>
      </c>
      <c r="G28" s="5123">
        <v>0</v>
      </c>
      <c r="H28" s="5123">
        <v>0</v>
      </c>
      <c r="I28" s="5123">
        <v>0</v>
      </c>
      <c r="J28" s="5123">
        <v>0</v>
      </c>
      <c r="K28" s="5123">
        <v>0</v>
      </c>
      <c r="L28" s="5123">
        <v>0</v>
      </c>
      <c r="M28" s="5123">
        <v>0</v>
      </c>
      <c r="N28" s="5123">
        <v>0</v>
      </c>
      <c r="O28" s="5123">
        <v>0</v>
      </c>
      <c r="P28" s="5123">
        <v>0</v>
      </c>
      <c r="Q28" s="5123">
        <v>0</v>
      </c>
      <c r="R28" s="5123">
        <v>0</v>
      </c>
      <c r="S28" s="5123">
        <v>0</v>
      </c>
      <c r="T28" s="5123">
        <v>0</v>
      </c>
      <c r="U28" s="5122">
        <v>20</v>
      </c>
      <c r="V28" s="5123">
        <v>29.79</v>
      </c>
      <c r="W28" s="5123">
        <v>0</v>
      </c>
      <c r="X28" s="5123">
        <v>8</v>
      </c>
      <c r="Y28" s="5123">
        <v>0</v>
      </c>
      <c r="Z28" s="5123">
        <v>0</v>
      </c>
      <c r="AA28" s="5123">
        <v>0</v>
      </c>
      <c r="AB28" s="5123">
        <v>0</v>
      </c>
      <c r="AC28" s="5123">
        <v>0</v>
      </c>
      <c r="AD28" s="5123">
        <v>0</v>
      </c>
      <c r="AE28" s="5123">
        <v>0</v>
      </c>
      <c r="AF28" s="5123">
        <v>0</v>
      </c>
      <c r="AG28" s="5123">
        <v>0</v>
      </c>
      <c r="AH28" s="5123">
        <v>0</v>
      </c>
      <c r="AI28" s="5123">
        <v>0</v>
      </c>
      <c r="AJ28" s="5123">
        <v>0</v>
      </c>
      <c r="AK28" s="5123">
        <v>0</v>
      </c>
      <c r="AL28" s="5123">
        <v>0</v>
      </c>
      <c r="AM28" s="5123">
        <v>0</v>
      </c>
      <c r="AN28" s="5124">
        <f t="shared" si="0"/>
        <v>57.79</v>
      </c>
      <c r="AO28" s="5125">
        <v>57.79</v>
      </c>
      <c r="AP28" s="5126">
        <f t="shared" si="1"/>
        <v>0</v>
      </c>
    </row>
    <row r="29" spans="1:42">
      <c r="A29" s="5121">
        <v>214</v>
      </c>
      <c r="B29" s="5122">
        <v>20</v>
      </c>
      <c r="C29" s="5123">
        <v>15.039</v>
      </c>
      <c r="D29" s="5123">
        <v>0</v>
      </c>
      <c r="E29" s="5123">
        <v>5</v>
      </c>
      <c r="F29" s="5123">
        <v>0</v>
      </c>
      <c r="G29" s="5123">
        <v>0</v>
      </c>
      <c r="H29" s="5123">
        <v>0</v>
      </c>
      <c r="I29" s="5123">
        <v>0</v>
      </c>
      <c r="J29" s="5123">
        <v>0</v>
      </c>
      <c r="K29" s="5123">
        <v>0</v>
      </c>
      <c r="L29" s="5123">
        <v>0</v>
      </c>
      <c r="M29" s="5123">
        <v>0</v>
      </c>
      <c r="N29" s="5123">
        <v>0</v>
      </c>
      <c r="O29" s="5123">
        <v>0</v>
      </c>
      <c r="P29" s="5123">
        <v>4</v>
      </c>
      <c r="Q29" s="5123">
        <v>1.026</v>
      </c>
      <c r="R29" s="5123">
        <v>0</v>
      </c>
      <c r="S29" s="5123">
        <v>0</v>
      </c>
      <c r="T29" s="5123">
        <v>0</v>
      </c>
      <c r="U29" s="5122">
        <v>20</v>
      </c>
      <c r="V29" s="5123">
        <v>19.933</v>
      </c>
      <c r="W29" s="5123">
        <v>0</v>
      </c>
      <c r="X29" s="5123">
        <v>5</v>
      </c>
      <c r="Y29" s="5123">
        <v>0</v>
      </c>
      <c r="Z29" s="5123">
        <v>0</v>
      </c>
      <c r="AA29" s="5123">
        <v>0</v>
      </c>
      <c r="AB29" s="5123">
        <v>0</v>
      </c>
      <c r="AC29" s="5123">
        <v>0</v>
      </c>
      <c r="AD29" s="5123">
        <v>0</v>
      </c>
      <c r="AE29" s="5123">
        <v>0</v>
      </c>
      <c r="AF29" s="5123">
        <v>0</v>
      </c>
      <c r="AG29" s="5123">
        <v>0</v>
      </c>
      <c r="AH29" s="5123">
        <v>0</v>
      </c>
      <c r="AI29" s="5123">
        <v>5</v>
      </c>
      <c r="AJ29" s="5123">
        <v>1.4259999999999999</v>
      </c>
      <c r="AK29" s="5123">
        <v>0</v>
      </c>
      <c r="AL29" s="5123">
        <v>0</v>
      </c>
      <c r="AM29" s="5123">
        <v>0</v>
      </c>
      <c r="AN29" s="5124">
        <f t="shared" si="0"/>
        <v>51.359000000000002</v>
      </c>
      <c r="AO29" s="5125">
        <v>51.359000000000002</v>
      </c>
      <c r="AP29" s="5126">
        <f t="shared" si="1"/>
        <v>0</v>
      </c>
    </row>
    <row r="30" spans="1:42">
      <c r="A30" s="5121">
        <v>215</v>
      </c>
      <c r="B30" s="5122">
        <v>20</v>
      </c>
      <c r="C30" s="5123">
        <v>13.587</v>
      </c>
      <c r="D30" s="5123">
        <v>0</v>
      </c>
      <c r="E30" s="5123">
        <v>7.0049999999999999</v>
      </c>
      <c r="F30" s="5123">
        <v>0</v>
      </c>
      <c r="G30" s="5123">
        <v>0</v>
      </c>
      <c r="H30" s="5123">
        <v>0</v>
      </c>
      <c r="I30" s="5123">
        <v>0</v>
      </c>
      <c r="J30" s="5123">
        <v>0</v>
      </c>
      <c r="K30" s="5123">
        <v>0</v>
      </c>
      <c r="L30" s="5123">
        <v>0</v>
      </c>
      <c r="M30" s="5123">
        <v>0</v>
      </c>
      <c r="N30" s="5123">
        <v>0</v>
      </c>
      <c r="O30" s="5123">
        <v>0</v>
      </c>
      <c r="P30" s="5123">
        <v>4</v>
      </c>
      <c r="Q30" s="5123">
        <v>0.92</v>
      </c>
      <c r="R30" s="5123">
        <v>0</v>
      </c>
      <c r="S30" s="5123">
        <v>0</v>
      </c>
      <c r="T30" s="5123">
        <v>0</v>
      </c>
      <c r="U30" s="5122">
        <v>20</v>
      </c>
      <c r="V30" s="5123">
        <v>15.78</v>
      </c>
      <c r="W30" s="5123">
        <v>0</v>
      </c>
      <c r="X30" s="5123">
        <v>6.9909999999999997</v>
      </c>
      <c r="Y30" s="5123">
        <v>0</v>
      </c>
      <c r="Z30" s="5123">
        <v>0</v>
      </c>
      <c r="AA30" s="5123">
        <v>0</v>
      </c>
      <c r="AB30" s="5123">
        <v>0</v>
      </c>
      <c r="AC30" s="5123">
        <v>0</v>
      </c>
      <c r="AD30" s="5123">
        <v>0</v>
      </c>
      <c r="AE30" s="5123">
        <v>0</v>
      </c>
      <c r="AF30" s="5123">
        <v>0</v>
      </c>
      <c r="AG30" s="5123">
        <v>0</v>
      </c>
      <c r="AH30" s="5123">
        <v>0</v>
      </c>
      <c r="AI30" s="5123">
        <v>3.68</v>
      </c>
      <c r="AJ30" s="5123">
        <v>1.532</v>
      </c>
      <c r="AK30" s="5123">
        <v>0</v>
      </c>
      <c r="AL30" s="5123">
        <v>0</v>
      </c>
      <c r="AM30" s="5123">
        <v>0</v>
      </c>
      <c r="AN30" s="5124">
        <f t="shared" si="0"/>
        <v>47.982999999999997</v>
      </c>
      <c r="AO30" s="5125">
        <v>47.982999999999997</v>
      </c>
      <c r="AP30" s="5126">
        <f t="shared" si="1"/>
        <v>0</v>
      </c>
    </row>
    <row r="31" spans="1:42">
      <c r="A31" s="5121">
        <v>216</v>
      </c>
      <c r="B31" s="5122">
        <v>20</v>
      </c>
      <c r="C31" s="5123">
        <v>14.016</v>
      </c>
      <c r="D31" s="5123">
        <v>0</v>
      </c>
      <c r="E31" s="5123">
        <v>5.0789999999999997</v>
      </c>
      <c r="F31" s="5123">
        <v>0</v>
      </c>
      <c r="G31" s="5123">
        <v>0</v>
      </c>
      <c r="H31" s="5123">
        <v>0</v>
      </c>
      <c r="I31" s="5123">
        <v>0</v>
      </c>
      <c r="J31" s="5123">
        <v>0</v>
      </c>
      <c r="K31" s="5123">
        <v>0</v>
      </c>
      <c r="L31" s="5123">
        <v>0</v>
      </c>
      <c r="M31" s="5123">
        <v>0</v>
      </c>
      <c r="N31" s="5123">
        <v>0</v>
      </c>
      <c r="O31" s="5123">
        <v>0</v>
      </c>
      <c r="P31" s="5123">
        <v>3</v>
      </c>
      <c r="Q31" s="5123">
        <v>0</v>
      </c>
      <c r="R31" s="5123">
        <v>0</v>
      </c>
      <c r="S31" s="5123">
        <v>0</v>
      </c>
      <c r="T31" s="5123">
        <v>0</v>
      </c>
      <c r="U31" s="5122">
        <v>20</v>
      </c>
      <c r="V31" s="5123">
        <v>14.108000000000001</v>
      </c>
      <c r="W31" s="5123">
        <v>0</v>
      </c>
      <c r="X31" s="5123">
        <v>8</v>
      </c>
      <c r="Y31" s="5123">
        <v>0</v>
      </c>
      <c r="Z31" s="5123">
        <v>0</v>
      </c>
      <c r="AA31" s="5123">
        <v>0</v>
      </c>
      <c r="AB31" s="5123">
        <v>0</v>
      </c>
      <c r="AC31" s="5123">
        <v>0</v>
      </c>
      <c r="AD31" s="5123">
        <v>0</v>
      </c>
      <c r="AE31" s="5123">
        <v>0</v>
      </c>
      <c r="AF31" s="5123">
        <v>0</v>
      </c>
      <c r="AG31" s="5123">
        <v>0</v>
      </c>
      <c r="AH31" s="5123">
        <v>0</v>
      </c>
      <c r="AI31" s="5123">
        <v>4</v>
      </c>
      <c r="AJ31" s="5123">
        <v>1.002</v>
      </c>
      <c r="AK31" s="5123">
        <v>0</v>
      </c>
      <c r="AL31" s="5123">
        <v>0</v>
      </c>
      <c r="AM31" s="5123">
        <v>0</v>
      </c>
      <c r="AN31" s="5124">
        <f t="shared" si="0"/>
        <v>47.11</v>
      </c>
      <c r="AO31" s="5125">
        <v>47.11</v>
      </c>
      <c r="AP31" s="5126">
        <f t="shared" si="1"/>
        <v>0</v>
      </c>
    </row>
    <row r="32" spans="1:42">
      <c r="A32" s="5121">
        <v>217</v>
      </c>
      <c r="B32" s="5122">
        <v>20</v>
      </c>
      <c r="C32" s="5123">
        <v>11.321999999999999</v>
      </c>
      <c r="D32" s="5123">
        <v>0</v>
      </c>
      <c r="E32" s="5123">
        <v>7.8520000000000003</v>
      </c>
      <c r="F32" s="5123">
        <v>0</v>
      </c>
      <c r="G32" s="5123">
        <v>0</v>
      </c>
      <c r="H32" s="5123">
        <v>0</v>
      </c>
      <c r="I32" s="5123">
        <v>0</v>
      </c>
      <c r="J32" s="5123">
        <v>0</v>
      </c>
      <c r="K32" s="5123">
        <v>0</v>
      </c>
      <c r="L32" s="5123">
        <v>0</v>
      </c>
      <c r="M32" s="5123">
        <v>0</v>
      </c>
      <c r="N32" s="5123">
        <v>0</v>
      </c>
      <c r="O32" s="5123">
        <v>0</v>
      </c>
      <c r="P32" s="5123">
        <v>2.02</v>
      </c>
      <c r="Q32" s="5123">
        <v>0.4</v>
      </c>
      <c r="R32" s="5123">
        <v>0</v>
      </c>
      <c r="S32" s="5123">
        <v>0</v>
      </c>
      <c r="T32" s="5123">
        <v>0</v>
      </c>
      <c r="U32" s="5122">
        <v>20</v>
      </c>
      <c r="V32" s="5123">
        <v>11.997</v>
      </c>
      <c r="W32" s="5123">
        <v>0</v>
      </c>
      <c r="X32" s="5123">
        <v>8</v>
      </c>
      <c r="Y32" s="5123">
        <v>0</v>
      </c>
      <c r="Z32" s="5123">
        <v>0</v>
      </c>
      <c r="AA32" s="5123">
        <v>0</v>
      </c>
      <c r="AB32" s="5123">
        <v>0</v>
      </c>
      <c r="AC32" s="5123">
        <v>0</v>
      </c>
      <c r="AD32" s="5123">
        <v>0</v>
      </c>
      <c r="AE32" s="5123">
        <v>0</v>
      </c>
      <c r="AF32" s="5123">
        <v>0</v>
      </c>
      <c r="AG32" s="5123">
        <v>0</v>
      </c>
      <c r="AH32" s="5123">
        <v>0</v>
      </c>
      <c r="AI32" s="5123">
        <v>4</v>
      </c>
      <c r="AJ32" s="5123">
        <v>0.58499999999999996</v>
      </c>
      <c r="AK32" s="5123">
        <v>0</v>
      </c>
      <c r="AL32" s="5123">
        <v>0</v>
      </c>
      <c r="AM32" s="5123">
        <v>0</v>
      </c>
      <c r="AN32" s="5124">
        <f t="shared" si="0"/>
        <v>44.582000000000001</v>
      </c>
      <c r="AO32" s="5125">
        <v>44.582000000000001</v>
      </c>
      <c r="AP32" s="5126">
        <f t="shared" si="1"/>
        <v>0</v>
      </c>
    </row>
    <row r="33" spans="1:42">
      <c r="A33" s="5121">
        <v>218</v>
      </c>
      <c r="B33" s="5122">
        <v>20</v>
      </c>
      <c r="C33" s="5123">
        <v>0</v>
      </c>
      <c r="D33" s="5123">
        <v>0</v>
      </c>
      <c r="E33" s="5123">
        <v>3.8580000000000001</v>
      </c>
      <c r="F33" s="5123">
        <v>0</v>
      </c>
      <c r="G33" s="5123">
        <v>0</v>
      </c>
      <c r="H33" s="5123">
        <v>0</v>
      </c>
      <c r="I33" s="5123">
        <v>0</v>
      </c>
      <c r="J33" s="5123">
        <v>0</v>
      </c>
      <c r="K33" s="5123">
        <v>0</v>
      </c>
      <c r="L33" s="5123">
        <v>0</v>
      </c>
      <c r="M33" s="5123">
        <v>0</v>
      </c>
      <c r="N33" s="5123">
        <v>0</v>
      </c>
      <c r="O33" s="5123">
        <v>0</v>
      </c>
      <c r="P33" s="5123">
        <v>2.8929999999999998</v>
      </c>
      <c r="Q33" s="5123">
        <v>0</v>
      </c>
      <c r="R33" s="5123">
        <v>0</v>
      </c>
      <c r="S33" s="5123">
        <v>0</v>
      </c>
      <c r="T33" s="5123">
        <v>0</v>
      </c>
      <c r="U33" s="5122">
        <v>20</v>
      </c>
      <c r="V33" s="5123">
        <v>3.2530000000000001</v>
      </c>
      <c r="W33" s="5123">
        <v>0</v>
      </c>
      <c r="X33" s="5123">
        <v>7.9630000000000001</v>
      </c>
      <c r="Y33" s="5123">
        <v>0</v>
      </c>
      <c r="Z33" s="5123">
        <v>0</v>
      </c>
      <c r="AA33" s="5123">
        <v>0</v>
      </c>
      <c r="AB33" s="5123">
        <v>0</v>
      </c>
      <c r="AC33" s="5123">
        <v>0</v>
      </c>
      <c r="AD33" s="5123">
        <v>0</v>
      </c>
      <c r="AE33" s="5123">
        <v>0</v>
      </c>
      <c r="AF33" s="5123">
        <v>0</v>
      </c>
      <c r="AG33" s="5123">
        <v>0</v>
      </c>
      <c r="AH33" s="5123">
        <v>0</v>
      </c>
      <c r="AI33" s="5123">
        <v>2.9860000000000002</v>
      </c>
      <c r="AJ33" s="5123">
        <v>0</v>
      </c>
      <c r="AK33" s="5123">
        <v>0</v>
      </c>
      <c r="AL33" s="5123">
        <v>0</v>
      </c>
      <c r="AM33" s="5123">
        <v>0</v>
      </c>
      <c r="AN33" s="5124">
        <f t="shared" si="0"/>
        <v>34.201999999999998</v>
      </c>
      <c r="AO33" s="5125">
        <v>34.201999999999998</v>
      </c>
      <c r="AP33" s="5126">
        <f t="shared" si="1"/>
        <v>0</v>
      </c>
    </row>
    <row r="34" spans="1:42">
      <c r="A34" s="5121">
        <v>219</v>
      </c>
      <c r="B34" s="5122">
        <v>20</v>
      </c>
      <c r="C34" s="5123">
        <v>26.07</v>
      </c>
      <c r="D34" s="5123">
        <v>0</v>
      </c>
      <c r="E34" s="5123">
        <v>3.9740000000000002</v>
      </c>
      <c r="F34" s="5123">
        <v>0</v>
      </c>
      <c r="G34" s="5123">
        <v>0</v>
      </c>
      <c r="H34" s="5123">
        <v>13.843999999999999</v>
      </c>
      <c r="I34" s="5123">
        <v>0</v>
      </c>
      <c r="J34" s="5123">
        <v>0</v>
      </c>
      <c r="K34" s="5123">
        <v>0</v>
      </c>
      <c r="L34" s="5123">
        <v>0</v>
      </c>
      <c r="M34" s="5123">
        <v>0</v>
      </c>
      <c r="N34" s="5123">
        <v>0</v>
      </c>
      <c r="O34" s="5123">
        <v>0</v>
      </c>
      <c r="P34" s="5123">
        <v>0.99299999999999999</v>
      </c>
      <c r="Q34" s="5123">
        <v>0</v>
      </c>
      <c r="R34" s="5123">
        <v>0</v>
      </c>
      <c r="S34" s="5123">
        <v>0</v>
      </c>
      <c r="T34" s="5123">
        <v>0</v>
      </c>
      <c r="U34" s="5122">
        <v>20</v>
      </c>
      <c r="V34" s="5123">
        <v>28.396000000000001</v>
      </c>
      <c r="W34" s="5123">
        <v>0</v>
      </c>
      <c r="X34" s="5123">
        <v>3.9780000000000002</v>
      </c>
      <c r="Y34" s="5123">
        <v>0</v>
      </c>
      <c r="Z34" s="5123">
        <v>0</v>
      </c>
      <c r="AA34" s="5123">
        <v>13.279</v>
      </c>
      <c r="AB34" s="5123">
        <v>0</v>
      </c>
      <c r="AC34" s="5123">
        <v>0</v>
      </c>
      <c r="AD34" s="5123">
        <v>0</v>
      </c>
      <c r="AE34" s="5123">
        <v>0</v>
      </c>
      <c r="AF34" s="5123">
        <v>0</v>
      </c>
      <c r="AG34" s="5123">
        <v>0</v>
      </c>
      <c r="AH34" s="5123">
        <v>0</v>
      </c>
      <c r="AI34" s="5123">
        <v>1</v>
      </c>
      <c r="AJ34" s="5123">
        <v>0</v>
      </c>
      <c r="AK34" s="5123">
        <v>0</v>
      </c>
      <c r="AL34" s="5123">
        <v>0</v>
      </c>
      <c r="AM34" s="5123">
        <v>0</v>
      </c>
      <c r="AN34" s="5124">
        <f t="shared" si="0"/>
        <v>66.653000000000006</v>
      </c>
      <c r="AO34" s="5125">
        <v>66.653000000000006</v>
      </c>
      <c r="AP34" s="5126">
        <f t="shared" si="1"/>
        <v>0</v>
      </c>
    </row>
    <row r="35" spans="1:42">
      <c r="A35" s="5121">
        <v>220</v>
      </c>
      <c r="B35" s="5122">
        <v>20</v>
      </c>
      <c r="C35" s="5127">
        <v>21.288</v>
      </c>
      <c r="D35" s="5123">
        <v>0</v>
      </c>
      <c r="E35" s="5123">
        <v>6.665</v>
      </c>
      <c r="F35" s="5123">
        <v>0</v>
      </c>
      <c r="G35" s="5123">
        <v>0</v>
      </c>
      <c r="H35" s="5123">
        <v>0</v>
      </c>
      <c r="I35" s="5123">
        <v>0</v>
      </c>
      <c r="J35" s="5123">
        <v>0</v>
      </c>
      <c r="K35" s="5123">
        <v>0</v>
      </c>
      <c r="L35" s="5123">
        <v>0</v>
      </c>
      <c r="M35" s="5123">
        <v>0</v>
      </c>
      <c r="N35" s="5123">
        <v>0</v>
      </c>
      <c r="O35" s="5123">
        <v>0</v>
      </c>
      <c r="P35" s="5123">
        <v>1</v>
      </c>
      <c r="Q35" s="5123">
        <v>0</v>
      </c>
      <c r="R35" s="5123">
        <v>0</v>
      </c>
      <c r="S35" s="5123">
        <v>0</v>
      </c>
      <c r="T35" s="5123">
        <v>0</v>
      </c>
      <c r="U35" s="5122">
        <v>20</v>
      </c>
      <c r="V35" s="5123">
        <v>23.178999999999998</v>
      </c>
      <c r="W35" s="5123">
        <v>0</v>
      </c>
      <c r="X35" s="5123">
        <v>5.9939999999999998</v>
      </c>
      <c r="Y35" s="5123">
        <v>0</v>
      </c>
      <c r="Z35" s="5123">
        <v>0</v>
      </c>
      <c r="AA35" s="5123">
        <v>0</v>
      </c>
      <c r="AB35" s="5123">
        <v>0</v>
      </c>
      <c r="AC35" s="5123">
        <v>0</v>
      </c>
      <c r="AD35" s="5123">
        <v>0</v>
      </c>
      <c r="AE35" s="5123">
        <v>0</v>
      </c>
      <c r="AF35" s="5123">
        <v>0</v>
      </c>
      <c r="AG35" s="5123">
        <v>0</v>
      </c>
      <c r="AH35" s="5123">
        <v>0</v>
      </c>
      <c r="AI35" s="5123">
        <v>0.999</v>
      </c>
      <c r="AJ35" s="5123">
        <v>0</v>
      </c>
      <c r="AK35" s="5123">
        <v>0</v>
      </c>
      <c r="AL35" s="5123">
        <v>0</v>
      </c>
      <c r="AM35" s="5123">
        <v>0</v>
      </c>
      <c r="AN35" s="5124">
        <f t="shared" si="0"/>
        <v>50.171999999999997</v>
      </c>
      <c r="AO35" s="5125">
        <v>50.171999999999997</v>
      </c>
      <c r="AP35" s="5126">
        <f t="shared" si="1"/>
        <v>0</v>
      </c>
    </row>
    <row r="36" spans="1:42">
      <c r="A36" s="5121">
        <v>223</v>
      </c>
      <c r="B36" s="5122">
        <v>20</v>
      </c>
      <c r="C36" s="5123">
        <v>19.004000000000001</v>
      </c>
      <c r="D36" s="5123">
        <v>0</v>
      </c>
      <c r="E36" s="5123">
        <v>8</v>
      </c>
      <c r="F36" s="5123">
        <v>0</v>
      </c>
      <c r="G36" s="5123">
        <v>0</v>
      </c>
      <c r="H36" s="5123">
        <v>0</v>
      </c>
      <c r="I36" s="5123">
        <v>0</v>
      </c>
      <c r="J36" s="5123">
        <v>0</v>
      </c>
      <c r="K36" s="5123">
        <v>0</v>
      </c>
      <c r="L36" s="5123">
        <v>0</v>
      </c>
      <c r="M36" s="5123">
        <v>0</v>
      </c>
      <c r="N36" s="5123">
        <v>0</v>
      </c>
      <c r="O36" s="5123">
        <v>0</v>
      </c>
      <c r="P36" s="5123">
        <v>0</v>
      </c>
      <c r="Q36" s="5123">
        <v>0</v>
      </c>
      <c r="R36" s="5123">
        <v>0</v>
      </c>
      <c r="S36" s="5123">
        <v>0</v>
      </c>
      <c r="T36" s="5123">
        <v>0</v>
      </c>
      <c r="U36" s="5122">
        <v>20</v>
      </c>
      <c r="V36" s="5123">
        <v>19.577000000000002</v>
      </c>
      <c r="W36" s="5123">
        <v>0</v>
      </c>
      <c r="X36" s="5123">
        <v>7.9960000000000004</v>
      </c>
      <c r="Y36" s="5123">
        <v>0</v>
      </c>
      <c r="Z36" s="5123">
        <v>0</v>
      </c>
      <c r="AA36" s="5123">
        <v>0</v>
      </c>
      <c r="AB36" s="5123">
        <v>0</v>
      </c>
      <c r="AC36" s="5123">
        <v>0</v>
      </c>
      <c r="AD36" s="5123">
        <v>0</v>
      </c>
      <c r="AE36" s="5123">
        <v>0</v>
      </c>
      <c r="AF36" s="5123">
        <v>0</v>
      </c>
      <c r="AG36" s="5123">
        <v>0</v>
      </c>
      <c r="AH36" s="5123">
        <v>0</v>
      </c>
      <c r="AI36" s="5123">
        <v>0</v>
      </c>
      <c r="AJ36" s="5123">
        <v>0</v>
      </c>
      <c r="AK36" s="5123">
        <v>0</v>
      </c>
      <c r="AL36" s="5123">
        <v>0</v>
      </c>
      <c r="AM36" s="5123">
        <v>0</v>
      </c>
      <c r="AN36" s="5124">
        <f t="shared" si="0"/>
        <v>47.573</v>
      </c>
      <c r="AO36" s="5125">
        <v>47.573</v>
      </c>
      <c r="AP36" s="5126">
        <f t="shared" si="1"/>
        <v>0</v>
      </c>
    </row>
    <row r="37" spans="1:42">
      <c r="A37" s="5121">
        <v>224</v>
      </c>
      <c r="B37" s="5122">
        <v>20</v>
      </c>
      <c r="C37" s="5123">
        <v>21.602</v>
      </c>
      <c r="D37" s="5123">
        <v>0</v>
      </c>
      <c r="E37" s="5123">
        <v>0</v>
      </c>
      <c r="F37" s="5123">
        <v>0</v>
      </c>
      <c r="G37" s="5123">
        <v>0</v>
      </c>
      <c r="H37" s="5123">
        <v>0</v>
      </c>
      <c r="I37" s="5123">
        <v>0</v>
      </c>
      <c r="J37" s="5123">
        <v>0</v>
      </c>
      <c r="K37" s="5123">
        <v>0</v>
      </c>
      <c r="L37" s="5123">
        <v>0</v>
      </c>
      <c r="M37" s="5123">
        <v>0</v>
      </c>
      <c r="N37" s="5123">
        <v>0</v>
      </c>
      <c r="O37" s="5123">
        <v>0</v>
      </c>
      <c r="P37" s="5123">
        <v>0</v>
      </c>
      <c r="Q37" s="5123">
        <v>0</v>
      </c>
      <c r="R37" s="5123">
        <v>0</v>
      </c>
      <c r="S37" s="5123">
        <v>0</v>
      </c>
      <c r="T37" s="5123">
        <v>0</v>
      </c>
      <c r="U37" s="5122">
        <v>20</v>
      </c>
      <c r="V37" s="5123">
        <v>20.356000000000002</v>
      </c>
      <c r="W37" s="5123">
        <v>0</v>
      </c>
      <c r="X37" s="5123">
        <v>0</v>
      </c>
      <c r="Y37" s="5123">
        <v>0</v>
      </c>
      <c r="Z37" s="5123">
        <v>0</v>
      </c>
      <c r="AA37" s="5123">
        <v>0</v>
      </c>
      <c r="AB37" s="5123">
        <v>0</v>
      </c>
      <c r="AC37" s="5123">
        <v>0</v>
      </c>
      <c r="AD37" s="5123">
        <v>0</v>
      </c>
      <c r="AE37" s="5123">
        <v>0</v>
      </c>
      <c r="AF37" s="5123">
        <v>0</v>
      </c>
      <c r="AG37" s="5123">
        <v>0</v>
      </c>
      <c r="AH37" s="5123">
        <v>0</v>
      </c>
      <c r="AI37" s="5123">
        <v>0</v>
      </c>
      <c r="AJ37" s="5123">
        <v>0</v>
      </c>
      <c r="AK37" s="5123">
        <v>0</v>
      </c>
      <c r="AL37" s="5123">
        <v>0</v>
      </c>
      <c r="AM37" s="5123">
        <v>0</v>
      </c>
      <c r="AN37" s="5124">
        <f t="shared" si="0"/>
        <v>40.356000000000002</v>
      </c>
      <c r="AO37" s="5125">
        <v>40.356000000000002</v>
      </c>
      <c r="AP37" s="5126">
        <f t="shared" si="1"/>
        <v>0</v>
      </c>
    </row>
    <row r="38" spans="1:42">
      <c r="A38" s="5121">
        <v>225</v>
      </c>
      <c r="B38" s="5122">
        <v>20</v>
      </c>
      <c r="C38" s="5123">
        <v>28.173999999999999</v>
      </c>
      <c r="D38" s="5123">
        <v>0</v>
      </c>
      <c r="E38" s="5123">
        <v>4</v>
      </c>
      <c r="F38" s="5123">
        <v>0</v>
      </c>
      <c r="G38" s="5123">
        <v>0</v>
      </c>
      <c r="H38" s="5123">
        <v>9.6310000000000002</v>
      </c>
      <c r="I38" s="5123">
        <v>0</v>
      </c>
      <c r="J38" s="5123">
        <v>0</v>
      </c>
      <c r="K38" s="5123">
        <v>0</v>
      </c>
      <c r="L38" s="5123">
        <v>0</v>
      </c>
      <c r="M38" s="5123">
        <v>0</v>
      </c>
      <c r="N38" s="5123">
        <v>0</v>
      </c>
      <c r="O38" s="5123">
        <v>0</v>
      </c>
      <c r="P38" s="5123">
        <v>2</v>
      </c>
      <c r="Q38" s="5123">
        <v>0</v>
      </c>
      <c r="R38" s="5123">
        <v>0</v>
      </c>
      <c r="S38" s="5123">
        <v>0</v>
      </c>
      <c r="T38" s="5123">
        <v>0</v>
      </c>
      <c r="U38" s="5122">
        <v>20</v>
      </c>
      <c r="V38" s="5123">
        <v>30.341999999999999</v>
      </c>
      <c r="W38" s="5123">
        <v>0</v>
      </c>
      <c r="X38" s="5123">
        <v>3.9260000000000002</v>
      </c>
      <c r="Y38" s="5123">
        <v>0</v>
      </c>
      <c r="Z38" s="5123">
        <v>0</v>
      </c>
      <c r="AA38" s="5123">
        <v>8.8170000000000002</v>
      </c>
      <c r="AB38" s="5123">
        <v>0</v>
      </c>
      <c r="AC38" s="5123">
        <v>0</v>
      </c>
      <c r="AD38" s="5123">
        <v>0</v>
      </c>
      <c r="AE38" s="5123">
        <v>0</v>
      </c>
      <c r="AF38" s="5123">
        <v>0</v>
      </c>
      <c r="AG38" s="5123">
        <v>0</v>
      </c>
      <c r="AH38" s="5123">
        <v>0</v>
      </c>
      <c r="AI38" s="5123">
        <v>1.9490000000000001</v>
      </c>
      <c r="AJ38" s="5123">
        <v>0</v>
      </c>
      <c r="AK38" s="5123">
        <v>0</v>
      </c>
      <c r="AL38" s="5123">
        <v>0</v>
      </c>
      <c r="AM38" s="5123">
        <v>0</v>
      </c>
      <c r="AN38" s="5124">
        <f t="shared" si="0"/>
        <v>65.034000000000006</v>
      </c>
      <c r="AO38" s="5125">
        <v>65.034000000000006</v>
      </c>
      <c r="AP38" s="5126">
        <f t="shared" si="1"/>
        <v>0</v>
      </c>
    </row>
    <row r="39" spans="1:42">
      <c r="A39" s="5121">
        <v>226</v>
      </c>
      <c r="B39" s="5122">
        <v>20</v>
      </c>
      <c r="C39" s="5123">
        <v>15.308999999999999</v>
      </c>
      <c r="D39" s="5123">
        <v>0</v>
      </c>
      <c r="E39" s="5123">
        <v>6.6849999999999996</v>
      </c>
      <c r="F39" s="5123">
        <v>0</v>
      </c>
      <c r="G39" s="5123">
        <v>0</v>
      </c>
      <c r="H39" s="5123">
        <v>5.1210000000000004</v>
      </c>
      <c r="I39" s="5123">
        <v>0</v>
      </c>
      <c r="J39" s="5123">
        <v>0</v>
      </c>
      <c r="K39" s="5123">
        <v>0</v>
      </c>
      <c r="L39" s="5123">
        <v>0</v>
      </c>
      <c r="M39" s="5123">
        <v>0</v>
      </c>
      <c r="N39" s="5123">
        <v>0</v>
      </c>
      <c r="O39" s="5123">
        <v>0</v>
      </c>
      <c r="P39" s="5123">
        <v>0.83599999999999997</v>
      </c>
      <c r="Q39" s="5123">
        <v>0</v>
      </c>
      <c r="R39" s="5123">
        <v>0</v>
      </c>
      <c r="S39" s="5123">
        <v>0</v>
      </c>
      <c r="T39" s="5123">
        <v>0</v>
      </c>
      <c r="U39" s="5122">
        <v>20</v>
      </c>
      <c r="V39" s="5123">
        <v>0</v>
      </c>
      <c r="W39" s="5123">
        <v>0</v>
      </c>
      <c r="X39" s="5123">
        <v>7.8739999999999997</v>
      </c>
      <c r="Y39" s="5123">
        <v>0</v>
      </c>
      <c r="Z39" s="5123">
        <v>0</v>
      </c>
      <c r="AA39" s="5123">
        <v>5.827</v>
      </c>
      <c r="AB39" s="5123">
        <v>0</v>
      </c>
      <c r="AC39" s="5123">
        <v>0</v>
      </c>
      <c r="AD39" s="5123">
        <v>0</v>
      </c>
      <c r="AE39" s="5123">
        <v>0</v>
      </c>
      <c r="AF39" s="5123">
        <v>0</v>
      </c>
      <c r="AG39" s="5123">
        <v>0</v>
      </c>
      <c r="AH39" s="5123">
        <v>0</v>
      </c>
      <c r="AI39" s="5123">
        <v>0.98399999999999999</v>
      </c>
      <c r="AJ39" s="5123">
        <v>0</v>
      </c>
      <c r="AK39" s="5123">
        <v>0</v>
      </c>
      <c r="AL39" s="5123">
        <v>0</v>
      </c>
      <c r="AM39" s="5123">
        <v>0</v>
      </c>
      <c r="AN39" s="5124">
        <f t="shared" si="0"/>
        <v>34.685000000000002</v>
      </c>
      <c r="AO39" s="5125">
        <v>34.685000000000002</v>
      </c>
      <c r="AP39" s="5126">
        <f t="shared" si="1"/>
        <v>0</v>
      </c>
    </row>
    <row r="40" spans="1:42">
      <c r="A40" s="5121">
        <v>227</v>
      </c>
      <c r="B40" s="5122">
        <v>20</v>
      </c>
      <c r="C40" s="5123">
        <v>12.292</v>
      </c>
      <c r="D40" s="5123">
        <v>0</v>
      </c>
      <c r="E40" s="5123">
        <v>8</v>
      </c>
      <c r="F40" s="5123">
        <v>0</v>
      </c>
      <c r="G40" s="5123">
        <v>0</v>
      </c>
      <c r="H40" s="5123">
        <v>0</v>
      </c>
      <c r="I40" s="5123">
        <v>13.254</v>
      </c>
      <c r="J40" s="5123">
        <v>0</v>
      </c>
      <c r="K40" s="5123">
        <v>0</v>
      </c>
      <c r="L40" s="5123">
        <v>0</v>
      </c>
      <c r="M40" s="5123">
        <v>0</v>
      </c>
      <c r="N40" s="5123">
        <v>0</v>
      </c>
      <c r="O40" s="5123">
        <v>0</v>
      </c>
      <c r="P40" s="5123">
        <v>1.5</v>
      </c>
      <c r="Q40" s="5123">
        <v>0</v>
      </c>
      <c r="R40" s="5123">
        <v>0</v>
      </c>
      <c r="S40" s="5123">
        <v>0</v>
      </c>
      <c r="T40" s="5123">
        <v>0</v>
      </c>
      <c r="U40" s="5122">
        <v>20</v>
      </c>
      <c r="V40" s="5123">
        <v>16.282</v>
      </c>
      <c r="W40" s="5123">
        <v>0</v>
      </c>
      <c r="X40" s="5123">
        <v>7.9980000000000002</v>
      </c>
      <c r="Y40" s="5123">
        <v>0</v>
      </c>
      <c r="Z40" s="5123">
        <v>0</v>
      </c>
      <c r="AA40" s="5123">
        <v>0</v>
      </c>
      <c r="AB40" s="5123">
        <v>12.25</v>
      </c>
      <c r="AC40" s="5123">
        <v>0</v>
      </c>
      <c r="AD40" s="5123">
        <v>0</v>
      </c>
      <c r="AE40" s="5123">
        <v>0</v>
      </c>
      <c r="AF40" s="5123">
        <v>0</v>
      </c>
      <c r="AG40" s="5123">
        <v>0</v>
      </c>
      <c r="AH40" s="5123">
        <v>0</v>
      </c>
      <c r="AI40" s="5123">
        <v>1.5</v>
      </c>
      <c r="AJ40" s="5123">
        <v>0</v>
      </c>
      <c r="AK40" s="5123">
        <v>0</v>
      </c>
      <c r="AL40" s="5123">
        <v>0</v>
      </c>
      <c r="AM40" s="5123">
        <v>0</v>
      </c>
      <c r="AN40" s="5124">
        <f t="shared" si="0"/>
        <v>58.03</v>
      </c>
      <c r="AO40" s="5125">
        <v>58.03</v>
      </c>
      <c r="AP40" s="5126">
        <f t="shared" si="1"/>
        <v>0</v>
      </c>
    </row>
    <row r="41" spans="1:42">
      <c r="A41" s="5121">
        <v>229</v>
      </c>
      <c r="B41" s="5122">
        <v>20</v>
      </c>
      <c r="C41" s="5123">
        <v>16.46</v>
      </c>
      <c r="D41" s="5123">
        <v>0</v>
      </c>
      <c r="E41" s="5123">
        <v>8</v>
      </c>
      <c r="F41" s="5123">
        <v>4.8000000000000001E-2</v>
      </c>
      <c r="G41" s="5123">
        <v>0</v>
      </c>
      <c r="H41" s="5123">
        <v>17.114999999999998</v>
      </c>
      <c r="I41" s="5123">
        <v>0</v>
      </c>
      <c r="J41" s="5123">
        <v>0</v>
      </c>
      <c r="K41" s="5123">
        <v>0.28599999999999998</v>
      </c>
      <c r="L41" s="5123">
        <v>0</v>
      </c>
      <c r="M41" s="5123">
        <v>0</v>
      </c>
      <c r="N41" s="5123">
        <v>0</v>
      </c>
      <c r="O41" s="5123">
        <v>0</v>
      </c>
      <c r="P41" s="5123">
        <v>1.893</v>
      </c>
      <c r="Q41" s="5123">
        <v>0.309</v>
      </c>
      <c r="R41" s="5123">
        <v>3.7360000000000002</v>
      </c>
      <c r="S41" s="5123">
        <v>0</v>
      </c>
      <c r="T41" s="5123">
        <v>2.294</v>
      </c>
      <c r="U41" s="5122">
        <v>20</v>
      </c>
      <c r="V41" s="5123">
        <v>15.776</v>
      </c>
      <c r="W41" s="5123">
        <v>0</v>
      </c>
      <c r="X41" s="5123">
        <v>8</v>
      </c>
      <c r="Y41" s="5123">
        <v>4.2999999999999997E-2</v>
      </c>
      <c r="Z41" s="5123">
        <v>0</v>
      </c>
      <c r="AA41" s="5123">
        <v>18.012</v>
      </c>
      <c r="AB41" s="5123">
        <v>0</v>
      </c>
      <c r="AC41" s="5123">
        <v>0</v>
      </c>
      <c r="AD41" s="5123">
        <v>2.7E-2</v>
      </c>
      <c r="AE41" s="5123">
        <v>0</v>
      </c>
      <c r="AF41" s="5123">
        <v>0</v>
      </c>
      <c r="AG41" s="5123">
        <v>0</v>
      </c>
      <c r="AH41" s="5123">
        <v>0</v>
      </c>
      <c r="AI41" s="5123">
        <v>1.81</v>
      </c>
      <c r="AJ41" s="5123">
        <v>0.39</v>
      </c>
      <c r="AK41" s="5123">
        <v>3.528</v>
      </c>
      <c r="AL41" s="5123">
        <v>0</v>
      </c>
      <c r="AM41" s="5123">
        <v>2.5030000000000001</v>
      </c>
      <c r="AN41" s="5124">
        <f t="shared" si="0"/>
        <v>70.088999999999999</v>
      </c>
      <c r="AO41" s="5125">
        <v>70.088999999999999</v>
      </c>
      <c r="AP41" s="5126">
        <f t="shared" si="1"/>
        <v>0</v>
      </c>
    </row>
    <row r="42" spans="1:42">
      <c r="A42" s="5121">
        <v>230</v>
      </c>
      <c r="B42" s="5122">
        <v>20</v>
      </c>
      <c r="C42" s="5123">
        <v>8.5909999999999993</v>
      </c>
      <c r="D42" s="5123">
        <v>0</v>
      </c>
      <c r="E42" s="5123">
        <v>0</v>
      </c>
      <c r="F42" s="5123">
        <v>0.123</v>
      </c>
      <c r="G42" s="5123">
        <v>0</v>
      </c>
      <c r="H42" s="5123">
        <v>20.521999999999998</v>
      </c>
      <c r="I42" s="5123">
        <v>0</v>
      </c>
      <c r="J42" s="5123">
        <v>0</v>
      </c>
      <c r="K42" s="5123">
        <v>3.839</v>
      </c>
      <c r="L42" s="5123">
        <v>0</v>
      </c>
      <c r="M42" s="5123">
        <v>0</v>
      </c>
      <c r="N42" s="5123">
        <v>0</v>
      </c>
      <c r="O42" s="5123">
        <v>0</v>
      </c>
      <c r="P42" s="5123">
        <v>2.25</v>
      </c>
      <c r="Q42" s="5123">
        <v>1</v>
      </c>
      <c r="R42" s="5123">
        <v>11.141999999999999</v>
      </c>
      <c r="S42" s="5123">
        <v>0</v>
      </c>
      <c r="T42" s="5123">
        <v>0</v>
      </c>
      <c r="U42" s="5122">
        <v>20</v>
      </c>
      <c r="V42" s="5123">
        <v>13.605</v>
      </c>
      <c r="W42" s="5123">
        <v>0</v>
      </c>
      <c r="X42" s="5123">
        <v>0</v>
      </c>
      <c r="Y42" s="5123">
        <v>0</v>
      </c>
      <c r="Z42" s="5123">
        <v>0</v>
      </c>
      <c r="AA42" s="5123">
        <v>16.541</v>
      </c>
      <c r="AB42" s="5123">
        <v>0</v>
      </c>
      <c r="AC42" s="5123">
        <v>0</v>
      </c>
      <c r="AD42" s="5123">
        <v>0</v>
      </c>
      <c r="AE42" s="5123">
        <v>0</v>
      </c>
      <c r="AF42" s="5123">
        <v>0</v>
      </c>
      <c r="AG42" s="5123">
        <v>0</v>
      </c>
      <c r="AH42" s="5123">
        <v>0</v>
      </c>
      <c r="AI42" s="5123">
        <v>2.25</v>
      </c>
      <c r="AJ42" s="5123">
        <v>0.80100000000000005</v>
      </c>
      <c r="AK42" s="5123">
        <v>13.99</v>
      </c>
      <c r="AL42" s="5123">
        <v>0</v>
      </c>
      <c r="AM42" s="5123">
        <v>0</v>
      </c>
      <c r="AN42" s="5124">
        <f t="shared" si="0"/>
        <v>67.186999999999998</v>
      </c>
      <c r="AO42" s="5125">
        <v>67.186999999999998</v>
      </c>
      <c r="AP42" s="5126">
        <f t="shared" si="1"/>
        <v>0</v>
      </c>
    </row>
    <row r="43" spans="1:42">
      <c r="A43" s="5121">
        <v>231</v>
      </c>
      <c r="B43" s="5122">
        <v>20</v>
      </c>
      <c r="C43" s="5123">
        <v>12.936999999999999</v>
      </c>
      <c r="D43" s="5123">
        <v>0</v>
      </c>
      <c r="E43" s="5123">
        <v>6.4269999999999996</v>
      </c>
      <c r="F43" s="5123">
        <v>0.92800000000000005</v>
      </c>
      <c r="G43" s="5123">
        <v>0</v>
      </c>
      <c r="H43" s="5123">
        <v>29.367999999999999</v>
      </c>
      <c r="I43" s="5123">
        <v>0</v>
      </c>
      <c r="J43" s="5123">
        <v>0</v>
      </c>
      <c r="K43" s="5123">
        <v>5.0999999999999997E-2</v>
      </c>
      <c r="L43" s="5123">
        <v>0</v>
      </c>
      <c r="M43" s="5123">
        <v>0</v>
      </c>
      <c r="N43" s="5123">
        <v>0</v>
      </c>
      <c r="O43" s="5123">
        <v>0</v>
      </c>
      <c r="P43" s="5123">
        <v>0</v>
      </c>
      <c r="Q43" s="5123">
        <v>0</v>
      </c>
      <c r="R43" s="5123">
        <v>0</v>
      </c>
      <c r="S43" s="5123">
        <v>0</v>
      </c>
      <c r="T43" s="5123">
        <v>0</v>
      </c>
      <c r="U43" s="5122">
        <v>20</v>
      </c>
      <c r="V43" s="5123">
        <v>17.364000000000001</v>
      </c>
      <c r="W43" s="5123">
        <v>0</v>
      </c>
      <c r="X43" s="5123">
        <v>8</v>
      </c>
      <c r="Y43" s="5123">
        <v>0.55000000000000004</v>
      </c>
      <c r="Z43" s="5123">
        <v>0</v>
      </c>
      <c r="AA43" s="5123">
        <v>16.170000000000002</v>
      </c>
      <c r="AB43" s="5123">
        <v>0</v>
      </c>
      <c r="AC43" s="5123">
        <v>0</v>
      </c>
      <c r="AD43" s="5123">
        <v>1.115</v>
      </c>
      <c r="AE43" s="5123">
        <v>0</v>
      </c>
      <c r="AF43" s="5123">
        <v>0</v>
      </c>
      <c r="AG43" s="5123">
        <v>0</v>
      </c>
      <c r="AH43" s="5123">
        <v>0</v>
      </c>
      <c r="AI43" s="5123">
        <v>0</v>
      </c>
      <c r="AJ43" s="5123">
        <v>0</v>
      </c>
      <c r="AK43" s="5123">
        <v>5.9859999999999998</v>
      </c>
      <c r="AL43" s="5123">
        <v>0</v>
      </c>
      <c r="AM43" s="5123">
        <v>0</v>
      </c>
      <c r="AN43" s="5124">
        <f t="shared" si="0"/>
        <v>69.185000000000002</v>
      </c>
      <c r="AO43" s="5125">
        <v>69.185000000000002</v>
      </c>
      <c r="AP43" s="5126">
        <f t="shared" si="1"/>
        <v>0</v>
      </c>
    </row>
    <row r="44" spans="1:42">
      <c r="A44" s="5121">
        <v>232</v>
      </c>
      <c r="B44" s="5122">
        <v>20</v>
      </c>
      <c r="C44" s="5123">
        <v>13.696</v>
      </c>
      <c r="D44" s="5123">
        <v>0</v>
      </c>
      <c r="E44" s="5123">
        <v>8</v>
      </c>
      <c r="F44" s="5123">
        <v>0</v>
      </c>
      <c r="G44" s="5123">
        <v>0</v>
      </c>
      <c r="H44" s="5123">
        <v>25.777000000000001</v>
      </c>
      <c r="I44" s="5123">
        <v>0</v>
      </c>
      <c r="J44" s="5123">
        <v>0</v>
      </c>
      <c r="K44" s="5123">
        <v>0.497</v>
      </c>
      <c r="L44" s="5123">
        <v>0</v>
      </c>
      <c r="M44" s="5123">
        <v>0</v>
      </c>
      <c r="N44" s="5123">
        <v>0</v>
      </c>
      <c r="O44" s="5123">
        <v>0</v>
      </c>
      <c r="P44" s="5123">
        <v>0</v>
      </c>
      <c r="Q44" s="5123">
        <v>0</v>
      </c>
      <c r="R44" s="5123">
        <v>0</v>
      </c>
      <c r="S44" s="5123">
        <v>0</v>
      </c>
      <c r="T44" s="5123">
        <v>3.9809999999999999</v>
      </c>
      <c r="U44" s="5122">
        <v>20</v>
      </c>
      <c r="V44" s="5123">
        <v>15.9</v>
      </c>
      <c r="W44" s="5123">
        <v>0</v>
      </c>
      <c r="X44" s="5123">
        <v>8</v>
      </c>
      <c r="Y44" s="5123">
        <v>0</v>
      </c>
      <c r="Z44" s="5123">
        <v>0</v>
      </c>
      <c r="AA44" s="5123">
        <v>25.795000000000002</v>
      </c>
      <c r="AB44" s="5123">
        <v>0</v>
      </c>
      <c r="AC44" s="5123">
        <v>0</v>
      </c>
      <c r="AD44" s="5123">
        <v>0</v>
      </c>
      <c r="AE44" s="5123">
        <v>0</v>
      </c>
      <c r="AF44" s="5123">
        <v>0</v>
      </c>
      <c r="AG44" s="5123">
        <v>0</v>
      </c>
      <c r="AH44" s="5123">
        <v>0</v>
      </c>
      <c r="AI44" s="5123">
        <v>0</v>
      </c>
      <c r="AJ44" s="5123">
        <v>0</v>
      </c>
      <c r="AK44" s="5123">
        <v>0</v>
      </c>
      <c r="AL44" s="5123">
        <v>0</v>
      </c>
      <c r="AM44" s="5123">
        <v>4.766</v>
      </c>
      <c r="AN44" s="5124">
        <f t="shared" si="0"/>
        <v>74.460999999999999</v>
      </c>
      <c r="AO44" s="5125">
        <v>74.460999999999999</v>
      </c>
      <c r="AP44" s="5126">
        <f t="shared" si="1"/>
        <v>0</v>
      </c>
    </row>
    <row r="45" spans="1:42">
      <c r="A45" s="5121">
        <v>233</v>
      </c>
      <c r="B45" s="5122">
        <v>20</v>
      </c>
      <c r="C45" s="5123">
        <v>15.303000000000001</v>
      </c>
      <c r="D45" s="5123">
        <v>0</v>
      </c>
      <c r="E45" s="5123">
        <v>8</v>
      </c>
      <c r="F45" s="5123">
        <v>0.20200000000000001</v>
      </c>
      <c r="G45" s="5123">
        <v>0</v>
      </c>
      <c r="H45" s="5123">
        <v>16.472000000000001</v>
      </c>
      <c r="I45" s="5123">
        <v>0</v>
      </c>
      <c r="J45" s="5123">
        <v>0</v>
      </c>
      <c r="K45" s="5123">
        <v>0.53900000000000003</v>
      </c>
      <c r="L45" s="5123">
        <v>0</v>
      </c>
      <c r="M45" s="5123">
        <v>0</v>
      </c>
      <c r="N45" s="5123">
        <v>0</v>
      </c>
      <c r="O45" s="5123">
        <v>0</v>
      </c>
      <c r="P45" s="5123">
        <v>0</v>
      </c>
      <c r="Q45" s="5123">
        <v>0</v>
      </c>
      <c r="R45" s="5123">
        <v>4.6100000000000003</v>
      </c>
      <c r="S45" s="5123">
        <v>0</v>
      </c>
      <c r="T45" s="5123">
        <v>2.742</v>
      </c>
      <c r="U45" s="5122">
        <v>20</v>
      </c>
      <c r="V45" s="5123">
        <v>17.488</v>
      </c>
      <c r="W45" s="5123">
        <v>0</v>
      </c>
      <c r="X45" s="5123">
        <v>4.8899999999999997</v>
      </c>
      <c r="Y45" s="5123">
        <v>0.20200000000000001</v>
      </c>
      <c r="Z45" s="5123">
        <v>0</v>
      </c>
      <c r="AA45" s="5123">
        <v>16.471</v>
      </c>
      <c r="AB45" s="5123">
        <v>0</v>
      </c>
      <c r="AC45" s="5123">
        <v>0</v>
      </c>
      <c r="AD45" s="5123">
        <v>0.53900000000000003</v>
      </c>
      <c r="AE45" s="5123">
        <v>0</v>
      </c>
      <c r="AF45" s="5123">
        <v>0</v>
      </c>
      <c r="AG45" s="5123">
        <v>0</v>
      </c>
      <c r="AH45" s="5123">
        <v>0</v>
      </c>
      <c r="AI45" s="5123">
        <v>0</v>
      </c>
      <c r="AJ45" s="5123">
        <v>0</v>
      </c>
      <c r="AK45" s="5123">
        <v>4.2460000000000004</v>
      </c>
      <c r="AL45" s="5123">
        <v>0</v>
      </c>
      <c r="AM45" s="5123">
        <v>3.9279999999999999</v>
      </c>
      <c r="AN45" s="5124">
        <f t="shared" si="0"/>
        <v>67.763999999999996</v>
      </c>
      <c r="AO45" s="5125">
        <v>67.763999999999996</v>
      </c>
      <c r="AP45" s="5126">
        <f t="shared" si="1"/>
        <v>0</v>
      </c>
    </row>
    <row r="46" spans="1:42">
      <c r="A46" s="5121">
        <v>234</v>
      </c>
      <c r="B46" s="5122">
        <v>20</v>
      </c>
      <c r="C46" s="5123">
        <v>10.666</v>
      </c>
      <c r="D46" s="5123">
        <v>0</v>
      </c>
      <c r="E46" s="5123">
        <v>6.6829999999999998</v>
      </c>
      <c r="F46" s="5123">
        <v>0</v>
      </c>
      <c r="G46" s="5123">
        <v>0</v>
      </c>
      <c r="H46" s="5123">
        <v>7.226</v>
      </c>
      <c r="I46" s="5123">
        <v>0</v>
      </c>
      <c r="J46" s="5123">
        <v>0</v>
      </c>
      <c r="K46" s="5123">
        <v>0</v>
      </c>
      <c r="L46" s="5123">
        <v>0</v>
      </c>
      <c r="M46" s="5123">
        <v>0</v>
      </c>
      <c r="N46" s="5123">
        <v>0</v>
      </c>
      <c r="O46" s="5123">
        <v>0</v>
      </c>
      <c r="P46" s="5123">
        <v>2.194</v>
      </c>
      <c r="Q46" s="5123">
        <v>0.41599999999999998</v>
      </c>
      <c r="R46" s="5123">
        <v>0</v>
      </c>
      <c r="S46" s="5123">
        <v>0</v>
      </c>
      <c r="T46" s="5123">
        <v>0</v>
      </c>
      <c r="U46" s="5122">
        <v>20</v>
      </c>
      <c r="V46" s="5123">
        <v>13.784000000000001</v>
      </c>
      <c r="W46" s="5123">
        <v>0</v>
      </c>
      <c r="X46" s="5123">
        <v>3.5609999999999999</v>
      </c>
      <c r="Y46" s="5123">
        <v>0</v>
      </c>
      <c r="Z46" s="5123">
        <v>0</v>
      </c>
      <c r="AA46" s="5123">
        <v>15.727</v>
      </c>
      <c r="AB46" s="5123">
        <v>0</v>
      </c>
      <c r="AC46" s="5123">
        <v>0</v>
      </c>
      <c r="AD46" s="5123">
        <v>0</v>
      </c>
      <c r="AE46" s="5123">
        <v>0</v>
      </c>
      <c r="AF46" s="5123">
        <v>0</v>
      </c>
      <c r="AG46" s="5123">
        <v>0</v>
      </c>
      <c r="AH46" s="5123">
        <v>0</v>
      </c>
      <c r="AI46" s="5123">
        <v>2.1949999999999998</v>
      </c>
      <c r="AJ46" s="5123">
        <v>0.41699999999999998</v>
      </c>
      <c r="AK46" s="5123">
        <v>0</v>
      </c>
      <c r="AL46" s="5123">
        <v>0</v>
      </c>
      <c r="AM46" s="5123">
        <v>0</v>
      </c>
      <c r="AN46" s="5124">
        <f t="shared" si="0"/>
        <v>55.683999999999997</v>
      </c>
      <c r="AO46" s="5125">
        <v>55.683999999999997</v>
      </c>
      <c r="AP46" s="5126">
        <f t="shared" si="1"/>
        <v>0</v>
      </c>
    </row>
    <row r="47" spans="1:42">
      <c r="A47" s="5121">
        <v>235</v>
      </c>
      <c r="B47" s="5122">
        <v>20</v>
      </c>
      <c r="C47" s="5123">
        <v>19.541</v>
      </c>
      <c r="D47" s="5123">
        <v>0</v>
      </c>
      <c r="E47" s="5123">
        <v>0</v>
      </c>
      <c r="F47" s="5123">
        <v>0</v>
      </c>
      <c r="G47" s="5123">
        <v>0</v>
      </c>
      <c r="H47" s="5123">
        <v>4.4580000000000002</v>
      </c>
      <c r="I47" s="5123">
        <v>0</v>
      </c>
      <c r="J47" s="5123">
        <v>0</v>
      </c>
      <c r="K47" s="5123">
        <v>0</v>
      </c>
      <c r="L47" s="5123">
        <v>0</v>
      </c>
      <c r="M47" s="5123">
        <v>0</v>
      </c>
      <c r="N47" s="5123">
        <v>0</v>
      </c>
      <c r="O47" s="5123">
        <v>0</v>
      </c>
      <c r="P47" s="5123">
        <v>0</v>
      </c>
      <c r="Q47" s="5123">
        <v>0</v>
      </c>
      <c r="R47" s="5123">
        <v>0</v>
      </c>
      <c r="S47" s="5123">
        <v>0</v>
      </c>
      <c r="T47" s="5123">
        <v>0</v>
      </c>
      <c r="U47" s="5122">
        <v>20</v>
      </c>
      <c r="V47" s="5123">
        <v>15.342000000000001</v>
      </c>
      <c r="W47" s="5123">
        <v>0</v>
      </c>
      <c r="X47" s="5123">
        <v>0</v>
      </c>
      <c r="Y47" s="5123">
        <v>0</v>
      </c>
      <c r="Z47" s="5123">
        <v>0</v>
      </c>
      <c r="AA47" s="5123">
        <v>8.6280000000000001</v>
      </c>
      <c r="AB47" s="5123">
        <v>0</v>
      </c>
      <c r="AC47" s="5123">
        <v>0</v>
      </c>
      <c r="AD47" s="5123">
        <v>0</v>
      </c>
      <c r="AE47" s="5123">
        <v>0</v>
      </c>
      <c r="AF47" s="5123">
        <v>0</v>
      </c>
      <c r="AG47" s="5123">
        <v>0</v>
      </c>
      <c r="AH47" s="5123">
        <v>0</v>
      </c>
      <c r="AI47" s="5123">
        <v>0</v>
      </c>
      <c r="AJ47" s="5123">
        <v>0</v>
      </c>
      <c r="AK47" s="5123">
        <v>0</v>
      </c>
      <c r="AL47" s="5123">
        <v>0</v>
      </c>
      <c r="AM47" s="5123">
        <v>0</v>
      </c>
      <c r="AN47" s="5124">
        <f t="shared" si="0"/>
        <v>43.97</v>
      </c>
      <c r="AO47" s="5125">
        <v>43.97</v>
      </c>
      <c r="AP47" s="5126">
        <f t="shared" si="1"/>
        <v>0</v>
      </c>
    </row>
    <row r="48" spans="1:42">
      <c r="A48" s="5121">
        <v>237</v>
      </c>
      <c r="B48" s="5122">
        <v>20</v>
      </c>
      <c r="C48" s="5123">
        <v>22.283999999999999</v>
      </c>
      <c r="D48" s="5123">
        <v>0</v>
      </c>
      <c r="E48" s="5123">
        <v>7.899</v>
      </c>
      <c r="F48" s="5123">
        <v>0</v>
      </c>
      <c r="G48" s="5123">
        <v>0</v>
      </c>
      <c r="H48" s="5123">
        <v>0</v>
      </c>
      <c r="I48" s="5123">
        <v>0</v>
      </c>
      <c r="J48" s="5123">
        <v>0</v>
      </c>
      <c r="K48" s="5123">
        <v>0</v>
      </c>
      <c r="L48" s="5123">
        <v>0</v>
      </c>
      <c r="M48" s="5123">
        <v>0</v>
      </c>
      <c r="N48" s="5123">
        <v>0</v>
      </c>
      <c r="O48" s="5123">
        <v>0</v>
      </c>
      <c r="P48" s="5123">
        <v>0</v>
      </c>
      <c r="Q48" s="5123">
        <v>0</v>
      </c>
      <c r="R48" s="5123">
        <v>0</v>
      </c>
      <c r="S48" s="5123">
        <v>0</v>
      </c>
      <c r="T48" s="5123">
        <v>0</v>
      </c>
      <c r="U48" s="5122">
        <v>20</v>
      </c>
      <c r="V48" s="5123">
        <v>24.649000000000001</v>
      </c>
      <c r="W48" s="5123">
        <v>0</v>
      </c>
      <c r="X48" s="5123">
        <v>7.93</v>
      </c>
      <c r="Y48" s="5123">
        <v>0</v>
      </c>
      <c r="Z48" s="5123">
        <v>0</v>
      </c>
      <c r="AA48" s="5123">
        <v>0</v>
      </c>
      <c r="AB48" s="5123">
        <v>0</v>
      </c>
      <c r="AC48" s="5123">
        <v>0</v>
      </c>
      <c r="AD48" s="5123">
        <v>0</v>
      </c>
      <c r="AE48" s="5123">
        <v>0</v>
      </c>
      <c r="AF48" s="5123">
        <v>0</v>
      </c>
      <c r="AG48" s="5123">
        <v>0</v>
      </c>
      <c r="AH48" s="5123">
        <v>0</v>
      </c>
      <c r="AI48" s="5123">
        <v>0</v>
      </c>
      <c r="AJ48" s="5123">
        <v>0</v>
      </c>
      <c r="AK48" s="5123">
        <v>0</v>
      </c>
      <c r="AL48" s="5123">
        <v>0</v>
      </c>
      <c r="AM48" s="5123">
        <v>0</v>
      </c>
      <c r="AN48" s="5124">
        <f t="shared" si="0"/>
        <v>52.579000000000001</v>
      </c>
      <c r="AO48" s="5125">
        <v>52.579000000000001</v>
      </c>
      <c r="AP48" s="5126">
        <f t="shared" si="1"/>
        <v>0</v>
      </c>
    </row>
    <row r="49" spans="1:42">
      <c r="A49" s="5121">
        <v>239</v>
      </c>
      <c r="B49" s="5122">
        <v>20</v>
      </c>
      <c r="C49" s="5123">
        <v>19.667999999999999</v>
      </c>
      <c r="D49" s="5123">
        <v>0</v>
      </c>
      <c r="E49" s="5123">
        <v>4</v>
      </c>
      <c r="F49" s="5123">
        <v>0</v>
      </c>
      <c r="G49" s="5123">
        <v>0</v>
      </c>
      <c r="H49" s="5123">
        <v>8.9749999999999996</v>
      </c>
      <c r="I49" s="5123">
        <v>0</v>
      </c>
      <c r="J49" s="5123">
        <v>0</v>
      </c>
      <c r="K49" s="5123">
        <v>0</v>
      </c>
      <c r="L49" s="5123">
        <v>0</v>
      </c>
      <c r="M49" s="5123">
        <v>0</v>
      </c>
      <c r="N49" s="5123">
        <v>0</v>
      </c>
      <c r="O49" s="5123">
        <v>0</v>
      </c>
      <c r="P49" s="5123">
        <v>0</v>
      </c>
      <c r="Q49" s="5123">
        <v>0</v>
      </c>
      <c r="R49" s="5123">
        <v>0</v>
      </c>
      <c r="S49" s="5123">
        <v>0</v>
      </c>
      <c r="T49" s="5123">
        <v>0</v>
      </c>
      <c r="U49" s="5122">
        <v>20</v>
      </c>
      <c r="V49" s="5123">
        <v>22.047000000000001</v>
      </c>
      <c r="W49" s="5123">
        <v>0</v>
      </c>
      <c r="X49" s="5123">
        <v>0</v>
      </c>
      <c r="Y49" s="5123">
        <v>0</v>
      </c>
      <c r="Z49" s="5123">
        <v>0</v>
      </c>
      <c r="AA49" s="5123">
        <v>11.305999999999999</v>
      </c>
      <c r="AB49" s="5123">
        <v>0</v>
      </c>
      <c r="AC49" s="5123">
        <v>0</v>
      </c>
      <c r="AD49" s="5123">
        <v>0</v>
      </c>
      <c r="AE49" s="5123">
        <v>0</v>
      </c>
      <c r="AF49" s="5123">
        <v>0</v>
      </c>
      <c r="AG49" s="5123">
        <v>0</v>
      </c>
      <c r="AH49" s="5123">
        <v>0</v>
      </c>
      <c r="AI49" s="5123">
        <v>0</v>
      </c>
      <c r="AJ49" s="5123">
        <v>0</v>
      </c>
      <c r="AK49" s="5123">
        <v>0</v>
      </c>
      <c r="AL49" s="5123">
        <v>0</v>
      </c>
      <c r="AM49" s="5123">
        <v>0</v>
      </c>
      <c r="AN49" s="5124">
        <f t="shared" si="0"/>
        <v>53.353000000000002</v>
      </c>
      <c r="AO49" s="5125">
        <v>53.353000000000002</v>
      </c>
      <c r="AP49" s="5126">
        <f t="shared" si="1"/>
        <v>0</v>
      </c>
    </row>
    <row r="50" spans="1:42">
      <c r="A50" s="5121">
        <v>240</v>
      </c>
      <c r="B50" s="5122">
        <v>20</v>
      </c>
      <c r="C50" s="5123">
        <v>21.527000000000001</v>
      </c>
      <c r="D50" s="5123">
        <v>0</v>
      </c>
      <c r="E50" s="5123">
        <v>6</v>
      </c>
      <c r="F50" s="5123">
        <v>0</v>
      </c>
      <c r="G50" s="5123">
        <v>0</v>
      </c>
      <c r="H50" s="5123">
        <v>10.497999999999999</v>
      </c>
      <c r="I50" s="5123">
        <v>0</v>
      </c>
      <c r="J50" s="5123">
        <v>0</v>
      </c>
      <c r="K50" s="5123">
        <v>0</v>
      </c>
      <c r="L50" s="5123">
        <v>0</v>
      </c>
      <c r="M50" s="5123">
        <v>0</v>
      </c>
      <c r="N50" s="5123">
        <v>0</v>
      </c>
      <c r="O50" s="5123">
        <v>0</v>
      </c>
      <c r="P50" s="5123">
        <v>0</v>
      </c>
      <c r="Q50" s="5123">
        <v>0</v>
      </c>
      <c r="R50" s="5123">
        <v>0</v>
      </c>
      <c r="S50" s="5123">
        <v>0</v>
      </c>
      <c r="T50" s="5123">
        <v>0</v>
      </c>
      <c r="U50" s="5122">
        <v>20</v>
      </c>
      <c r="V50" s="5123">
        <v>21.178999999999998</v>
      </c>
      <c r="W50" s="5123">
        <v>0</v>
      </c>
      <c r="X50" s="5123">
        <v>6</v>
      </c>
      <c r="Y50" s="5123">
        <v>0</v>
      </c>
      <c r="Z50" s="5123">
        <v>0</v>
      </c>
      <c r="AA50" s="5123">
        <v>9.3789999999999996</v>
      </c>
      <c r="AB50" s="5123">
        <v>0</v>
      </c>
      <c r="AC50" s="5123">
        <v>0</v>
      </c>
      <c r="AD50" s="5123">
        <v>0</v>
      </c>
      <c r="AE50" s="5123">
        <v>0</v>
      </c>
      <c r="AF50" s="5123">
        <v>0</v>
      </c>
      <c r="AG50" s="5123">
        <v>0</v>
      </c>
      <c r="AH50" s="5123">
        <v>0</v>
      </c>
      <c r="AI50" s="5123">
        <v>0</v>
      </c>
      <c r="AJ50" s="5123">
        <v>0</v>
      </c>
      <c r="AK50" s="5123">
        <v>0</v>
      </c>
      <c r="AL50" s="5123">
        <v>0</v>
      </c>
      <c r="AM50" s="5123">
        <v>0</v>
      </c>
      <c r="AN50" s="5124">
        <f t="shared" si="0"/>
        <v>56.558</v>
      </c>
      <c r="AO50" s="5125">
        <v>56.558</v>
      </c>
      <c r="AP50" s="5126">
        <f t="shared" si="1"/>
        <v>0</v>
      </c>
    </row>
    <row r="51" spans="1:42">
      <c r="A51" s="5121">
        <v>241</v>
      </c>
      <c r="B51" s="5122">
        <v>20</v>
      </c>
      <c r="C51" s="5123">
        <v>14.188000000000001</v>
      </c>
      <c r="D51" s="5123">
        <v>0</v>
      </c>
      <c r="E51" s="5123">
        <v>4</v>
      </c>
      <c r="F51" s="5123">
        <v>0</v>
      </c>
      <c r="G51" s="5123">
        <v>0</v>
      </c>
      <c r="H51" s="5123">
        <v>0</v>
      </c>
      <c r="I51" s="5123">
        <v>0</v>
      </c>
      <c r="J51" s="5123">
        <v>0</v>
      </c>
      <c r="K51" s="5123">
        <v>0</v>
      </c>
      <c r="L51" s="5123">
        <v>0</v>
      </c>
      <c r="M51" s="5123">
        <v>0</v>
      </c>
      <c r="N51" s="5123">
        <v>0</v>
      </c>
      <c r="O51" s="5123">
        <v>0</v>
      </c>
      <c r="P51" s="5123">
        <v>0</v>
      </c>
      <c r="Q51" s="5123">
        <v>0</v>
      </c>
      <c r="R51" s="5123">
        <v>0</v>
      </c>
      <c r="S51" s="5123">
        <v>0</v>
      </c>
      <c r="T51" s="5123">
        <v>0</v>
      </c>
      <c r="U51" s="5122">
        <v>20</v>
      </c>
      <c r="V51" s="5123">
        <v>17.225000000000001</v>
      </c>
      <c r="W51" s="5123">
        <v>0</v>
      </c>
      <c r="X51" s="5123">
        <v>4</v>
      </c>
      <c r="Y51" s="5123">
        <v>0</v>
      </c>
      <c r="Z51" s="5123">
        <v>0</v>
      </c>
      <c r="AA51" s="5123">
        <v>0</v>
      </c>
      <c r="AB51" s="5123">
        <v>0</v>
      </c>
      <c r="AC51" s="5123">
        <v>0</v>
      </c>
      <c r="AD51" s="5123">
        <v>0</v>
      </c>
      <c r="AE51" s="5123">
        <v>0</v>
      </c>
      <c r="AF51" s="5123">
        <v>0</v>
      </c>
      <c r="AG51" s="5123">
        <v>0</v>
      </c>
      <c r="AH51" s="5123">
        <v>0</v>
      </c>
      <c r="AI51" s="5123">
        <v>0</v>
      </c>
      <c r="AJ51" s="5123">
        <v>0</v>
      </c>
      <c r="AK51" s="5123">
        <v>0</v>
      </c>
      <c r="AL51" s="5123">
        <v>0</v>
      </c>
      <c r="AM51" s="5123">
        <v>0</v>
      </c>
      <c r="AN51" s="5124">
        <f t="shared" si="0"/>
        <v>41.225000000000001</v>
      </c>
      <c r="AO51" s="5125">
        <v>41.225000000000001</v>
      </c>
      <c r="AP51" s="5126">
        <f t="shared" si="1"/>
        <v>0</v>
      </c>
    </row>
    <row r="52" spans="1:42">
      <c r="A52" s="5121">
        <v>242</v>
      </c>
      <c r="B52" s="5122">
        <v>20</v>
      </c>
      <c r="C52" s="5123">
        <v>28.75</v>
      </c>
      <c r="D52" s="5123">
        <v>0</v>
      </c>
      <c r="E52" s="5123">
        <v>7.0739999999999998</v>
      </c>
      <c r="F52" s="5123">
        <v>0</v>
      </c>
      <c r="G52" s="5123">
        <v>0</v>
      </c>
      <c r="H52" s="5123">
        <v>0</v>
      </c>
      <c r="I52" s="5123">
        <v>0</v>
      </c>
      <c r="J52" s="5123">
        <v>0</v>
      </c>
      <c r="K52" s="5123">
        <v>0</v>
      </c>
      <c r="L52" s="5123">
        <v>0</v>
      </c>
      <c r="M52" s="5123">
        <v>0</v>
      </c>
      <c r="N52" s="5123">
        <v>0</v>
      </c>
      <c r="O52" s="5123">
        <v>0</v>
      </c>
      <c r="P52" s="5123">
        <v>0</v>
      </c>
      <c r="Q52" s="5123">
        <v>0</v>
      </c>
      <c r="R52" s="5123">
        <v>0</v>
      </c>
      <c r="S52" s="5123">
        <v>0</v>
      </c>
      <c r="T52" s="5123">
        <v>0</v>
      </c>
      <c r="U52" s="5122">
        <v>20</v>
      </c>
      <c r="V52" s="5123">
        <v>31.797999999999998</v>
      </c>
      <c r="W52" s="5123">
        <v>0</v>
      </c>
      <c r="X52" s="5123">
        <v>6.9980000000000002</v>
      </c>
      <c r="Y52" s="5123">
        <v>0</v>
      </c>
      <c r="Z52" s="5123">
        <v>0</v>
      </c>
      <c r="AA52" s="5123">
        <v>0</v>
      </c>
      <c r="AB52" s="5123">
        <v>0</v>
      </c>
      <c r="AC52" s="5123">
        <v>0</v>
      </c>
      <c r="AD52" s="5123">
        <v>0</v>
      </c>
      <c r="AE52" s="5123">
        <v>0</v>
      </c>
      <c r="AF52" s="5123">
        <v>0</v>
      </c>
      <c r="AG52" s="5123">
        <v>0</v>
      </c>
      <c r="AH52" s="5123">
        <v>0</v>
      </c>
      <c r="AI52" s="5123">
        <v>0</v>
      </c>
      <c r="AJ52" s="5123">
        <v>0</v>
      </c>
      <c r="AK52" s="5123">
        <v>0</v>
      </c>
      <c r="AL52" s="5123">
        <v>0</v>
      </c>
      <c r="AM52" s="5123">
        <v>0</v>
      </c>
      <c r="AN52" s="5124">
        <f t="shared" si="0"/>
        <v>58.795999999999999</v>
      </c>
      <c r="AO52" s="5125">
        <v>58.795999999999999</v>
      </c>
      <c r="AP52" s="5126">
        <f t="shared" si="1"/>
        <v>0</v>
      </c>
    </row>
    <row r="53" spans="1:42">
      <c r="A53" s="5121">
        <v>243</v>
      </c>
      <c r="B53" s="5122">
        <v>20</v>
      </c>
      <c r="C53" s="5123">
        <v>18.934999999999999</v>
      </c>
      <c r="D53" s="5123">
        <v>0</v>
      </c>
      <c r="E53" s="5123">
        <v>3.9830000000000001</v>
      </c>
      <c r="F53" s="5123">
        <v>0</v>
      </c>
      <c r="G53" s="5123">
        <v>0</v>
      </c>
      <c r="H53" s="5123">
        <v>8.3819999999999997</v>
      </c>
      <c r="I53" s="5123">
        <v>0</v>
      </c>
      <c r="J53" s="5123">
        <v>0</v>
      </c>
      <c r="K53" s="5123">
        <v>0</v>
      </c>
      <c r="L53" s="5123">
        <v>0</v>
      </c>
      <c r="M53" s="5123">
        <v>0</v>
      </c>
      <c r="N53" s="5123">
        <v>0</v>
      </c>
      <c r="O53" s="5123">
        <v>0</v>
      </c>
      <c r="P53" s="5123">
        <v>0</v>
      </c>
      <c r="Q53" s="5123">
        <v>0</v>
      </c>
      <c r="R53" s="5123">
        <v>0</v>
      </c>
      <c r="S53" s="5123">
        <v>0</v>
      </c>
      <c r="T53" s="5123">
        <v>0</v>
      </c>
      <c r="U53" s="5122">
        <v>20</v>
      </c>
      <c r="V53" s="5123">
        <v>20.931999999999999</v>
      </c>
      <c r="W53" s="5123">
        <v>0</v>
      </c>
      <c r="X53" s="5123">
        <v>3.9870000000000001</v>
      </c>
      <c r="Y53" s="5123">
        <v>0</v>
      </c>
      <c r="Z53" s="5123">
        <v>0</v>
      </c>
      <c r="AA53" s="5123">
        <v>8.08</v>
      </c>
      <c r="AB53" s="5123">
        <v>0</v>
      </c>
      <c r="AC53" s="5123">
        <v>0</v>
      </c>
      <c r="AD53" s="5123">
        <v>0</v>
      </c>
      <c r="AE53" s="5123">
        <v>0</v>
      </c>
      <c r="AF53" s="5123">
        <v>0</v>
      </c>
      <c r="AG53" s="5123">
        <v>0</v>
      </c>
      <c r="AH53" s="5123">
        <v>0</v>
      </c>
      <c r="AI53" s="5123">
        <v>0</v>
      </c>
      <c r="AJ53" s="5123">
        <v>0</v>
      </c>
      <c r="AK53" s="5123">
        <v>0</v>
      </c>
      <c r="AL53" s="5123">
        <v>0</v>
      </c>
      <c r="AM53" s="5123">
        <v>0</v>
      </c>
      <c r="AN53" s="5124">
        <f t="shared" si="0"/>
        <v>52.999000000000002</v>
      </c>
      <c r="AO53" s="5125">
        <v>52.999000000000002</v>
      </c>
      <c r="AP53" s="5126">
        <f t="shared" si="1"/>
        <v>0</v>
      </c>
    </row>
    <row r="54" spans="1:42">
      <c r="A54" s="5121">
        <v>244</v>
      </c>
      <c r="B54" s="5122">
        <v>20</v>
      </c>
      <c r="C54" s="5123">
        <v>5.16</v>
      </c>
      <c r="D54" s="5123">
        <v>0</v>
      </c>
      <c r="E54" s="5123">
        <v>4</v>
      </c>
      <c r="F54" s="5123">
        <v>0</v>
      </c>
      <c r="G54" s="5123">
        <v>0</v>
      </c>
      <c r="H54" s="5123">
        <v>0</v>
      </c>
      <c r="I54" s="5123">
        <v>0</v>
      </c>
      <c r="J54" s="5123">
        <v>0</v>
      </c>
      <c r="K54" s="5123">
        <v>0</v>
      </c>
      <c r="L54" s="5123">
        <v>0</v>
      </c>
      <c r="M54" s="5123">
        <v>0</v>
      </c>
      <c r="N54" s="5123">
        <v>0</v>
      </c>
      <c r="O54" s="5123">
        <v>0</v>
      </c>
      <c r="P54" s="5123">
        <v>3.843</v>
      </c>
      <c r="Q54" s="5123">
        <v>0.15</v>
      </c>
      <c r="R54" s="5123">
        <v>0</v>
      </c>
      <c r="S54" s="5123">
        <v>0</v>
      </c>
      <c r="T54" s="5123">
        <v>0</v>
      </c>
      <c r="U54" s="5122">
        <v>20</v>
      </c>
      <c r="V54" s="5123">
        <v>4.5270000000000001</v>
      </c>
      <c r="W54" s="5123">
        <v>0</v>
      </c>
      <c r="X54" s="5123">
        <v>4</v>
      </c>
      <c r="Y54" s="5123">
        <v>0</v>
      </c>
      <c r="Z54" s="5123">
        <v>0</v>
      </c>
      <c r="AA54" s="5123">
        <v>0</v>
      </c>
      <c r="AB54" s="5123">
        <v>0</v>
      </c>
      <c r="AC54" s="5123">
        <v>0</v>
      </c>
      <c r="AD54" s="5123">
        <v>0</v>
      </c>
      <c r="AE54" s="5123">
        <v>0</v>
      </c>
      <c r="AF54" s="5123">
        <v>0</v>
      </c>
      <c r="AG54" s="5123">
        <v>0</v>
      </c>
      <c r="AH54" s="5123">
        <v>0</v>
      </c>
      <c r="AI54" s="5123">
        <v>3.851</v>
      </c>
      <c r="AJ54" s="5123">
        <v>0.122</v>
      </c>
      <c r="AK54" s="5123">
        <v>0</v>
      </c>
      <c r="AL54" s="5123">
        <v>0</v>
      </c>
      <c r="AM54" s="5123">
        <v>0</v>
      </c>
      <c r="AN54" s="5124">
        <f t="shared" si="0"/>
        <v>32.5</v>
      </c>
      <c r="AO54" s="5125">
        <v>32.5</v>
      </c>
      <c r="AP54" s="5126">
        <f t="shared" si="1"/>
        <v>0</v>
      </c>
    </row>
    <row r="55" spans="1:42">
      <c r="A55" s="5121">
        <v>245</v>
      </c>
      <c r="B55" s="5122">
        <v>20</v>
      </c>
      <c r="C55" s="5123">
        <v>26.244</v>
      </c>
      <c r="D55" s="5123">
        <v>0</v>
      </c>
      <c r="E55" s="5123">
        <v>3.9870000000000001</v>
      </c>
      <c r="F55" s="5123">
        <v>0</v>
      </c>
      <c r="G55" s="5123">
        <v>0</v>
      </c>
      <c r="H55" s="5123">
        <v>0</v>
      </c>
      <c r="I55" s="5123">
        <v>0</v>
      </c>
      <c r="J55" s="5123">
        <v>0</v>
      </c>
      <c r="K55" s="5123">
        <v>0</v>
      </c>
      <c r="L55" s="5123">
        <v>0</v>
      </c>
      <c r="M55" s="5123">
        <v>0</v>
      </c>
      <c r="N55" s="5123">
        <v>0</v>
      </c>
      <c r="O55" s="5123">
        <v>0</v>
      </c>
      <c r="P55" s="5123">
        <v>0</v>
      </c>
      <c r="Q55" s="5123">
        <v>0</v>
      </c>
      <c r="R55" s="5123">
        <v>0</v>
      </c>
      <c r="S55" s="5123">
        <v>0</v>
      </c>
      <c r="T55" s="5123">
        <v>0</v>
      </c>
      <c r="U55" s="5122">
        <v>20</v>
      </c>
      <c r="V55" s="5123">
        <v>27.164999999999999</v>
      </c>
      <c r="W55" s="5123">
        <v>0</v>
      </c>
      <c r="X55" s="5123">
        <v>3.9849999999999999</v>
      </c>
      <c r="Y55" s="5123">
        <v>0</v>
      </c>
      <c r="Z55" s="5123">
        <v>0</v>
      </c>
      <c r="AA55" s="5123">
        <v>0</v>
      </c>
      <c r="AB55" s="5123">
        <v>0</v>
      </c>
      <c r="AC55" s="5123">
        <v>0</v>
      </c>
      <c r="AD55" s="5123">
        <v>0</v>
      </c>
      <c r="AE55" s="5123">
        <v>0</v>
      </c>
      <c r="AF55" s="5123">
        <v>0</v>
      </c>
      <c r="AG55" s="5123">
        <v>0</v>
      </c>
      <c r="AH55" s="5123">
        <v>0</v>
      </c>
      <c r="AI55" s="5123">
        <v>0</v>
      </c>
      <c r="AJ55" s="5123">
        <v>0</v>
      </c>
      <c r="AK55" s="5123">
        <v>0</v>
      </c>
      <c r="AL55" s="5123">
        <v>0</v>
      </c>
      <c r="AM55" s="5123">
        <v>0</v>
      </c>
      <c r="AN55" s="5124">
        <f t="shared" si="0"/>
        <v>51.15</v>
      </c>
      <c r="AO55" s="5125">
        <v>51.15</v>
      </c>
      <c r="AP55" s="5126">
        <f t="shared" si="1"/>
        <v>0</v>
      </c>
    </row>
    <row r="56" spans="1:42">
      <c r="A56" s="5121">
        <v>246</v>
      </c>
      <c r="B56" s="5122">
        <v>20</v>
      </c>
      <c r="C56" s="5123">
        <v>12.035</v>
      </c>
      <c r="D56" s="5123">
        <v>0</v>
      </c>
      <c r="E56" s="5123">
        <v>0</v>
      </c>
      <c r="F56" s="5123">
        <v>0</v>
      </c>
      <c r="G56" s="5123">
        <v>0</v>
      </c>
      <c r="H56" s="5123">
        <v>17.838000000000001</v>
      </c>
      <c r="I56" s="5123">
        <v>0</v>
      </c>
      <c r="J56" s="5123">
        <v>0</v>
      </c>
      <c r="K56" s="5123">
        <v>0</v>
      </c>
      <c r="L56" s="5123">
        <v>0</v>
      </c>
      <c r="M56" s="5123">
        <v>0</v>
      </c>
      <c r="N56" s="5123">
        <v>0</v>
      </c>
      <c r="O56" s="5123">
        <v>0</v>
      </c>
      <c r="P56" s="5123">
        <v>0</v>
      </c>
      <c r="Q56" s="5123">
        <v>0</v>
      </c>
      <c r="R56" s="5123">
        <v>0</v>
      </c>
      <c r="S56" s="5123">
        <v>0</v>
      </c>
      <c r="T56" s="5123">
        <v>0</v>
      </c>
      <c r="U56" s="5122">
        <v>20</v>
      </c>
      <c r="V56" s="5123">
        <v>20.715</v>
      </c>
      <c r="W56" s="5123">
        <v>0</v>
      </c>
      <c r="X56" s="5123">
        <v>4</v>
      </c>
      <c r="Y56" s="5123">
        <v>0</v>
      </c>
      <c r="Z56" s="5123">
        <v>0</v>
      </c>
      <c r="AA56" s="5123">
        <v>5.0069999999999997</v>
      </c>
      <c r="AB56" s="5123">
        <v>0</v>
      </c>
      <c r="AC56" s="5123">
        <v>0</v>
      </c>
      <c r="AD56" s="5123">
        <v>0</v>
      </c>
      <c r="AE56" s="5123">
        <v>0</v>
      </c>
      <c r="AF56" s="5123">
        <v>0</v>
      </c>
      <c r="AG56" s="5123">
        <v>0</v>
      </c>
      <c r="AH56" s="5123">
        <v>0</v>
      </c>
      <c r="AI56" s="5123">
        <v>0</v>
      </c>
      <c r="AJ56" s="5123">
        <v>0</v>
      </c>
      <c r="AK56" s="5123">
        <v>0</v>
      </c>
      <c r="AL56" s="5123">
        <v>0</v>
      </c>
      <c r="AM56" s="5123">
        <v>0</v>
      </c>
      <c r="AN56" s="5124">
        <f t="shared" si="0"/>
        <v>49.722000000000001</v>
      </c>
      <c r="AO56" s="5125">
        <v>49.722000000000001</v>
      </c>
      <c r="AP56" s="5126">
        <f t="shared" si="1"/>
        <v>0</v>
      </c>
    </row>
    <row r="57" spans="1:42">
      <c r="A57" s="5121">
        <v>247</v>
      </c>
      <c r="B57" s="5122">
        <v>20</v>
      </c>
      <c r="C57" s="5127">
        <v>15.351000000000001</v>
      </c>
      <c r="D57" s="5123">
        <v>0</v>
      </c>
      <c r="E57" s="5123">
        <v>8</v>
      </c>
      <c r="F57" s="5123">
        <v>0</v>
      </c>
      <c r="G57" s="5123">
        <v>0</v>
      </c>
      <c r="H57" s="5123">
        <v>0</v>
      </c>
      <c r="I57" s="5123">
        <v>0</v>
      </c>
      <c r="J57" s="5123">
        <v>0</v>
      </c>
      <c r="K57" s="5123">
        <v>0</v>
      </c>
      <c r="L57" s="5123">
        <v>0</v>
      </c>
      <c r="M57" s="5123">
        <v>0</v>
      </c>
      <c r="N57" s="5123">
        <v>0</v>
      </c>
      <c r="O57" s="5123">
        <v>0</v>
      </c>
      <c r="P57" s="5123">
        <v>0</v>
      </c>
      <c r="Q57" s="5123">
        <v>0</v>
      </c>
      <c r="R57" s="5123">
        <v>0</v>
      </c>
      <c r="S57" s="5123">
        <v>0</v>
      </c>
      <c r="T57" s="5123">
        <v>0</v>
      </c>
      <c r="U57" s="5122">
        <v>20</v>
      </c>
      <c r="V57" s="5123">
        <v>21.433</v>
      </c>
      <c r="W57" s="5123">
        <v>0</v>
      </c>
      <c r="X57" s="5123">
        <v>7.9850000000000003</v>
      </c>
      <c r="Y57" s="5123">
        <v>0</v>
      </c>
      <c r="Z57" s="5123">
        <v>0</v>
      </c>
      <c r="AA57" s="5123">
        <v>0</v>
      </c>
      <c r="AB57" s="5123">
        <v>0</v>
      </c>
      <c r="AC57" s="5123">
        <v>0</v>
      </c>
      <c r="AD57" s="5123">
        <v>0</v>
      </c>
      <c r="AE57" s="5123">
        <v>0</v>
      </c>
      <c r="AF57" s="5123">
        <v>0</v>
      </c>
      <c r="AG57" s="5123">
        <v>0</v>
      </c>
      <c r="AH57" s="5123">
        <v>0</v>
      </c>
      <c r="AI57" s="5123">
        <v>0</v>
      </c>
      <c r="AJ57" s="5123">
        <v>0</v>
      </c>
      <c r="AK57" s="5123">
        <v>0</v>
      </c>
      <c r="AL57" s="5123">
        <v>0</v>
      </c>
      <c r="AM57" s="5123">
        <v>0</v>
      </c>
      <c r="AN57" s="5124">
        <f t="shared" si="0"/>
        <v>49.417999999999999</v>
      </c>
      <c r="AO57" s="5125">
        <v>49.417999999999999</v>
      </c>
      <c r="AP57" s="5126">
        <f t="shared" si="1"/>
        <v>0</v>
      </c>
    </row>
    <row r="58" spans="1:42">
      <c r="A58" s="5121">
        <v>248</v>
      </c>
      <c r="B58" s="5122">
        <v>20</v>
      </c>
      <c r="C58" s="5123">
        <v>13.587999999999999</v>
      </c>
      <c r="D58" s="5123">
        <v>0</v>
      </c>
      <c r="E58" s="5123">
        <v>4</v>
      </c>
      <c r="F58" s="5123">
        <v>0</v>
      </c>
      <c r="G58" s="5123">
        <v>0</v>
      </c>
      <c r="H58" s="5123">
        <v>11.324999999999999</v>
      </c>
      <c r="I58" s="5123">
        <v>0</v>
      </c>
      <c r="J58" s="5123">
        <v>0</v>
      </c>
      <c r="K58" s="5123">
        <v>0</v>
      </c>
      <c r="L58" s="5123">
        <v>0</v>
      </c>
      <c r="M58" s="5123">
        <v>0</v>
      </c>
      <c r="N58" s="5123">
        <v>0</v>
      </c>
      <c r="O58" s="5123">
        <v>0</v>
      </c>
      <c r="P58" s="5123">
        <v>1</v>
      </c>
      <c r="Q58" s="5123">
        <v>0</v>
      </c>
      <c r="R58" s="5123">
        <v>0</v>
      </c>
      <c r="S58" s="5123">
        <v>0</v>
      </c>
      <c r="T58" s="5123">
        <v>0</v>
      </c>
      <c r="U58" s="5122">
        <v>20</v>
      </c>
      <c r="V58" s="5123">
        <v>18.248000000000001</v>
      </c>
      <c r="W58" s="5123">
        <v>0</v>
      </c>
      <c r="X58" s="5123">
        <v>4</v>
      </c>
      <c r="Y58" s="5123">
        <v>0</v>
      </c>
      <c r="Z58" s="5123">
        <v>0</v>
      </c>
      <c r="AA58" s="5123">
        <v>11.797000000000001</v>
      </c>
      <c r="AB58" s="5123">
        <v>0</v>
      </c>
      <c r="AC58" s="5123">
        <v>0</v>
      </c>
      <c r="AD58" s="5123">
        <v>0</v>
      </c>
      <c r="AE58" s="5123">
        <v>0</v>
      </c>
      <c r="AF58" s="5123">
        <v>0</v>
      </c>
      <c r="AG58" s="5123">
        <v>0</v>
      </c>
      <c r="AH58" s="5123">
        <v>0</v>
      </c>
      <c r="AI58" s="5123">
        <v>1</v>
      </c>
      <c r="AJ58" s="5123">
        <v>0</v>
      </c>
      <c r="AK58" s="5123">
        <v>0</v>
      </c>
      <c r="AL58" s="5123">
        <v>0</v>
      </c>
      <c r="AM58" s="5123">
        <v>0</v>
      </c>
      <c r="AN58" s="5124">
        <f t="shared" si="0"/>
        <v>55.045000000000002</v>
      </c>
      <c r="AO58" s="5125">
        <v>55.045000000000002</v>
      </c>
      <c r="AP58" s="5126">
        <f t="shared" si="1"/>
        <v>0</v>
      </c>
    </row>
    <row r="59" spans="1:42">
      <c r="A59" s="5121">
        <v>249</v>
      </c>
      <c r="B59" s="5122">
        <v>20</v>
      </c>
      <c r="C59" s="5123">
        <v>14.468</v>
      </c>
      <c r="D59" s="5123">
        <v>0</v>
      </c>
      <c r="E59" s="5123">
        <v>4</v>
      </c>
      <c r="F59" s="5123">
        <v>0</v>
      </c>
      <c r="G59" s="5123">
        <v>0</v>
      </c>
      <c r="H59" s="5123">
        <v>7.5019999999999998</v>
      </c>
      <c r="I59" s="5123">
        <v>0</v>
      </c>
      <c r="J59" s="5123">
        <v>0</v>
      </c>
      <c r="K59" s="5123">
        <v>0</v>
      </c>
      <c r="L59" s="5123">
        <v>0</v>
      </c>
      <c r="M59" s="5123">
        <v>0</v>
      </c>
      <c r="N59" s="5123">
        <v>0</v>
      </c>
      <c r="O59" s="5123">
        <v>0</v>
      </c>
      <c r="P59" s="5123">
        <v>1</v>
      </c>
      <c r="Q59" s="5123">
        <v>0</v>
      </c>
      <c r="R59" s="5123">
        <v>0</v>
      </c>
      <c r="S59" s="5123">
        <v>0</v>
      </c>
      <c r="T59" s="5123">
        <v>0</v>
      </c>
      <c r="U59" s="5122">
        <v>20</v>
      </c>
      <c r="V59" s="5123">
        <v>16.577000000000002</v>
      </c>
      <c r="W59" s="5123">
        <v>0</v>
      </c>
      <c r="X59" s="5123">
        <v>4</v>
      </c>
      <c r="Y59" s="5123">
        <v>0</v>
      </c>
      <c r="Z59" s="5123">
        <v>0</v>
      </c>
      <c r="AA59" s="5123">
        <v>5.5490000000000004</v>
      </c>
      <c r="AB59" s="5123">
        <v>0</v>
      </c>
      <c r="AC59" s="5123">
        <v>0</v>
      </c>
      <c r="AD59" s="5123">
        <v>0</v>
      </c>
      <c r="AE59" s="5123">
        <v>0</v>
      </c>
      <c r="AF59" s="5123">
        <v>0</v>
      </c>
      <c r="AG59" s="5123">
        <v>0</v>
      </c>
      <c r="AH59" s="5123">
        <v>0</v>
      </c>
      <c r="AI59" s="5123">
        <v>1.9990000000000001</v>
      </c>
      <c r="AJ59" s="5123">
        <v>0</v>
      </c>
      <c r="AK59" s="5123">
        <v>0</v>
      </c>
      <c r="AL59" s="5123">
        <v>0</v>
      </c>
      <c r="AM59" s="5123">
        <v>0</v>
      </c>
      <c r="AN59" s="5124">
        <f t="shared" si="0"/>
        <v>48.125</v>
      </c>
      <c r="AO59" s="5125">
        <v>48.125</v>
      </c>
      <c r="AP59" s="5126">
        <f t="shared" si="1"/>
        <v>0</v>
      </c>
    </row>
    <row r="60" spans="1:42">
      <c r="A60" s="5121">
        <v>250</v>
      </c>
      <c r="B60" s="5122">
        <v>20</v>
      </c>
      <c r="C60" s="5123">
        <v>15.638</v>
      </c>
      <c r="D60" s="5123">
        <v>0</v>
      </c>
      <c r="E60" s="5123">
        <v>4</v>
      </c>
      <c r="F60" s="5123">
        <v>0</v>
      </c>
      <c r="G60" s="5123">
        <v>0</v>
      </c>
      <c r="H60" s="5123">
        <v>9.9659999999999993</v>
      </c>
      <c r="I60" s="5123">
        <v>0</v>
      </c>
      <c r="J60" s="5123">
        <v>0</v>
      </c>
      <c r="K60" s="5123">
        <v>0</v>
      </c>
      <c r="L60" s="5123">
        <v>0</v>
      </c>
      <c r="M60" s="5123">
        <v>0</v>
      </c>
      <c r="N60" s="5123">
        <v>0</v>
      </c>
      <c r="O60" s="5123">
        <v>0</v>
      </c>
      <c r="P60" s="5123">
        <v>0</v>
      </c>
      <c r="Q60" s="5123">
        <v>0</v>
      </c>
      <c r="R60" s="5123">
        <v>0</v>
      </c>
      <c r="S60" s="5123">
        <v>0</v>
      </c>
      <c r="T60" s="5123">
        <v>0</v>
      </c>
      <c r="U60" s="5122">
        <v>20</v>
      </c>
      <c r="V60" s="5123">
        <v>19.931999999999999</v>
      </c>
      <c r="W60" s="5123">
        <v>0</v>
      </c>
      <c r="X60" s="5123">
        <v>3.9790000000000001</v>
      </c>
      <c r="Y60" s="5123">
        <v>0</v>
      </c>
      <c r="Z60" s="5123">
        <v>0</v>
      </c>
      <c r="AA60" s="5123">
        <v>6.9640000000000004</v>
      </c>
      <c r="AB60" s="5123">
        <v>0</v>
      </c>
      <c r="AC60" s="5123">
        <v>0</v>
      </c>
      <c r="AD60" s="5123">
        <v>0</v>
      </c>
      <c r="AE60" s="5123">
        <v>0</v>
      </c>
      <c r="AF60" s="5123">
        <v>0</v>
      </c>
      <c r="AG60" s="5123">
        <v>0</v>
      </c>
      <c r="AH60" s="5123">
        <v>0</v>
      </c>
      <c r="AI60" s="5123">
        <v>0</v>
      </c>
      <c r="AJ60" s="5123">
        <v>0</v>
      </c>
      <c r="AK60" s="5123">
        <v>0</v>
      </c>
      <c r="AL60" s="5123">
        <v>0</v>
      </c>
      <c r="AM60" s="5123">
        <v>0</v>
      </c>
      <c r="AN60" s="5124">
        <f t="shared" si="0"/>
        <v>50.875</v>
      </c>
      <c r="AO60" s="5125">
        <v>50.875</v>
      </c>
      <c r="AP60" s="5126">
        <f t="shared" si="1"/>
        <v>0</v>
      </c>
    </row>
    <row r="61" spans="1:42">
      <c r="A61" s="5121">
        <v>251</v>
      </c>
      <c r="B61" s="5122">
        <v>20</v>
      </c>
      <c r="C61" s="5123">
        <v>13.598000000000001</v>
      </c>
      <c r="D61" s="5123">
        <v>0</v>
      </c>
      <c r="E61" s="5123">
        <v>7.9989999999999997</v>
      </c>
      <c r="F61" s="5123">
        <v>0</v>
      </c>
      <c r="G61" s="5123">
        <v>0</v>
      </c>
      <c r="H61" s="5123">
        <v>0</v>
      </c>
      <c r="I61" s="5123">
        <v>0</v>
      </c>
      <c r="J61" s="5123">
        <v>0</v>
      </c>
      <c r="K61" s="5123">
        <v>0</v>
      </c>
      <c r="L61" s="5123">
        <v>0</v>
      </c>
      <c r="M61" s="5123">
        <v>0</v>
      </c>
      <c r="N61" s="5123">
        <v>0</v>
      </c>
      <c r="O61" s="5123">
        <v>0</v>
      </c>
      <c r="P61" s="5123">
        <v>0</v>
      </c>
      <c r="Q61" s="5123">
        <v>0</v>
      </c>
      <c r="R61" s="5123">
        <v>0</v>
      </c>
      <c r="S61" s="5123">
        <v>0</v>
      </c>
      <c r="T61" s="5123">
        <v>0</v>
      </c>
      <c r="U61" s="5122">
        <v>20</v>
      </c>
      <c r="V61" s="5123">
        <v>12.263999999999999</v>
      </c>
      <c r="W61" s="5123">
        <v>0</v>
      </c>
      <c r="X61" s="5123">
        <v>8</v>
      </c>
      <c r="Y61" s="5123">
        <v>0</v>
      </c>
      <c r="Z61" s="5123">
        <v>0</v>
      </c>
      <c r="AA61" s="5123">
        <v>0</v>
      </c>
      <c r="AB61" s="5123">
        <v>0</v>
      </c>
      <c r="AC61" s="5123">
        <v>0</v>
      </c>
      <c r="AD61" s="5123">
        <v>0</v>
      </c>
      <c r="AE61" s="5123">
        <v>0</v>
      </c>
      <c r="AF61" s="5123">
        <v>0</v>
      </c>
      <c r="AG61" s="5123">
        <v>0</v>
      </c>
      <c r="AH61" s="5123">
        <v>0</v>
      </c>
      <c r="AI61" s="5123">
        <v>0</v>
      </c>
      <c r="AJ61" s="5123">
        <v>0</v>
      </c>
      <c r="AK61" s="5123">
        <v>0</v>
      </c>
      <c r="AL61" s="5123">
        <v>0</v>
      </c>
      <c r="AM61" s="5123">
        <v>0</v>
      </c>
      <c r="AN61" s="5124">
        <f t="shared" si="0"/>
        <v>40.264000000000003</v>
      </c>
      <c r="AO61" s="5125">
        <v>40.264000000000003</v>
      </c>
      <c r="AP61" s="5126">
        <f t="shared" si="1"/>
        <v>0</v>
      </c>
    </row>
    <row r="62" spans="1:42">
      <c r="A62" s="5121">
        <v>252</v>
      </c>
      <c r="B62" s="5122">
        <v>20</v>
      </c>
      <c r="C62" s="5123">
        <v>18.602</v>
      </c>
      <c r="D62" s="5123">
        <v>0</v>
      </c>
      <c r="E62" s="5123">
        <v>8</v>
      </c>
      <c r="F62" s="5123">
        <v>0</v>
      </c>
      <c r="G62" s="5123">
        <v>0</v>
      </c>
      <c r="H62" s="5123">
        <v>19.375</v>
      </c>
      <c r="I62" s="5123">
        <v>0</v>
      </c>
      <c r="J62" s="5123">
        <v>0</v>
      </c>
      <c r="K62" s="5123">
        <v>0</v>
      </c>
      <c r="L62" s="5123">
        <v>0</v>
      </c>
      <c r="M62" s="5123">
        <v>0</v>
      </c>
      <c r="N62" s="5123">
        <v>0</v>
      </c>
      <c r="O62" s="5123">
        <v>0</v>
      </c>
      <c r="P62" s="5123">
        <v>1.0009999999999999</v>
      </c>
      <c r="Q62" s="5123">
        <v>0</v>
      </c>
      <c r="R62" s="5123">
        <v>0</v>
      </c>
      <c r="S62" s="5123">
        <v>0</v>
      </c>
      <c r="T62" s="5123">
        <v>0</v>
      </c>
      <c r="U62" s="5122">
        <v>20</v>
      </c>
      <c r="V62" s="5123">
        <v>23.565999999999999</v>
      </c>
      <c r="W62" s="5123">
        <v>0</v>
      </c>
      <c r="X62" s="5123">
        <v>7.9950000000000001</v>
      </c>
      <c r="Y62" s="5123">
        <v>0</v>
      </c>
      <c r="Z62" s="5123">
        <v>0</v>
      </c>
      <c r="AA62" s="5123">
        <v>16.058</v>
      </c>
      <c r="AB62" s="5123">
        <v>0</v>
      </c>
      <c r="AC62" s="5123">
        <v>0</v>
      </c>
      <c r="AD62" s="5123">
        <v>0</v>
      </c>
      <c r="AE62" s="5123">
        <v>0</v>
      </c>
      <c r="AF62" s="5123">
        <v>0</v>
      </c>
      <c r="AG62" s="5123">
        <v>0</v>
      </c>
      <c r="AH62" s="5123">
        <v>0</v>
      </c>
      <c r="AI62" s="5123">
        <v>1</v>
      </c>
      <c r="AJ62" s="5123">
        <v>0</v>
      </c>
      <c r="AK62" s="5123">
        <v>0</v>
      </c>
      <c r="AL62" s="5123">
        <v>0</v>
      </c>
      <c r="AM62" s="5123">
        <v>0</v>
      </c>
      <c r="AN62" s="5124">
        <f t="shared" si="0"/>
        <v>68.619</v>
      </c>
      <c r="AO62" s="5125">
        <v>68.619</v>
      </c>
      <c r="AP62" s="5126">
        <f t="shared" si="1"/>
        <v>0</v>
      </c>
    </row>
    <row r="63" spans="1:42">
      <c r="A63" s="5121">
        <v>253</v>
      </c>
      <c r="B63" s="5122">
        <v>20</v>
      </c>
      <c r="C63" s="5123">
        <v>15.698</v>
      </c>
      <c r="D63" s="5123">
        <v>0.5</v>
      </c>
      <c r="E63" s="5123">
        <v>4</v>
      </c>
      <c r="F63" s="5123">
        <v>0</v>
      </c>
      <c r="G63" s="5123">
        <v>0</v>
      </c>
      <c r="H63" s="5123">
        <v>13.409000000000001</v>
      </c>
      <c r="I63" s="5123">
        <v>0</v>
      </c>
      <c r="J63" s="5123">
        <v>0</v>
      </c>
      <c r="K63" s="5123">
        <v>0</v>
      </c>
      <c r="L63" s="5123">
        <v>0</v>
      </c>
      <c r="M63" s="5123">
        <v>0</v>
      </c>
      <c r="N63" s="5123">
        <v>0</v>
      </c>
      <c r="O63" s="5123">
        <v>0</v>
      </c>
      <c r="P63" s="5123">
        <v>6.5019999999999998</v>
      </c>
      <c r="Q63" s="5123">
        <v>1.274</v>
      </c>
      <c r="R63" s="5123">
        <v>0</v>
      </c>
      <c r="S63" s="5123">
        <v>0</v>
      </c>
      <c r="T63" s="5123">
        <v>0</v>
      </c>
      <c r="U63" s="5122">
        <v>20</v>
      </c>
      <c r="V63" s="5123">
        <v>17.073</v>
      </c>
      <c r="W63" s="5123">
        <v>0.501</v>
      </c>
      <c r="X63" s="5123">
        <v>8</v>
      </c>
      <c r="Y63" s="5123">
        <v>0</v>
      </c>
      <c r="Z63" s="5123">
        <v>0</v>
      </c>
      <c r="AA63" s="5123">
        <v>8.0399999999999991</v>
      </c>
      <c r="AB63" s="5123">
        <v>0</v>
      </c>
      <c r="AC63" s="5123">
        <v>0</v>
      </c>
      <c r="AD63" s="5123">
        <v>0</v>
      </c>
      <c r="AE63" s="5123">
        <v>0</v>
      </c>
      <c r="AF63" s="5123">
        <v>0</v>
      </c>
      <c r="AG63" s="5123">
        <v>0</v>
      </c>
      <c r="AH63" s="5123">
        <v>0</v>
      </c>
      <c r="AI63" s="5123">
        <v>6.5110000000000001</v>
      </c>
      <c r="AJ63" s="5123">
        <v>1.276</v>
      </c>
      <c r="AK63" s="5123">
        <v>0</v>
      </c>
      <c r="AL63" s="5123">
        <v>0</v>
      </c>
      <c r="AM63" s="5123">
        <v>0</v>
      </c>
      <c r="AN63" s="5124">
        <f t="shared" si="0"/>
        <v>61.401000000000003</v>
      </c>
      <c r="AO63" s="5125">
        <v>61.401000000000003</v>
      </c>
      <c r="AP63" s="5126">
        <f t="shared" si="1"/>
        <v>0</v>
      </c>
    </row>
    <row r="64" spans="1:42">
      <c r="A64" s="5121">
        <v>254</v>
      </c>
      <c r="B64" s="5122">
        <v>20</v>
      </c>
      <c r="C64" s="5123">
        <v>19.646999999999998</v>
      </c>
      <c r="D64" s="5123">
        <v>0</v>
      </c>
      <c r="E64" s="5123">
        <v>6.1749999999999998</v>
      </c>
      <c r="F64" s="5123">
        <v>0</v>
      </c>
      <c r="G64" s="5123">
        <v>0</v>
      </c>
      <c r="H64" s="5123">
        <v>1.147</v>
      </c>
      <c r="I64" s="5123">
        <v>0</v>
      </c>
      <c r="J64" s="5123">
        <v>0</v>
      </c>
      <c r="K64" s="5123">
        <v>0</v>
      </c>
      <c r="L64" s="5123">
        <v>0</v>
      </c>
      <c r="M64" s="5123">
        <v>0</v>
      </c>
      <c r="N64" s="5123">
        <v>0</v>
      </c>
      <c r="O64" s="5123">
        <v>0</v>
      </c>
      <c r="P64" s="5123">
        <v>1.76</v>
      </c>
      <c r="Q64" s="5123">
        <v>0</v>
      </c>
      <c r="R64" s="5123">
        <v>0</v>
      </c>
      <c r="S64" s="5123">
        <v>0</v>
      </c>
      <c r="T64" s="5123">
        <v>0</v>
      </c>
      <c r="U64" s="5122">
        <v>20</v>
      </c>
      <c r="V64" s="5123">
        <v>17.277999999999999</v>
      </c>
      <c r="W64" s="5123">
        <v>0</v>
      </c>
      <c r="X64" s="5123">
        <v>8</v>
      </c>
      <c r="Y64" s="5123">
        <v>0</v>
      </c>
      <c r="Z64" s="5123">
        <v>0</v>
      </c>
      <c r="AA64" s="5123">
        <v>0</v>
      </c>
      <c r="AB64" s="5123">
        <v>0</v>
      </c>
      <c r="AC64" s="5123">
        <v>0</v>
      </c>
      <c r="AD64" s="5123">
        <v>0</v>
      </c>
      <c r="AE64" s="5123">
        <v>0</v>
      </c>
      <c r="AF64" s="5123">
        <v>0</v>
      </c>
      <c r="AG64" s="5123">
        <v>0</v>
      </c>
      <c r="AH64" s="5123">
        <v>0</v>
      </c>
      <c r="AI64" s="5123">
        <v>1.722</v>
      </c>
      <c r="AJ64" s="5123">
        <v>0</v>
      </c>
      <c r="AK64" s="5123">
        <v>0</v>
      </c>
      <c r="AL64" s="5123">
        <v>0</v>
      </c>
      <c r="AM64" s="5123">
        <v>0</v>
      </c>
      <c r="AN64" s="5124">
        <f t="shared" si="0"/>
        <v>47</v>
      </c>
      <c r="AO64" s="5125">
        <v>47</v>
      </c>
      <c r="AP64" s="5126">
        <f t="shared" si="1"/>
        <v>0</v>
      </c>
    </row>
    <row r="65" spans="1:42">
      <c r="A65" s="5121">
        <v>255</v>
      </c>
      <c r="B65" s="5122">
        <v>20</v>
      </c>
      <c r="C65" s="5123">
        <v>6.7910000000000004</v>
      </c>
      <c r="D65" s="5123">
        <v>0</v>
      </c>
      <c r="E65" s="5123">
        <v>8</v>
      </c>
      <c r="F65" s="5123">
        <v>0</v>
      </c>
      <c r="G65" s="5123">
        <v>0</v>
      </c>
      <c r="H65" s="5123">
        <v>0</v>
      </c>
      <c r="I65" s="5123">
        <v>0</v>
      </c>
      <c r="J65" s="5123">
        <v>0</v>
      </c>
      <c r="K65" s="5123">
        <v>0</v>
      </c>
      <c r="L65" s="5123">
        <v>0</v>
      </c>
      <c r="M65" s="5123">
        <v>0</v>
      </c>
      <c r="N65" s="5123">
        <v>0</v>
      </c>
      <c r="O65" s="5123">
        <v>0</v>
      </c>
      <c r="P65" s="5123">
        <v>1.5940000000000001</v>
      </c>
      <c r="Q65" s="5123">
        <v>0</v>
      </c>
      <c r="R65" s="5123">
        <v>0</v>
      </c>
      <c r="S65" s="5123">
        <v>0</v>
      </c>
      <c r="T65" s="5123">
        <v>0</v>
      </c>
      <c r="U65" s="5122">
        <v>20</v>
      </c>
      <c r="V65" s="5123">
        <v>6.141</v>
      </c>
      <c r="W65" s="5123">
        <v>0</v>
      </c>
      <c r="X65" s="5123">
        <v>8</v>
      </c>
      <c r="Y65" s="5123">
        <v>0</v>
      </c>
      <c r="Z65" s="5123">
        <v>0</v>
      </c>
      <c r="AA65" s="5123">
        <v>0</v>
      </c>
      <c r="AB65" s="5123">
        <v>0</v>
      </c>
      <c r="AC65" s="5123">
        <v>0</v>
      </c>
      <c r="AD65" s="5123">
        <v>0</v>
      </c>
      <c r="AE65" s="5123">
        <v>0</v>
      </c>
      <c r="AF65" s="5123">
        <v>0</v>
      </c>
      <c r="AG65" s="5123">
        <v>0</v>
      </c>
      <c r="AH65" s="5123">
        <v>0</v>
      </c>
      <c r="AI65" s="5123">
        <v>1.5009999999999999</v>
      </c>
      <c r="AJ65" s="5123">
        <v>0</v>
      </c>
      <c r="AK65" s="5123">
        <v>0</v>
      </c>
      <c r="AL65" s="5123">
        <v>0</v>
      </c>
      <c r="AM65" s="5123">
        <v>0</v>
      </c>
      <c r="AN65" s="5124">
        <f t="shared" si="0"/>
        <v>35.642000000000003</v>
      </c>
      <c r="AO65" s="5125">
        <v>35.642000000000003</v>
      </c>
      <c r="AP65" s="5126">
        <f t="shared" si="1"/>
        <v>0</v>
      </c>
    </row>
    <row r="66" spans="1:42">
      <c r="A66" s="5121">
        <v>256</v>
      </c>
      <c r="B66" s="5122">
        <v>20</v>
      </c>
      <c r="C66" s="5123">
        <v>21.204000000000001</v>
      </c>
      <c r="D66" s="5123">
        <v>0</v>
      </c>
      <c r="E66" s="5123">
        <v>0</v>
      </c>
      <c r="F66" s="5123">
        <v>0</v>
      </c>
      <c r="G66" s="5123">
        <v>0</v>
      </c>
      <c r="H66" s="5123">
        <v>6.8079999999999998</v>
      </c>
      <c r="I66" s="5123">
        <v>0</v>
      </c>
      <c r="J66" s="5123">
        <v>0</v>
      </c>
      <c r="K66" s="5123">
        <v>0</v>
      </c>
      <c r="L66" s="5123">
        <v>0</v>
      </c>
      <c r="M66" s="5123">
        <v>0</v>
      </c>
      <c r="N66" s="5123">
        <v>0</v>
      </c>
      <c r="O66" s="5123">
        <v>0</v>
      </c>
      <c r="P66" s="5123">
        <v>0</v>
      </c>
      <c r="Q66" s="5123">
        <v>0</v>
      </c>
      <c r="R66" s="5123">
        <v>0</v>
      </c>
      <c r="S66" s="5123">
        <v>0</v>
      </c>
      <c r="T66" s="5123">
        <v>0</v>
      </c>
      <c r="U66" s="5122">
        <v>20</v>
      </c>
      <c r="V66" s="5123">
        <v>12.968</v>
      </c>
      <c r="W66" s="5123">
        <v>0</v>
      </c>
      <c r="X66" s="5123">
        <v>0</v>
      </c>
      <c r="Y66" s="5123">
        <v>0</v>
      </c>
      <c r="Z66" s="5123">
        <v>0</v>
      </c>
      <c r="AA66" s="5123">
        <v>3.8</v>
      </c>
      <c r="AB66" s="5123">
        <v>0</v>
      </c>
      <c r="AC66" s="5123">
        <v>0</v>
      </c>
      <c r="AD66" s="5123">
        <v>0</v>
      </c>
      <c r="AE66" s="5123">
        <v>0</v>
      </c>
      <c r="AF66" s="5123">
        <v>0</v>
      </c>
      <c r="AG66" s="5123">
        <v>0</v>
      </c>
      <c r="AH66" s="5123">
        <v>0</v>
      </c>
      <c r="AI66" s="5123">
        <v>0</v>
      </c>
      <c r="AJ66" s="5123">
        <v>0</v>
      </c>
      <c r="AK66" s="5123">
        <v>0</v>
      </c>
      <c r="AL66" s="5123">
        <v>0</v>
      </c>
      <c r="AM66" s="5123">
        <v>0</v>
      </c>
      <c r="AN66" s="5124">
        <f t="shared" si="0"/>
        <v>36.768000000000001</v>
      </c>
      <c r="AO66" s="5125">
        <v>36.768000000000001</v>
      </c>
      <c r="AP66" s="5126">
        <f t="shared" si="1"/>
        <v>0</v>
      </c>
    </row>
    <row r="67" spans="1:42">
      <c r="A67" s="5121">
        <v>257</v>
      </c>
      <c r="B67" s="5122">
        <v>20</v>
      </c>
      <c r="C67" s="5123">
        <v>16.425999999999998</v>
      </c>
      <c r="D67" s="5123">
        <v>0</v>
      </c>
      <c r="E67" s="5123">
        <v>8</v>
      </c>
      <c r="F67" s="5123">
        <v>0</v>
      </c>
      <c r="G67" s="5123">
        <v>0</v>
      </c>
      <c r="H67" s="5123">
        <v>0</v>
      </c>
      <c r="I67" s="5123">
        <v>0</v>
      </c>
      <c r="J67" s="5123">
        <v>0</v>
      </c>
      <c r="K67" s="5123">
        <v>0</v>
      </c>
      <c r="L67" s="5123">
        <v>0</v>
      </c>
      <c r="M67" s="5123">
        <v>0</v>
      </c>
      <c r="N67" s="5123">
        <v>0</v>
      </c>
      <c r="O67" s="5123">
        <v>0</v>
      </c>
      <c r="P67" s="5123">
        <v>0</v>
      </c>
      <c r="Q67" s="5123">
        <v>0</v>
      </c>
      <c r="R67" s="5123">
        <v>0</v>
      </c>
      <c r="S67" s="5123">
        <v>0</v>
      </c>
      <c r="T67" s="5123">
        <v>0</v>
      </c>
      <c r="U67" s="5122">
        <v>20</v>
      </c>
      <c r="V67" s="5123">
        <v>20.471</v>
      </c>
      <c r="W67" s="5123">
        <v>0</v>
      </c>
      <c r="X67" s="5123">
        <v>8</v>
      </c>
      <c r="Y67" s="5123">
        <v>0</v>
      </c>
      <c r="Z67" s="5123">
        <v>0</v>
      </c>
      <c r="AA67" s="5123">
        <v>0</v>
      </c>
      <c r="AB67" s="5123">
        <v>0</v>
      </c>
      <c r="AC67" s="5123">
        <v>0</v>
      </c>
      <c r="AD67" s="5123">
        <v>0</v>
      </c>
      <c r="AE67" s="5123">
        <v>0</v>
      </c>
      <c r="AF67" s="5123">
        <v>0</v>
      </c>
      <c r="AG67" s="5123">
        <v>0</v>
      </c>
      <c r="AH67" s="5123">
        <v>0</v>
      </c>
      <c r="AI67" s="5123">
        <v>0</v>
      </c>
      <c r="AJ67" s="5123">
        <v>0</v>
      </c>
      <c r="AK67" s="5123">
        <v>0</v>
      </c>
      <c r="AL67" s="5123">
        <v>0</v>
      </c>
      <c r="AM67" s="5123">
        <v>0</v>
      </c>
      <c r="AN67" s="5124">
        <f t="shared" si="0"/>
        <v>48.470999999999997</v>
      </c>
      <c r="AO67" s="5125">
        <v>48.470999999999997</v>
      </c>
      <c r="AP67" s="5126">
        <f t="shared" si="1"/>
        <v>0</v>
      </c>
    </row>
    <row r="68" spans="1:42">
      <c r="A68" s="5121">
        <v>258</v>
      </c>
      <c r="B68" s="5122">
        <v>20</v>
      </c>
      <c r="C68" s="5123">
        <v>13.076000000000001</v>
      </c>
      <c r="D68" s="5123">
        <v>0</v>
      </c>
      <c r="E68" s="5123">
        <v>8</v>
      </c>
      <c r="F68" s="5123">
        <v>0</v>
      </c>
      <c r="G68" s="5123">
        <v>0</v>
      </c>
      <c r="H68" s="5123">
        <v>19.777999999999999</v>
      </c>
      <c r="I68" s="5123">
        <v>0</v>
      </c>
      <c r="J68" s="5123">
        <v>0</v>
      </c>
      <c r="K68" s="5123">
        <v>0</v>
      </c>
      <c r="L68" s="5123">
        <v>0</v>
      </c>
      <c r="M68" s="5123">
        <v>0</v>
      </c>
      <c r="N68" s="5123">
        <v>0</v>
      </c>
      <c r="O68" s="5123">
        <v>0</v>
      </c>
      <c r="P68" s="5123">
        <v>2.1789999999999998</v>
      </c>
      <c r="Q68" s="5123">
        <v>0</v>
      </c>
      <c r="R68" s="5123">
        <v>0</v>
      </c>
      <c r="S68" s="5123">
        <v>0</v>
      </c>
      <c r="T68" s="5123">
        <v>0</v>
      </c>
      <c r="U68" s="5122">
        <v>20</v>
      </c>
      <c r="V68" s="5123">
        <v>8.6750000000000007</v>
      </c>
      <c r="W68" s="5123">
        <v>0</v>
      </c>
      <c r="X68" s="5123">
        <v>8</v>
      </c>
      <c r="Y68" s="5123">
        <v>0</v>
      </c>
      <c r="Z68" s="5123">
        <v>0</v>
      </c>
      <c r="AA68" s="5123">
        <v>16.015999999999998</v>
      </c>
      <c r="AB68" s="5123">
        <v>0</v>
      </c>
      <c r="AC68" s="5123">
        <v>0</v>
      </c>
      <c r="AD68" s="5123">
        <v>0</v>
      </c>
      <c r="AE68" s="5123">
        <v>0</v>
      </c>
      <c r="AF68" s="5123">
        <v>0</v>
      </c>
      <c r="AG68" s="5123">
        <v>0</v>
      </c>
      <c r="AH68" s="5123">
        <v>0</v>
      </c>
      <c r="AI68" s="5123">
        <v>2.157</v>
      </c>
      <c r="AJ68" s="5123">
        <v>0</v>
      </c>
      <c r="AK68" s="5123">
        <v>0</v>
      </c>
      <c r="AL68" s="5123">
        <v>0</v>
      </c>
      <c r="AM68" s="5123">
        <v>0</v>
      </c>
      <c r="AN68" s="5124">
        <f t="shared" ref="AN68:AN131" si="2">SUM(U68:AM68)</f>
        <v>54.847999999999999</v>
      </c>
      <c r="AO68" s="5125">
        <v>54.847999999999999</v>
      </c>
      <c r="AP68" s="5126">
        <f t="shared" ref="AP68:AP131" si="3">AN68-AO68</f>
        <v>0</v>
      </c>
    </row>
    <row r="69" spans="1:42">
      <c r="A69" s="5121">
        <v>259</v>
      </c>
      <c r="B69" s="5122">
        <v>20</v>
      </c>
      <c r="C69" s="5123">
        <v>16.212</v>
      </c>
      <c r="D69" s="5123">
        <v>0</v>
      </c>
      <c r="E69" s="5123">
        <v>8</v>
      </c>
      <c r="F69" s="5123">
        <v>0</v>
      </c>
      <c r="G69" s="5123">
        <v>0</v>
      </c>
      <c r="H69" s="5123">
        <v>9.5229999999999997</v>
      </c>
      <c r="I69" s="5123">
        <v>0</v>
      </c>
      <c r="J69" s="5123">
        <v>0</v>
      </c>
      <c r="K69" s="5123">
        <v>0</v>
      </c>
      <c r="L69" s="5123">
        <v>0</v>
      </c>
      <c r="M69" s="5123">
        <v>0</v>
      </c>
      <c r="N69" s="5123">
        <v>0</v>
      </c>
      <c r="O69" s="5123">
        <v>0</v>
      </c>
      <c r="P69" s="5123">
        <v>0</v>
      </c>
      <c r="Q69" s="5123">
        <v>0</v>
      </c>
      <c r="R69" s="5123">
        <v>0</v>
      </c>
      <c r="S69" s="5123">
        <v>0</v>
      </c>
      <c r="T69" s="5123">
        <v>0</v>
      </c>
      <c r="U69" s="5122">
        <v>20</v>
      </c>
      <c r="V69" s="5123">
        <v>18.498000000000001</v>
      </c>
      <c r="W69" s="5123">
        <v>0</v>
      </c>
      <c r="X69" s="5123">
        <v>7.93</v>
      </c>
      <c r="Y69" s="5123">
        <v>0</v>
      </c>
      <c r="Z69" s="5123">
        <v>0</v>
      </c>
      <c r="AA69" s="5123">
        <v>9.4410000000000007</v>
      </c>
      <c r="AB69" s="5123">
        <v>0</v>
      </c>
      <c r="AC69" s="5123">
        <v>0</v>
      </c>
      <c r="AD69" s="5123">
        <v>0.40899999999999997</v>
      </c>
      <c r="AE69" s="5123">
        <v>0</v>
      </c>
      <c r="AF69" s="5123">
        <v>0</v>
      </c>
      <c r="AG69" s="5123">
        <v>0</v>
      </c>
      <c r="AH69" s="5123">
        <v>0</v>
      </c>
      <c r="AI69" s="5123">
        <v>0</v>
      </c>
      <c r="AJ69" s="5123">
        <v>0</v>
      </c>
      <c r="AK69" s="5123">
        <v>0</v>
      </c>
      <c r="AL69" s="5123">
        <v>0</v>
      </c>
      <c r="AM69" s="5123">
        <v>0</v>
      </c>
      <c r="AN69" s="5124">
        <f t="shared" si="2"/>
        <v>56.277999999999999</v>
      </c>
      <c r="AO69" s="5125">
        <v>56.277999999999999</v>
      </c>
      <c r="AP69" s="5126">
        <f t="shared" si="3"/>
        <v>0</v>
      </c>
    </row>
    <row r="70" spans="1:42">
      <c r="A70" s="5121">
        <v>260</v>
      </c>
      <c r="B70" s="5122">
        <v>20</v>
      </c>
      <c r="C70" s="5123">
        <v>15.127000000000001</v>
      </c>
      <c r="D70" s="5123">
        <v>0</v>
      </c>
      <c r="E70" s="5123">
        <v>6.0140000000000002</v>
      </c>
      <c r="F70" s="5123">
        <v>0</v>
      </c>
      <c r="G70" s="5123">
        <v>0</v>
      </c>
      <c r="H70" s="5123">
        <v>7.9459999999999997</v>
      </c>
      <c r="I70" s="5123">
        <v>0</v>
      </c>
      <c r="J70" s="5123">
        <v>0</v>
      </c>
      <c r="K70" s="5123">
        <v>0.192</v>
      </c>
      <c r="L70" s="5123">
        <v>0</v>
      </c>
      <c r="M70" s="5123">
        <v>0</v>
      </c>
      <c r="N70" s="5123">
        <v>0</v>
      </c>
      <c r="O70" s="5123">
        <v>0</v>
      </c>
      <c r="P70" s="5123">
        <v>5.6</v>
      </c>
      <c r="Q70" s="5123">
        <v>1.415</v>
      </c>
      <c r="R70" s="5123">
        <v>0</v>
      </c>
      <c r="S70" s="5123">
        <v>0</v>
      </c>
      <c r="T70" s="5123">
        <v>0</v>
      </c>
      <c r="U70" s="5122">
        <v>20</v>
      </c>
      <c r="V70" s="5123">
        <v>17.896999999999998</v>
      </c>
      <c r="W70" s="5123">
        <v>0</v>
      </c>
      <c r="X70" s="5123">
        <v>7.992</v>
      </c>
      <c r="Y70" s="5123">
        <v>0</v>
      </c>
      <c r="Z70" s="5123">
        <v>0</v>
      </c>
      <c r="AA70" s="5123">
        <v>7.9180000000000001</v>
      </c>
      <c r="AB70" s="5123">
        <v>0</v>
      </c>
      <c r="AC70" s="5123">
        <v>0</v>
      </c>
      <c r="AD70" s="5123">
        <v>1.359</v>
      </c>
      <c r="AE70" s="5123">
        <v>0</v>
      </c>
      <c r="AF70" s="5123">
        <v>0</v>
      </c>
      <c r="AG70" s="5123">
        <v>0</v>
      </c>
      <c r="AH70" s="5123">
        <v>0</v>
      </c>
      <c r="AI70" s="5123">
        <v>5.5810000000000004</v>
      </c>
      <c r="AJ70" s="5123">
        <v>1.409</v>
      </c>
      <c r="AK70" s="5123">
        <v>0</v>
      </c>
      <c r="AL70" s="5123">
        <v>0</v>
      </c>
      <c r="AM70" s="5123">
        <v>0</v>
      </c>
      <c r="AN70" s="5124">
        <f t="shared" si="2"/>
        <v>62.155999999999999</v>
      </c>
      <c r="AO70" s="5125">
        <v>62.155999999999999</v>
      </c>
      <c r="AP70" s="5126">
        <f t="shared" si="3"/>
        <v>0</v>
      </c>
    </row>
    <row r="71" spans="1:42">
      <c r="A71" s="5121">
        <v>261</v>
      </c>
      <c r="B71" s="5122">
        <v>20</v>
      </c>
      <c r="C71" s="5123">
        <v>11.496</v>
      </c>
      <c r="D71" s="5123">
        <v>0</v>
      </c>
      <c r="E71" s="5123">
        <v>7.9630000000000001</v>
      </c>
      <c r="F71" s="5123">
        <v>0</v>
      </c>
      <c r="G71" s="5123">
        <v>0</v>
      </c>
      <c r="H71" s="5123">
        <v>16.635000000000002</v>
      </c>
      <c r="I71" s="5123">
        <v>0</v>
      </c>
      <c r="J71" s="5123">
        <v>0</v>
      </c>
      <c r="K71" s="5123">
        <v>0</v>
      </c>
      <c r="L71" s="5123">
        <v>0</v>
      </c>
      <c r="M71" s="5123">
        <v>0</v>
      </c>
      <c r="N71" s="5123">
        <v>0</v>
      </c>
      <c r="O71" s="5123">
        <v>0</v>
      </c>
      <c r="P71" s="5123">
        <v>0</v>
      </c>
      <c r="Q71" s="5123">
        <v>0</v>
      </c>
      <c r="R71" s="5123">
        <v>0</v>
      </c>
      <c r="S71" s="5123">
        <v>0</v>
      </c>
      <c r="T71" s="5123">
        <v>0</v>
      </c>
      <c r="U71" s="5122">
        <v>20</v>
      </c>
      <c r="V71" s="5123">
        <v>15.451000000000001</v>
      </c>
      <c r="W71" s="5123">
        <v>0</v>
      </c>
      <c r="X71" s="5123">
        <v>5.2480000000000002</v>
      </c>
      <c r="Y71" s="5123">
        <v>0</v>
      </c>
      <c r="Z71" s="5123">
        <v>0</v>
      </c>
      <c r="AA71" s="5123">
        <v>15.374000000000001</v>
      </c>
      <c r="AB71" s="5123">
        <v>0</v>
      </c>
      <c r="AC71" s="5123">
        <v>0</v>
      </c>
      <c r="AD71" s="5123">
        <v>0</v>
      </c>
      <c r="AE71" s="5123">
        <v>0</v>
      </c>
      <c r="AF71" s="5123">
        <v>0</v>
      </c>
      <c r="AG71" s="5123">
        <v>0</v>
      </c>
      <c r="AH71" s="5123">
        <v>0</v>
      </c>
      <c r="AI71" s="5123">
        <v>0</v>
      </c>
      <c r="AJ71" s="5123">
        <v>0</v>
      </c>
      <c r="AK71" s="5123">
        <v>0</v>
      </c>
      <c r="AL71" s="5123">
        <v>0</v>
      </c>
      <c r="AM71" s="5123">
        <v>0</v>
      </c>
      <c r="AN71" s="5124">
        <f t="shared" si="2"/>
        <v>56.073</v>
      </c>
      <c r="AO71" s="5125">
        <v>56.073</v>
      </c>
      <c r="AP71" s="5126">
        <f t="shared" si="3"/>
        <v>0</v>
      </c>
    </row>
    <row r="72" spans="1:42">
      <c r="A72" s="5121">
        <v>262</v>
      </c>
      <c r="B72" s="5122">
        <v>20</v>
      </c>
      <c r="C72" s="5123">
        <v>12.63</v>
      </c>
      <c r="D72" s="5123">
        <v>0</v>
      </c>
      <c r="E72" s="5123">
        <v>6.4960000000000004</v>
      </c>
      <c r="F72" s="5123">
        <v>0</v>
      </c>
      <c r="G72" s="5123">
        <v>0</v>
      </c>
      <c r="H72" s="5123">
        <v>20.768000000000001</v>
      </c>
      <c r="I72" s="5123">
        <v>0</v>
      </c>
      <c r="J72" s="5123">
        <v>0</v>
      </c>
      <c r="K72" s="5123">
        <v>0</v>
      </c>
      <c r="L72" s="5123">
        <v>0</v>
      </c>
      <c r="M72" s="5123">
        <v>0</v>
      </c>
      <c r="N72" s="5123">
        <v>0</v>
      </c>
      <c r="O72" s="5123">
        <v>0</v>
      </c>
      <c r="P72" s="5123">
        <v>3.9870000000000001</v>
      </c>
      <c r="Q72" s="5123">
        <v>0.59899999999999998</v>
      </c>
      <c r="R72" s="5123">
        <v>0</v>
      </c>
      <c r="S72" s="5123">
        <v>0</v>
      </c>
      <c r="T72" s="5123">
        <v>0</v>
      </c>
      <c r="U72" s="5122">
        <v>20</v>
      </c>
      <c r="V72" s="5123">
        <v>15.093</v>
      </c>
      <c r="W72" s="5123">
        <v>0</v>
      </c>
      <c r="X72" s="5123">
        <v>6.4960000000000004</v>
      </c>
      <c r="Y72" s="5123">
        <v>0</v>
      </c>
      <c r="Z72" s="5123">
        <v>0</v>
      </c>
      <c r="AA72" s="5123">
        <v>20.692</v>
      </c>
      <c r="AB72" s="5123">
        <v>0</v>
      </c>
      <c r="AC72" s="5123">
        <v>0</v>
      </c>
      <c r="AD72" s="5123">
        <v>0</v>
      </c>
      <c r="AE72" s="5123">
        <v>0</v>
      </c>
      <c r="AF72" s="5123">
        <v>0</v>
      </c>
      <c r="AG72" s="5123">
        <v>0</v>
      </c>
      <c r="AH72" s="5123">
        <v>0</v>
      </c>
      <c r="AI72" s="5123">
        <v>3.9980000000000002</v>
      </c>
      <c r="AJ72" s="5123">
        <v>0.32</v>
      </c>
      <c r="AK72" s="5123">
        <v>0</v>
      </c>
      <c r="AL72" s="5123">
        <v>0</v>
      </c>
      <c r="AM72" s="5123">
        <v>0</v>
      </c>
      <c r="AN72" s="5124">
        <f t="shared" si="2"/>
        <v>66.599000000000004</v>
      </c>
      <c r="AO72" s="5125">
        <v>66.599000000000004</v>
      </c>
      <c r="AP72" s="5126">
        <f t="shared" si="3"/>
        <v>0</v>
      </c>
    </row>
    <row r="73" spans="1:42">
      <c r="A73" s="5121">
        <v>263</v>
      </c>
      <c r="B73" s="5122">
        <v>20</v>
      </c>
      <c r="C73" s="5123">
        <v>16.779</v>
      </c>
      <c r="D73" s="5123">
        <v>0</v>
      </c>
      <c r="E73" s="5123">
        <v>6.0149999999999997</v>
      </c>
      <c r="F73" s="5123">
        <v>0</v>
      </c>
      <c r="G73" s="5123">
        <v>0</v>
      </c>
      <c r="H73" s="5123">
        <v>12.760999999999999</v>
      </c>
      <c r="I73" s="5123">
        <v>0</v>
      </c>
      <c r="J73" s="5123">
        <v>0</v>
      </c>
      <c r="K73" s="5123">
        <v>0</v>
      </c>
      <c r="L73" s="5123">
        <v>0</v>
      </c>
      <c r="M73" s="5123">
        <v>0.1</v>
      </c>
      <c r="N73" s="5123">
        <v>0</v>
      </c>
      <c r="O73" s="5123">
        <v>0</v>
      </c>
      <c r="P73" s="5123">
        <v>5.25</v>
      </c>
      <c r="Q73" s="5123">
        <v>0</v>
      </c>
      <c r="R73" s="5123">
        <v>0</v>
      </c>
      <c r="S73" s="5123">
        <v>0</v>
      </c>
      <c r="T73" s="5123">
        <v>0</v>
      </c>
      <c r="U73" s="5122">
        <v>20</v>
      </c>
      <c r="V73" s="5123">
        <v>18.481999999999999</v>
      </c>
      <c r="W73" s="5123">
        <v>0</v>
      </c>
      <c r="X73" s="5123">
        <v>7.9980000000000002</v>
      </c>
      <c r="Y73" s="5123">
        <v>0</v>
      </c>
      <c r="Z73" s="5123">
        <v>0</v>
      </c>
      <c r="AA73" s="5123">
        <v>11.451000000000001</v>
      </c>
      <c r="AB73" s="5123">
        <v>0</v>
      </c>
      <c r="AC73" s="5123">
        <v>0</v>
      </c>
      <c r="AD73" s="5123">
        <v>0</v>
      </c>
      <c r="AE73" s="5123">
        <v>0</v>
      </c>
      <c r="AF73" s="5123">
        <v>0.56399999999999995</v>
      </c>
      <c r="AG73" s="5123">
        <v>0</v>
      </c>
      <c r="AH73" s="5123">
        <v>0</v>
      </c>
      <c r="AI73" s="5123">
        <v>5.2489999999999997</v>
      </c>
      <c r="AJ73" s="5123">
        <v>0.56200000000000006</v>
      </c>
      <c r="AK73" s="5123">
        <v>0</v>
      </c>
      <c r="AL73" s="5123">
        <v>0</v>
      </c>
      <c r="AM73" s="5123">
        <v>0</v>
      </c>
      <c r="AN73" s="5124">
        <f t="shared" si="2"/>
        <v>64.305999999999997</v>
      </c>
      <c r="AO73" s="5125">
        <v>64.305999999999997</v>
      </c>
      <c r="AP73" s="5126">
        <f t="shared" si="3"/>
        <v>0</v>
      </c>
    </row>
    <row r="74" spans="1:42">
      <c r="A74" s="5121">
        <v>264</v>
      </c>
      <c r="B74" s="5122">
        <v>20</v>
      </c>
      <c r="C74" s="5123">
        <v>14.004</v>
      </c>
      <c r="D74" s="5123">
        <v>0</v>
      </c>
      <c r="E74" s="5123">
        <v>8</v>
      </c>
      <c r="F74" s="5123">
        <v>0</v>
      </c>
      <c r="G74" s="5123">
        <v>0</v>
      </c>
      <c r="H74" s="5123">
        <v>15.265000000000001</v>
      </c>
      <c r="I74" s="5123">
        <v>0</v>
      </c>
      <c r="J74" s="5123">
        <v>0</v>
      </c>
      <c r="K74" s="5123">
        <v>0</v>
      </c>
      <c r="L74" s="5123">
        <v>0</v>
      </c>
      <c r="M74" s="5123">
        <v>0</v>
      </c>
      <c r="N74" s="5123">
        <v>0</v>
      </c>
      <c r="O74" s="5123">
        <v>0</v>
      </c>
      <c r="P74" s="5123">
        <v>3</v>
      </c>
      <c r="Q74" s="5123">
        <v>0</v>
      </c>
      <c r="R74" s="5123">
        <v>0</v>
      </c>
      <c r="S74" s="5123">
        <v>0</v>
      </c>
      <c r="T74" s="5123">
        <v>0</v>
      </c>
      <c r="U74" s="5122">
        <v>20</v>
      </c>
      <c r="V74" s="5123">
        <v>18.082999999999998</v>
      </c>
      <c r="W74" s="5123">
        <v>0</v>
      </c>
      <c r="X74" s="5123">
        <v>8</v>
      </c>
      <c r="Y74" s="5123">
        <v>0</v>
      </c>
      <c r="Z74" s="5123">
        <v>0</v>
      </c>
      <c r="AA74" s="5123">
        <v>12.103999999999999</v>
      </c>
      <c r="AB74" s="5123">
        <v>0</v>
      </c>
      <c r="AC74" s="5123">
        <v>0</v>
      </c>
      <c r="AD74" s="5123">
        <v>0</v>
      </c>
      <c r="AE74" s="5123">
        <v>0</v>
      </c>
      <c r="AF74" s="5123">
        <v>0</v>
      </c>
      <c r="AG74" s="5123">
        <v>0</v>
      </c>
      <c r="AH74" s="5123">
        <v>0</v>
      </c>
      <c r="AI74" s="5123">
        <v>3</v>
      </c>
      <c r="AJ74" s="5123">
        <v>0</v>
      </c>
      <c r="AK74" s="5123">
        <v>0</v>
      </c>
      <c r="AL74" s="5123">
        <v>0</v>
      </c>
      <c r="AM74" s="5123">
        <v>0</v>
      </c>
      <c r="AN74" s="5124">
        <f t="shared" si="2"/>
        <v>61.186999999999998</v>
      </c>
      <c r="AO74" s="5125">
        <v>61.186999999999998</v>
      </c>
      <c r="AP74" s="5126">
        <f t="shared" si="3"/>
        <v>0</v>
      </c>
    </row>
    <row r="75" spans="1:42">
      <c r="A75" s="5121">
        <v>265</v>
      </c>
      <c r="B75" s="5122">
        <v>20</v>
      </c>
      <c r="C75" s="5123">
        <v>13.159000000000001</v>
      </c>
      <c r="D75" s="5123">
        <v>0</v>
      </c>
      <c r="E75" s="5123">
        <v>8</v>
      </c>
      <c r="F75" s="5123">
        <v>0</v>
      </c>
      <c r="G75" s="5123">
        <v>0</v>
      </c>
      <c r="H75" s="5123">
        <v>24.803999999999998</v>
      </c>
      <c r="I75" s="5123">
        <v>0</v>
      </c>
      <c r="J75" s="5123">
        <v>0</v>
      </c>
      <c r="K75" s="5123">
        <v>0.55600000000000005</v>
      </c>
      <c r="L75" s="5123">
        <v>0</v>
      </c>
      <c r="M75" s="5123">
        <v>0</v>
      </c>
      <c r="N75" s="5123">
        <v>0</v>
      </c>
      <c r="O75" s="5123">
        <v>0</v>
      </c>
      <c r="P75" s="5123">
        <v>0</v>
      </c>
      <c r="Q75" s="5123">
        <v>0</v>
      </c>
      <c r="R75" s="5123">
        <v>0</v>
      </c>
      <c r="S75" s="5123">
        <v>0</v>
      </c>
      <c r="T75" s="5123">
        <v>0</v>
      </c>
      <c r="U75" s="5122">
        <v>20</v>
      </c>
      <c r="V75" s="5123">
        <v>15.423</v>
      </c>
      <c r="W75" s="5123">
        <v>0</v>
      </c>
      <c r="X75" s="5123">
        <v>8</v>
      </c>
      <c r="Y75" s="5123">
        <v>0</v>
      </c>
      <c r="Z75" s="5123">
        <v>0</v>
      </c>
      <c r="AA75" s="5123">
        <v>21.131</v>
      </c>
      <c r="AB75" s="5123">
        <v>0</v>
      </c>
      <c r="AC75" s="5123">
        <v>0</v>
      </c>
      <c r="AD75" s="5123">
        <v>0.45100000000000001</v>
      </c>
      <c r="AE75" s="5123">
        <v>0</v>
      </c>
      <c r="AF75" s="5123">
        <v>0</v>
      </c>
      <c r="AG75" s="5123">
        <v>0</v>
      </c>
      <c r="AH75" s="5123">
        <v>0</v>
      </c>
      <c r="AI75" s="5123">
        <v>0</v>
      </c>
      <c r="AJ75" s="5123">
        <v>0</v>
      </c>
      <c r="AK75" s="5123">
        <v>0</v>
      </c>
      <c r="AL75" s="5123">
        <v>0</v>
      </c>
      <c r="AM75" s="5123">
        <v>0</v>
      </c>
      <c r="AN75" s="5124">
        <f t="shared" si="2"/>
        <v>65.004999999999995</v>
      </c>
      <c r="AO75" s="5125">
        <v>65.004999999999995</v>
      </c>
      <c r="AP75" s="5126">
        <f t="shared" si="3"/>
        <v>0</v>
      </c>
    </row>
    <row r="76" spans="1:42">
      <c r="A76" s="5121">
        <v>266</v>
      </c>
      <c r="B76" s="5122">
        <v>20</v>
      </c>
      <c r="C76" s="5123">
        <v>12.225</v>
      </c>
      <c r="D76" s="5123">
        <v>0</v>
      </c>
      <c r="E76" s="5123">
        <v>8</v>
      </c>
      <c r="F76" s="5123">
        <v>0</v>
      </c>
      <c r="G76" s="5123">
        <v>0</v>
      </c>
      <c r="H76" s="5123">
        <v>0</v>
      </c>
      <c r="I76" s="5123">
        <v>19.739999999999998</v>
      </c>
      <c r="J76" s="5123">
        <v>0</v>
      </c>
      <c r="K76" s="5123">
        <v>0</v>
      </c>
      <c r="L76" s="5123">
        <v>0</v>
      </c>
      <c r="M76" s="5123">
        <v>0</v>
      </c>
      <c r="N76" s="5123">
        <v>0</v>
      </c>
      <c r="O76" s="5123">
        <v>0</v>
      </c>
      <c r="P76" s="5123">
        <v>1</v>
      </c>
      <c r="Q76" s="5123">
        <v>0</v>
      </c>
      <c r="R76" s="5123">
        <v>0</v>
      </c>
      <c r="S76" s="5123">
        <v>0</v>
      </c>
      <c r="T76" s="5123">
        <v>0</v>
      </c>
      <c r="U76" s="5122">
        <v>20</v>
      </c>
      <c r="V76" s="5123">
        <v>14.081</v>
      </c>
      <c r="W76" s="5123">
        <v>0</v>
      </c>
      <c r="X76" s="5123">
        <v>8</v>
      </c>
      <c r="Y76" s="5123">
        <v>0</v>
      </c>
      <c r="Z76" s="5123">
        <v>0</v>
      </c>
      <c r="AA76" s="5123">
        <v>0</v>
      </c>
      <c r="AB76" s="5123">
        <v>19.745000000000001</v>
      </c>
      <c r="AC76" s="5123">
        <v>0</v>
      </c>
      <c r="AD76" s="5123">
        <v>0</v>
      </c>
      <c r="AE76" s="5123">
        <v>0</v>
      </c>
      <c r="AF76" s="5123">
        <v>0</v>
      </c>
      <c r="AG76" s="5123">
        <v>0</v>
      </c>
      <c r="AH76" s="5123">
        <v>0</v>
      </c>
      <c r="AI76" s="5123">
        <v>1</v>
      </c>
      <c r="AJ76" s="5123">
        <v>0</v>
      </c>
      <c r="AK76" s="5123">
        <v>0</v>
      </c>
      <c r="AL76" s="5123">
        <v>0</v>
      </c>
      <c r="AM76" s="5123">
        <v>0</v>
      </c>
      <c r="AN76" s="5124">
        <f t="shared" si="2"/>
        <v>62.826000000000001</v>
      </c>
      <c r="AO76" s="5125">
        <v>62.826000000000001</v>
      </c>
      <c r="AP76" s="5126">
        <f t="shared" si="3"/>
        <v>0</v>
      </c>
    </row>
    <row r="77" spans="1:42">
      <c r="A77" s="5121">
        <v>267</v>
      </c>
      <c r="B77" s="5122">
        <v>20</v>
      </c>
      <c r="C77" s="5123">
        <v>13.489000000000001</v>
      </c>
      <c r="D77" s="5123">
        <v>0</v>
      </c>
      <c r="E77" s="5123">
        <v>7.9980000000000002</v>
      </c>
      <c r="F77" s="5123">
        <v>0</v>
      </c>
      <c r="G77" s="5123">
        <v>0</v>
      </c>
      <c r="H77" s="5123">
        <v>20.437999999999999</v>
      </c>
      <c r="I77" s="5123">
        <v>0</v>
      </c>
      <c r="J77" s="5123">
        <v>0</v>
      </c>
      <c r="K77" s="5123">
        <v>0</v>
      </c>
      <c r="L77" s="5123">
        <v>0</v>
      </c>
      <c r="M77" s="5123">
        <v>0</v>
      </c>
      <c r="N77" s="5123">
        <v>0</v>
      </c>
      <c r="O77" s="5123">
        <v>0</v>
      </c>
      <c r="P77" s="5123">
        <v>0</v>
      </c>
      <c r="Q77" s="5123">
        <v>0</v>
      </c>
      <c r="R77" s="5123">
        <v>0</v>
      </c>
      <c r="S77" s="5123">
        <v>0</v>
      </c>
      <c r="T77" s="5123">
        <v>0</v>
      </c>
      <c r="U77" s="5122">
        <v>20</v>
      </c>
      <c r="V77" s="5123">
        <v>17.058</v>
      </c>
      <c r="W77" s="5123">
        <v>0</v>
      </c>
      <c r="X77" s="5123">
        <v>7.9939999999999998</v>
      </c>
      <c r="Y77" s="5123">
        <v>0</v>
      </c>
      <c r="Z77" s="5123">
        <v>0</v>
      </c>
      <c r="AA77" s="5123">
        <v>14.378</v>
      </c>
      <c r="AB77" s="5123">
        <v>0</v>
      </c>
      <c r="AC77" s="5123">
        <v>0</v>
      </c>
      <c r="AD77" s="5123">
        <v>0</v>
      </c>
      <c r="AE77" s="5123">
        <v>0</v>
      </c>
      <c r="AF77" s="5123">
        <v>0</v>
      </c>
      <c r="AG77" s="5123">
        <v>0</v>
      </c>
      <c r="AH77" s="5123">
        <v>0</v>
      </c>
      <c r="AI77" s="5123">
        <v>0</v>
      </c>
      <c r="AJ77" s="5123">
        <v>0</v>
      </c>
      <c r="AK77" s="5123">
        <v>0</v>
      </c>
      <c r="AL77" s="5123">
        <v>0</v>
      </c>
      <c r="AM77" s="5123">
        <v>0</v>
      </c>
      <c r="AN77" s="5124">
        <f t="shared" si="2"/>
        <v>59.43</v>
      </c>
      <c r="AO77" s="5125">
        <v>59.43</v>
      </c>
      <c r="AP77" s="5126">
        <f t="shared" si="3"/>
        <v>0</v>
      </c>
    </row>
    <row r="78" spans="1:42">
      <c r="A78" s="5121">
        <v>268</v>
      </c>
      <c r="B78" s="5122">
        <v>20</v>
      </c>
      <c r="C78" s="5123">
        <v>14.784000000000001</v>
      </c>
      <c r="D78" s="5123">
        <v>0</v>
      </c>
      <c r="E78" s="5123">
        <v>8</v>
      </c>
      <c r="F78" s="5123">
        <v>0</v>
      </c>
      <c r="G78" s="5123">
        <v>0</v>
      </c>
      <c r="H78" s="5123">
        <v>15.25</v>
      </c>
      <c r="I78" s="5123">
        <v>0</v>
      </c>
      <c r="J78" s="5123">
        <v>0</v>
      </c>
      <c r="K78" s="5123">
        <v>0</v>
      </c>
      <c r="L78" s="5123">
        <v>0</v>
      </c>
      <c r="M78" s="5123">
        <v>0</v>
      </c>
      <c r="N78" s="5123">
        <v>0</v>
      </c>
      <c r="O78" s="5123">
        <v>0</v>
      </c>
      <c r="P78" s="5123">
        <v>3</v>
      </c>
      <c r="Q78" s="5123">
        <v>0.75</v>
      </c>
      <c r="R78" s="5123">
        <v>0</v>
      </c>
      <c r="S78" s="5123">
        <v>0</v>
      </c>
      <c r="T78" s="5123">
        <v>0</v>
      </c>
      <c r="U78" s="5122">
        <v>20</v>
      </c>
      <c r="V78" s="5123">
        <v>18.131</v>
      </c>
      <c r="W78" s="5123">
        <v>0</v>
      </c>
      <c r="X78" s="5123">
        <v>8</v>
      </c>
      <c r="Y78" s="5123">
        <v>0</v>
      </c>
      <c r="Z78" s="5123">
        <v>0</v>
      </c>
      <c r="AA78" s="5123">
        <v>12.641</v>
      </c>
      <c r="AB78" s="5123">
        <v>0</v>
      </c>
      <c r="AC78" s="5123">
        <v>0</v>
      </c>
      <c r="AD78" s="5123">
        <v>0</v>
      </c>
      <c r="AE78" s="5123">
        <v>0</v>
      </c>
      <c r="AF78" s="5123">
        <v>0</v>
      </c>
      <c r="AG78" s="5123">
        <v>0</v>
      </c>
      <c r="AH78" s="5123">
        <v>0</v>
      </c>
      <c r="AI78" s="5123">
        <v>3</v>
      </c>
      <c r="AJ78" s="5123">
        <v>0.76900000000000002</v>
      </c>
      <c r="AK78" s="5123">
        <v>0</v>
      </c>
      <c r="AL78" s="5123">
        <v>0</v>
      </c>
      <c r="AM78" s="5123">
        <v>0</v>
      </c>
      <c r="AN78" s="5124">
        <f t="shared" si="2"/>
        <v>62.540999999999997</v>
      </c>
      <c r="AO78" s="5125">
        <v>62.540999999999997</v>
      </c>
      <c r="AP78" s="5126">
        <f t="shared" si="3"/>
        <v>0</v>
      </c>
    </row>
    <row r="79" spans="1:42">
      <c r="A79" s="5121">
        <v>269</v>
      </c>
      <c r="B79" s="5122">
        <v>20</v>
      </c>
      <c r="C79" s="5123">
        <v>11.491</v>
      </c>
      <c r="D79" s="5123">
        <v>0</v>
      </c>
      <c r="E79" s="5123">
        <v>8</v>
      </c>
      <c r="F79" s="5123">
        <v>0</v>
      </c>
      <c r="G79" s="5123">
        <v>0</v>
      </c>
      <c r="H79" s="5123">
        <v>0</v>
      </c>
      <c r="I79" s="5123">
        <v>0</v>
      </c>
      <c r="J79" s="5123">
        <v>0</v>
      </c>
      <c r="K79" s="5123">
        <v>0</v>
      </c>
      <c r="L79" s="5123">
        <v>0</v>
      </c>
      <c r="M79" s="5123">
        <v>0</v>
      </c>
      <c r="N79" s="5123">
        <v>0</v>
      </c>
      <c r="O79" s="5123">
        <v>0</v>
      </c>
      <c r="P79" s="5123">
        <v>1</v>
      </c>
      <c r="Q79" s="5123">
        <v>0</v>
      </c>
      <c r="R79" s="5123">
        <v>0</v>
      </c>
      <c r="S79" s="5123">
        <v>0</v>
      </c>
      <c r="T79" s="5123">
        <v>0</v>
      </c>
      <c r="U79" s="5122">
        <v>20</v>
      </c>
      <c r="V79" s="5123">
        <v>15.585000000000001</v>
      </c>
      <c r="W79" s="5123">
        <v>0</v>
      </c>
      <c r="X79" s="5123">
        <v>8</v>
      </c>
      <c r="Y79" s="5123">
        <v>0</v>
      </c>
      <c r="Z79" s="5123">
        <v>0</v>
      </c>
      <c r="AA79" s="5123">
        <v>0</v>
      </c>
      <c r="AB79" s="5123">
        <v>0</v>
      </c>
      <c r="AC79" s="5123">
        <v>0</v>
      </c>
      <c r="AD79" s="5123">
        <v>0</v>
      </c>
      <c r="AE79" s="5123">
        <v>0</v>
      </c>
      <c r="AF79" s="5123">
        <v>0</v>
      </c>
      <c r="AG79" s="5123">
        <v>0</v>
      </c>
      <c r="AH79" s="5123">
        <v>0</v>
      </c>
      <c r="AI79" s="5123">
        <v>1</v>
      </c>
      <c r="AJ79" s="5123">
        <v>0</v>
      </c>
      <c r="AK79" s="5123">
        <v>0</v>
      </c>
      <c r="AL79" s="5123">
        <v>0</v>
      </c>
      <c r="AM79" s="5123">
        <v>0</v>
      </c>
      <c r="AN79" s="5124">
        <f t="shared" si="2"/>
        <v>44.585000000000001</v>
      </c>
      <c r="AO79" s="5125">
        <v>44.585000000000001</v>
      </c>
      <c r="AP79" s="5126">
        <f t="shared" si="3"/>
        <v>0</v>
      </c>
    </row>
    <row r="80" spans="1:42">
      <c r="A80" s="5121">
        <v>270</v>
      </c>
      <c r="B80" s="5122">
        <v>20</v>
      </c>
      <c r="C80" s="5123">
        <v>14.792999999999999</v>
      </c>
      <c r="D80" s="5123">
        <v>0</v>
      </c>
      <c r="E80" s="5123">
        <v>8</v>
      </c>
      <c r="F80" s="5123">
        <v>0</v>
      </c>
      <c r="G80" s="5123">
        <v>0</v>
      </c>
      <c r="H80" s="5123">
        <v>4.2839999999999998</v>
      </c>
      <c r="I80" s="5123">
        <v>0</v>
      </c>
      <c r="J80" s="5123">
        <v>0</v>
      </c>
      <c r="K80" s="5123">
        <v>0</v>
      </c>
      <c r="L80" s="5123">
        <v>0</v>
      </c>
      <c r="M80" s="5123">
        <v>0</v>
      </c>
      <c r="N80" s="5123">
        <v>0</v>
      </c>
      <c r="O80" s="5123">
        <v>0</v>
      </c>
      <c r="P80" s="5123">
        <v>2.06</v>
      </c>
      <c r="Q80" s="5123">
        <v>0</v>
      </c>
      <c r="R80" s="5123">
        <v>0</v>
      </c>
      <c r="S80" s="5123">
        <v>0</v>
      </c>
      <c r="T80" s="5123">
        <v>0</v>
      </c>
      <c r="U80" s="5122">
        <v>20</v>
      </c>
      <c r="V80" s="5123">
        <v>9.6880000000000006</v>
      </c>
      <c r="W80" s="5123">
        <v>0</v>
      </c>
      <c r="X80" s="5123">
        <v>8</v>
      </c>
      <c r="Y80" s="5123">
        <v>0</v>
      </c>
      <c r="Z80" s="5123">
        <v>0</v>
      </c>
      <c r="AA80" s="5123">
        <v>7.056</v>
      </c>
      <c r="AB80" s="5123">
        <v>0</v>
      </c>
      <c r="AC80" s="5123">
        <v>0</v>
      </c>
      <c r="AD80" s="5123">
        <v>0</v>
      </c>
      <c r="AE80" s="5123">
        <v>0</v>
      </c>
      <c r="AF80" s="5123">
        <v>0</v>
      </c>
      <c r="AG80" s="5123">
        <v>0</v>
      </c>
      <c r="AH80" s="5123">
        <v>0</v>
      </c>
      <c r="AI80" s="5123">
        <v>2.96</v>
      </c>
      <c r="AJ80" s="5123">
        <v>0</v>
      </c>
      <c r="AK80" s="5123">
        <v>0</v>
      </c>
      <c r="AL80" s="5123">
        <v>0</v>
      </c>
      <c r="AM80" s="5123">
        <v>0</v>
      </c>
      <c r="AN80" s="5124">
        <f t="shared" si="2"/>
        <v>47.704000000000001</v>
      </c>
      <c r="AO80" s="5125">
        <v>47.704000000000001</v>
      </c>
      <c r="AP80" s="5126">
        <f t="shared" si="3"/>
        <v>0</v>
      </c>
    </row>
    <row r="81" spans="1:42">
      <c r="A81" s="5121">
        <v>271</v>
      </c>
      <c r="B81" s="5122">
        <v>20</v>
      </c>
      <c r="C81" s="5123">
        <v>21.888999999999999</v>
      </c>
      <c r="D81" s="5123">
        <v>0</v>
      </c>
      <c r="E81" s="5123">
        <v>8</v>
      </c>
      <c r="F81" s="5123">
        <v>0</v>
      </c>
      <c r="G81" s="5123">
        <v>0</v>
      </c>
      <c r="H81" s="5123">
        <v>7.7270000000000003</v>
      </c>
      <c r="I81" s="5123">
        <v>0</v>
      </c>
      <c r="J81" s="5123">
        <v>0</v>
      </c>
      <c r="K81" s="5123">
        <v>0</v>
      </c>
      <c r="L81" s="5123">
        <v>0</v>
      </c>
      <c r="M81" s="5123">
        <v>0</v>
      </c>
      <c r="N81" s="5123">
        <v>0</v>
      </c>
      <c r="O81" s="5123">
        <v>0</v>
      </c>
      <c r="P81" s="5123">
        <v>2.5</v>
      </c>
      <c r="Q81" s="5123">
        <v>0.23300000000000001</v>
      </c>
      <c r="R81" s="5123">
        <v>0</v>
      </c>
      <c r="S81" s="5123">
        <v>0</v>
      </c>
      <c r="T81" s="5123">
        <v>0</v>
      </c>
      <c r="U81" s="5122">
        <v>20</v>
      </c>
      <c r="V81" s="5123">
        <v>23.664000000000001</v>
      </c>
      <c r="W81" s="5123">
        <v>0</v>
      </c>
      <c r="X81" s="5123">
        <v>8</v>
      </c>
      <c r="Y81" s="5123">
        <v>0</v>
      </c>
      <c r="Z81" s="5123">
        <v>0</v>
      </c>
      <c r="AA81" s="5123">
        <v>8.0229999999999997</v>
      </c>
      <c r="AB81" s="5123">
        <v>0</v>
      </c>
      <c r="AC81" s="5123">
        <v>0</v>
      </c>
      <c r="AD81" s="5123">
        <v>0</v>
      </c>
      <c r="AE81" s="5123">
        <v>0</v>
      </c>
      <c r="AF81" s="5123">
        <v>0</v>
      </c>
      <c r="AG81" s="5123">
        <v>0</v>
      </c>
      <c r="AH81" s="5123">
        <v>0</v>
      </c>
      <c r="AI81" s="5123">
        <v>2.5</v>
      </c>
      <c r="AJ81" s="5123">
        <v>0.23400000000000001</v>
      </c>
      <c r="AK81" s="5123">
        <v>0</v>
      </c>
      <c r="AL81" s="5123">
        <v>0</v>
      </c>
      <c r="AM81" s="5123">
        <v>0</v>
      </c>
      <c r="AN81" s="5124">
        <f t="shared" si="2"/>
        <v>62.420999999999999</v>
      </c>
      <c r="AO81" s="5125">
        <v>62.420999999999999</v>
      </c>
      <c r="AP81" s="5126">
        <f t="shared" si="3"/>
        <v>0</v>
      </c>
    </row>
    <row r="82" spans="1:42">
      <c r="A82" s="5121">
        <v>272</v>
      </c>
      <c r="B82" s="5122">
        <v>20</v>
      </c>
      <c r="C82" s="5123">
        <v>18.593</v>
      </c>
      <c r="D82" s="5123">
        <v>0</v>
      </c>
      <c r="E82" s="5123">
        <v>7.9950000000000001</v>
      </c>
      <c r="F82" s="5123">
        <v>0</v>
      </c>
      <c r="G82" s="5123">
        <v>0</v>
      </c>
      <c r="H82" s="5123">
        <v>0</v>
      </c>
      <c r="I82" s="5123">
        <v>0</v>
      </c>
      <c r="J82" s="5123">
        <v>0</v>
      </c>
      <c r="K82" s="5123">
        <v>0</v>
      </c>
      <c r="L82" s="5123">
        <v>0</v>
      </c>
      <c r="M82" s="5123">
        <v>0</v>
      </c>
      <c r="N82" s="5123">
        <v>0</v>
      </c>
      <c r="O82" s="5123">
        <v>0</v>
      </c>
      <c r="P82" s="5123">
        <v>0</v>
      </c>
      <c r="Q82" s="5123">
        <v>0</v>
      </c>
      <c r="R82" s="5123">
        <v>0</v>
      </c>
      <c r="S82" s="5123">
        <v>0</v>
      </c>
      <c r="T82" s="5123">
        <v>0</v>
      </c>
      <c r="U82" s="5122">
        <v>20</v>
      </c>
      <c r="V82" s="5123">
        <v>20.024000000000001</v>
      </c>
      <c r="W82" s="5123">
        <v>0</v>
      </c>
      <c r="X82" s="5123">
        <v>7.4829999999999997</v>
      </c>
      <c r="Y82" s="5123">
        <v>0</v>
      </c>
      <c r="Z82" s="5123">
        <v>0</v>
      </c>
      <c r="AA82" s="5123">
        <v>0</v>
      </c>
      <c r="AB82" s="5123">
        <v>0</v>
      </c>
      <c r="AC82" s="5123">
        <v>0</v>
      </c>
      <c r="AD82" s="5123">
        <v>0</v>
      </c>
      <c r="AE82" s="5123">
        <v>0</v>
      </c>
      <c r="AF82" s="5123">
        <v>0</v>
      </c>
      <c r="AG82" s="5123">
        <v>0</v>
      </c>
      <c r="AH82" s="5123">
        <v>0</v>
      </c>
      <c r="AI82" s="5123">
        <v>0</v>
      </c>
      <c r="AJ82" s="5123">
        <v>0</v>
      </c>
      <c r="AK82" s="5123">
        <v>0</v>
      </c>
      <c r="AL82" s="5123">
        <v>0</v>
      </c>
      <c r="AM82" s="5123">
        <v>0</v>
      </c>
      <c r="AN82" s="5124">
        <f t="shared" si="2"/>
        <v>47.506999999999998</v>
      </c>
      <c r="AO82" s="5125">
        <v>47.506999999999998</v>
      </c>
      <c r="AP82" s="5126">
        <f t="shared" si="3"/>
        <v>0</v>
      </c>
    </row>
    <row r="83" spans="1:42">
      <c r="A83" s="5121">
        <v>273</v>
      </c>
      <c r="B83" s="5122">
        <v>20</v>
      </c>
      <c r="C83" s="5123">
        <v>17.273</v>
      </c>
      <c r="D83" s="5123">
        <v>0</v>
      </c>
      <c r="E83" s="5123">
        <v>7.9870000000000001</v>
      </c>
      <c r="F83" s="5123">
        <v>0</v>
      </c>
      <c r="G83" s="5123">
        <v>0</v>
      </c>
      <c r="H83" s="5123">
        <v>0</v>
      </c>
      <c r="I83" s="5123">
        <v>0</v>
      </c>
      <c r="J83" s="5123">
        <v>0</v>
      </c>
      <c r="K83" s="5123">
        <v>0</v>
      </c>
      <c r="L83" s="5123">
        <v>0</v>
      </c>
      <c r="M83" s="5123">
        <v>0</v>
      </c>
      <c r="N83" s="5123">
        <v>0</v>
      </c>
      <c r="O83" s="5123">
        <v>0</v>
      </c>
      <c r="P83" s="5123">
        <v>0</v>
      </c>
      <c r="Q83" s="5123">
        <v>0</v>
      </c>
      <c r="R83" s="5123">
        <v>0</v>
      </c>
      <c r="S83" s="5123">
        <v>0</v>
      </c>
      <c r="T83" s="5123">
        <v>0</v>
      </c>
      <c r="U83" s="5122">
        <v>20</v>
      </c>
      <c r="V83" s="5123">
        <v>19.803000000000001</v>
      </c>
      <c r="W83" s="5123">
        <v>0</v>
      </c>
      <c r="X83" s="5123">
        <v>8</v>
      </c>
      <c r="Y83" s="5123">
        <v>0</v>
      </c>
      <c r="Z83" s="5123">
        <v>0</v>
      </c>
      <c r="AA83" s="5123">
        <v>0</v>
      </c>
      <c r="AB83" s="5123">
        <v>0</v>
      </c>
      <c r="AC83" s="5123">
        <v>0</v>
      </c>
      <c r="AD83" s="5123">
        <v>0</v>
      </c>
      <c r="AE83" s="5123">
        <v>0</v>
      </c>
      <c r="AF83" s="5123">
        <v>0</v>
      </c>
      <c r="AG83" s="5123">
        <v>0</v>
      </c>
      <c r="AH83" s="5123">
        <v>0</v>
      </c>
      <c r="AI83" s="5123">
        <v>0</v>
      </c>
      <c r="AJ83" s="5123">
        <v>0</v>
      </c>
      <c r="AK83" s="5123">
        <v>0</v>
      </c>
      <c r="AL83" s="5123">
        <v>0</v>
      </c>
      <c r="AM83" s="5123">
        <v>0</v>
      </c>
      <c r="AN83" s="5124">
        <f t="shared" si="2"/>
        <v>47.802999999999997</v>
      </c>
      <c r="AO83" s="5125">
        <v>47.802999999999997</v>
      </c>
      <c r="AP83" s="5126">
        <f t="shared" si="3"/>
        <v>0</v>
      </c>
    </row>
    <row r="84" spans="1:42">
      <c r="A84" s="5121">
        <v>274</v>
      </c>
      <c r="B84" s="5122">
        <v>20</v>
      </c>
      <c r="C84" s="5123">
        <v>14.044</v>
      </c>
      <c r="D84" s="5123">
        <v>0</v>
      </c>
      <c r="E84" s="5123">
        <v>8</v>
      </c>
      <c r="F84" s="5123">
        <v>0</v>
      </c>
      <c r="G84" s="5123">
        <v>0</v>
      </c>
      <c r="H84" s="5123">
        <v>0</v>
      </c>
      <c r="I84" s="5123">
        <v>0</v>
      </c>
      <c r="J84" s="5123">
        <v>0</v>
      </c>
      <c r="K84" s="5123">
        <v>0</v>
      </c>
      <c r="L84" s="5123">
        <v>0</v>
      </c>
      <c r="M84" s="5123">
        <v>0</v>
      </c>
      <c r="N84" s="5123">
        <v>0</v>
      </c>
      <c r="O84" s="5123">
        <v>0</v>
      </c>
      <c r="P84" s="5123">
        <v>2</v>
      </c>
      <c r="Q84" s="5123">
        <v>0</v>
      </c>
      <c r="R84" s="5123">
        <v>0</v>
      </c>
      <c r="S84" s="5123">
        <v>0</v>
      </c>
      <c r="T84" s="5123">
        <v>0</v>
      </c>
      <c r="U84" s="5122">
        <v>20</v>
      </c>
      <c r="V84" s="5123">
        <v>17.741</v>
      </c>
      <c r="W84" s="5123">
        <v>0</v>
      </c>
      <c r="X84" s="5123">
        <v>8</v>
      </c>
      <c r="Y84" s="5123">
        <v>0</v>
      </c>
      <c r="Z84" s="5123">
        <v>0</v>
      </c>
      <c r="AA84" s="5123">
        <v>0</v>
      </c>
      <c r="AB84" s="5123">
        <v>0</v>
      </c>
      <c r="AC84" s="5123">
        <v>0</v>
      </c>
      <c r="AD84" s="5123">
        <v>0</v>
      </c>
      <c r="AE84" s="5123">
        <v>0</v>
      </c>
      <c r="AF84" s="5123">
        <v>0</v>
      </c>
      <c r="AG84" s="5123">
        <v>0</v>
      </c>
      <c r="AH84" s="5123">
        <v>0</v>
      </c>
      <c r="AI84" s="5123">
        <v>1.8959999999999999</v>
      </c>
      <c r="AJ84" s="5123">
        <v>0</v>
      </c>
      <c r="AK84" s="5123">
        <v>0</v>
      </c>
      <c r="AL84" s="5123">
        <v>0</v>
      </c>
      <c r="AM84" s="5123">
        <v>0</v>
      </c>
      <c r="AN84" s="5124">
        <f t="shared" si="2"/>
        <v>47.637</v>
      </c>
      <c r="AO84" s="5125">
        <v>47.637</v>
      </c>
      <c r="AP84" s="5126">
        <f t="shared" si="3"/>
        <v>0</v>
      </c>
    </row>
    <row r="85" spans="1:42">
      <c r="A85" s="5121">
        <v>275</v>
      </c>
      <c r="B85" s="5122">
        <v>20</v>
      </c>
      <c r="C85" s="5123">
        <v>12.824</v>
      </c>
      <c r="D85" s="5123">
        <v>0</v>
      </c>
      <c r="E85" s="5123">
        <v>8</v>
      </c>
      <c r="F85" s="5123">
        <v>0</v>
      </c>
      <c r="G85" s="5123">
        <v>0</v>
      </c>
      <c r="H85" s="5123">
        <v>0</v>
      </c>
      <c r="I85" s="5123">
        <v>0</v>
      </c>
      <c r="J85" s="5123">
        <v>0</v>
      </c>
      <c r="K85" s="5123">
        <v>0</v>
      </c>
      <c r="L85" s="5123">
        <v>0</v>
      </c>
      <c r="M85" s="5123">
        <v>0</v>
      </c>
      <c r="N85" s="5123">
        <v>0</v>
      </c>
      <c r="O85" s="5123">
        <v>0</v>
      </c>
      <c r="P85" s="5123">
        <v>0</v>
      </c>
      <c r="Q85" s="5123">
        <v>0</v>
      </c>
      <c r="R85" s="5123">
        <v>0</v>
      </c>
      <c r="S85" s="5123">
        <v>0</v>
      </c>
      <c r="T85" s="5123">
        <v>0</v>
      </c>
      <c r="U85" s="5122">
        <v>20</v>
      </c>
      <c r="V85" s="5123">
        <v>10.904999999999999</v>
      </c>
      <c r="W85" s="5123">
        <v>0</v>
      </c>
      <c r="X85" s="5123">
        <v>7.9909999999999997</v>
      </c>
      <c r="Y85" s="5123">
        <v>0</v>
      </c>
      <c r="Z85" s="5123">
        <v>0</v>
      </c>
      <c r="AA85" s="5123">
        <v>0</v>
      </c>
      <c r="AB85" s="5123">
        <v>0</v>
      </c>
      <c r="AC85" s="5123">
        <v>0</v>
      </c>
      <c r="AD85" s="5123">
        <v>0</v>
      </c>
      <c r="AE85" s="5123">
        <v>0</v>
      </c>
      <c r="AF85" s="5123">
        <v>0</v>
      </c>
      <c r="AG85" s="5123">
        <v>0</v>
      </c>
      <c r="AH85" s="5123">
        <v>0</v>
      </c>
      <c r="AI85" s="5123">
        <v>0.129</v>
      </c>
      <c r="AJ85" s="5123">
        <v>0</v>
      </c>
      <c r="AK85" s="5123">
        <v>0</v>
      </c>
      <c r="AL85" s="5123">
        <v>0</v>
      </c>
      <c r="AM85" s="5123">
        <v>0</v>
      </c>
      <c r="AN85" s="5124">
        <f t="shared" si="2"/>
        <v>39.024999999999999</v>
      </c>
      <c r="AO85" s="5125">
        <v>39.024999999999999</v>
      </c>
      <c r="AP85" s="5126">
        <f t="shared" si="3"/>
        <v>0</v>
      </c>
    </row>
    <row r="86" spans="1:42">
      <c r="A86" s="5121">
        <v>281</v>
      </c>
      <c r="B86" s="5122">
        <v>20</v>
      </c>
      <c r="C86" s="5123">
        <v>18.512</v>
      </c>
      <c r="D86" s="5123">
        <v>0</v>
      </c>
      <c r="E86" s="5123">
        <v>7.9930000000000003</v>
      </c>
      <c r="F86" s="5123">
        <v>0</v>
      </c>
      <c r="G86" s="5123">
        <v>0</v>
      </c>
      <c r="H86" s="5123">
        <v>0</v>
      </c>
      <c r="I86" s="5123">
        <v>0</v>
      </c>
      <c r="J86" s="5123">
        <v>0</v>
      </c>
      <c r="K86" s="5123">
        <v>0</v>
      </c>
      <c r="L86" s="5123">
        <v>0</v>
      </c>
      <c r="M86" s="5123">
        <v>0</v>
      </c>
      <c r="N86" s="5123">
        <v>0</v>
      </c>
      <c r="O86" s="5123">
        <v>0</v>
      </c>
      <c r="P86" s="5123">
        <v>1.587</v>
      </c>
      <c r="Q86" s="5123">
        <v>0</v>
      </c>
      <c r="R86" s="5123">
        <v>0</v>
      </c>
      <c r="S86" s="5123">
        <v>0</v>
      </c>
      <c r="T86" s="5123">
        <v>0</v>
      </c>
      <c r="U86" s="5122">
        <v>20</v>
      </c>
      <c r="V86" s="5123">
        <v>20.815999999999999</v>
      </c>
      <c r="W86" s="5123">
        <v>0</v>
      </c>
      <c r="X86" s="5123">
        <v>8</v>
      </c>
      <c r="Y86" s="5123">
        <v>0</v>
      </c>
      <c r="Z86" s="5123">
        <v>0</v>
      </c>
      <c r="AA86" s="5123">
        <v>10.525</v>
      </c>
      <c r="AB86" s="5123">
        <v>0</v>
      </c>
      <c r="AC86" s="5123">
        <v>0</v>
      </c>
      <c r="AD86" s="5123">
        <v>0</v>
      </c>
      <c r="AE86" s="5123">
        <v>0</v>
      </c>
      <c r="AF86" s="5123">
        <v>0</v>
      </c>
      <c r="AG86" s="5123">
        <v>0</v>
      </c>
      <c r="AH86" s="5123">
        <v>0</v>
      </c>
      <c r="AI86" s="5123">
        <v>1.9990000000000001</v>
      </c>
      <c r="AJ86" s="5123">
        <v>0</v>
      </c>
      <c r="AK86" s="5123">
        <v>0</v>
      </c>
      <c r="AL86" s="5123">
        <v>0</v>
      </c>
      <c r="AM86" s="5123">
        <v>0</v>
      </c>
      <c r="AN86" s="5124">
        <f t="shared" si="2"/>
        <v>61.34</v>
      </c>
      <c r="AO86" s="5125">
        <v>61.34</v>
      </c>
      <c r="AP86" s="5126">
        <f t="shared" si="3"/>
        <v>0</v>
      </c>
    </row>
    <row r="87" spans="1:42">
      <c r="A87" s="5121">
        <v>282</v>
      </c>
      <c r="B87" s="5122">
        <v>20</v>
      </c>
      <c r="C87" s="5123">
        <v>21.93</v>
      </c>
      <c r="D87" s="5123">
        <v>0</v>
      </c>
      <c r="E87" s="5123">
        <v>3.9630000000000001</v>
      </c>
      <c r="F87" s="5123">
        <v>0</v>
      </c>
      <c r="G87" s="5123">
        <v>0</v>
      </c>
      <c r="H87" s="5123">
        <v>0</v>
      </c>
      <c r="I87" s="5123">
        <v>0</v>
      </c>
      <c r="J87" s="5123">
        <v>0</v>
      </c>
      <c r="K87" s="5123">
        <v>0</v>
      </c>
      <c r="L87" s="5123">
        <v>0</v>
      </c>
      <c r="M87" s="5123">
        <v>0</v>
      </c>
      <c r="N87" s="5123">
        <v>0</v>
      </c>
      <c r="O87" s="5123">
        <v>0</v>
      </c>
      <c r="P87" s="5123">
        <v>0</v>
      </c>
      <c r="Q87" s="5123">
        <v>0</v>
      </c>
      <c r="R87" s="5123">
        <v>0</v>
      </c>
      <c r="S87" s="5123">
        <v>0</v>
      </c>
      <c r="T87" s="5123">
        <v>0</v>
      </c>
      <c r="U87" s="5122">
        <v>20</v>
      </c>
      <c r="V87" s="5123">
        <v>28.27</v>
      </c>
      <c r="W87" s="5123">
        <v>0</v>
      </c>
      <c r="X87" s="5123">
        <v>4</v>
      </c>
      <c r="Y87" s="5123">
        <v>0</v>
      </c>
      <c r="Z87" s="5123">
        <v>0</v>
      </c>
      <c r="AA87" s="5123">
        <v>0</v>
      </c>
      <c r="AB87" s="5123">
        <v>0</v>
      </c>
      <c r="AC87" s="5123">
        <v>0</v>
      </c>
      <c r="AD87" s="5123">
        <v>0</v>
      </c>
      <c r="AE87" s="5123">
        <v>0</v>
      </c>
      <c r="AF87" s="5123">
        <v>0</v>
      </c>
      <c r="AG87" s="5123">
        <v>0</v>
      </c>
      <c r="AH87" s="5123">
        <v>0</v>
      </c>
      <c r="AI87" s="5123">
        <v>0</v>
      </c>
      <c r="AJ87" s="5123">
        <v>0</v>
      </c>
      <c r="AK87" s="5123">
        <v>0</v>
      </c>
      <c r="AL87" s="5123">
        <v>0</v>
      </c>
      <c r="AM87" s="5123">
        <v>0</v>
      </c>
      <c r="AN87" s="5124">
        <f t="shared" si="2"/>
        <v>52.27</v>
      </c>
      <c r="AO87" s="5125">
        <v>52.27</v>
      </c>
      <c r="AP87" s="5126">
        <f t="shared" si="3"/>
        <v>0</v>
      </c>
    </row>
    <row r="88" spans="1:42">
      <c r="A88" s="5121">
        <v>283</v>
      </c>
      <c r="B88" s="5122">
        <v>20</v>
      </c>
      <c r="C88" s="5123">
        <v>26.57</v>
      </c>
      <c r="D88" s="5123">
        <v>0</v>
      </c>
      <c r="E88" s="5123">
        <v>0</v>
      </c>
      <c r="F88" s="5123">
        <v>0</v>
      </c>
      <c r="G88" s="5123">
        <v>0</v>
      </c>
      <c r="H88" s="5123">
        <v>9.1050000000000004</v>
      </c>
      <c r="I88" s="5123">
        <v>0</v>
      </c>
      <c r="J88" s="5123">
        <v>0</v>
      </c>
      <c r="K88" s="5123">
        <v>0</v>
      </c>
      <c r="L88" s="5123">
        <v>0</v>
      </c>
      <c r="M88" s="5123">
        <v>0</v>
      </c>
      <c r="N88" s="5123">
        <v>0</v>
      </c>
      <c r="O88" s="5123">
        <v>0</v>
      </c>
      <c r="P88" s="5123">
        <v>0</v>
      </c>
      <c r="Q88" s="5123">
        <v>0</v>
      </c>
      <c r="R88" s="5123">
        <v>0</v>
      </c>
      <c r="S88" s="5123">
        <v>0</v>
      </c>
      <c r="T88" s="5123">
        <v>0</v>
      </c>
      <c r="U88" s="5122">
        <v>20</v>
      </c>
      <c r="V88" s="5123">
        <v>14.113</v>
      </c>
      <c r="W88" s="5123">
        <v>0</v>
      </c>
      <c r="X88" s="5123">
        <v>0</v>
      </c>
      <c r="Y88" s="5123">
        <v>0</v>
      </c>
      <c r="Z88" s="5123">
        <v>0</v>
      </c>
      <c r="AA88" s="5123">
        <v>14.539</v>
      </c>
      <c r="AB88" s="5123">
        <v>0</v>
      </c>
      <c r="AC88" s="5123">
        <v>0</v>
      </c>
      <c r="AD88" s="5123">
        <v>0</v>
      </c>
      <c r="AE88" s="5123">
        <v>0</v>
      </c>
      <c r="AF88" s="5123">
        <v>0</v>
      </c>
      <c r="AG88" s="5123">
        <v>0</v>
      </c>
      <c r="AH88" s="5123">
        <v>0</v>
      </c>
      <c r="AI88" s="5123">
        <v>0</v>
      </c>
      <c r="AJ88" s="5123">
        <v>0</v>
      </c>
      <c r="AK88" s="5123">
        <v>0</v>
      </c>
      <c r="AL88" s="5123">
        <v>0</v>
      </c>
      <c r="AM88" s="5123">
        <v>0</v>
      </c>
      <c r="AN88" s="5124">
        <f t="shared" si="2"/>
        <v>48.652000000000001</v>
      </c>
      <c r="AO88" s="5125">
        <v>48.652000000000001</v>
      </c>
      <c r="AP88" s="5126">
        <f t="shared" si="3"/>
        <v>0</v>
      </c>
    </row>
    <row r="89" spans="1:42">
      <c r="A89" s="5121">
        <v>284</v>
      </c>
      <c r="B89" s="5122">
        <v>20</v>
      </c>
      <c r="C89" s="5123">
        <v>22.158999999999999</v>
      </c>
      <c r="D89" s="5123">
        <v>0</v>
      </c>
      <c r="E89" s="5123">
        <v>8</v>
      </c>
      <c r="F89" s="5123">
        <v>0</v>
      </c>
      <c r="G89" s="5123">
        <v>0</v>
      </c>
      <c r="H89" s="5123">
        <v>2.1030000000000002</v>
      </c>
      <c r="I89" s="5123">
        <v>0</v>
      </c>
      <c r="J89" s="5123">
        <v>0</v>
      </c>
      <c r="K89" s="5123">
        <v>0</v>
      </c>
      <c r="L89" s="5123">
        <v>0</v>
      </c>
      <c r="M89" s="5123">
        <v>0</v>
      </c>
      <c r="N89" s="5123">
        <v>0</v>
      </c>
      <c r="O89" s="5123">
        <v>0</v>
      </c>
      <c r="P89" s="5123">
        <v>3</v>
      </c>
      <c r="Q89" s="5123">
        <v>0</v>
      </c>
      <c r="R89" s="5123">
        <v>0</v>
      </c>
      <c r="S89" s="5123">
        <v>0</v>
      </c>
      <c r="T89" s="5123">
        <v>0</v>
      </c>
      <c r="U89" s="5122">
        <v>20</v>
      </c>
      <c r="V89" s="5123">
        <v>18.97</v>
      </c>
      <c r="W89" s="5123">
        <v>0</v>
      </c>
      <c r="X89" s="5123">
        <v>7.9169999999999998</v>
      </c>
      <c r="Y89" s="5123">
        <v>0</v>
      </c>
      <c r="Z89" s="5123">
        <v>0</v>
      </c>
      <c r="AA89" s="5123">
        <v>2.375</v>
      </c>
      <c r="AB89" s="5123">
        <v>0</v>
      </c>
      <c r="AC89" s="5123">
        <v>0</v>
      </c>
      <c r="AD89" s="5123">
        <v>0</v>
      </c>
      <c r="AE89" s="5123">
        <v>0</v>
      </c>
      <c r="AF89" s="5123">
        <v>0</v>
      </c>
      <c r="AG89" s="5123">
        <v>0</v>
      </c>
      <c r="AH89" s="5123">
        <v>0</v>
      </c>
      <c r="AI89" s="5123">
        <v>0.38800000000000001</v>
      </c>
      <c r="AJ89" s="5123">
        <v>0</v>
      </c>
      <c r="AK89" s="5123">
        <v>0</v>
      </c>
      <c r="AL89" s="5123">
        <v>0</v>
      </c>
      <c r="AM89" s="5123">
        <v>0</v>
      </c>
      <c r="AN89" s="5124">
        <f t="shared" si="2"/>
        <v>49.65</v>
      </c>
      <c r="AO89" s="5125">
        <v>49.65</v>
      </c>
      <c r="AP89" s="5126">
        <f t="shared" si="3"/>
        <v>0</v>
      </c>
    </row>
    <row r="90" spans="1:42">
      <c r="A90" s="5121">
        <v>285</v>
      </c>
      <c r="B90" s="5122">
        <v>20</v>
      </c>
      <c r="C90" s="5123">
        <v>20.687000000000001</v>
      </c>
      <c r="D90" s="5123">
        <v>0</v>
      </c>
      <c r="E90" s="5123">
        <v>0</v>
      </c>
      <c r="F90" s="5123">
        <v>0</v>
      </c>
      <c r="G90" s="5123">
        <v>0</v>
      </c>
      <c r="H90" s="5123">
        <v>0</v>
      </c>
      <c r="I90" s="5123">
        <v>0</v>
      </c>
      <c r="J90" s="5123">
        <v>0</v>
      </c>
      <c r="K90" s="5123">
        <v>0</v>
      </c>
      <c r="L90" s="5123">
        <v>0</v>
      </c>
      <c r="M90" s="5123">
        <v>0</v>
      </c>
      <c r="N90" s="5123">
        <v>0</v>
      </c>
      <c r="O90" s="5123">
        <v>0</v>
      </c>
      <c r="P90" s="5123">
        <v>1</v>
      </c>
      <c r="Q90" s="5123">
        <v>0</v>
      </c>
      <c r="R90" s="5123">
        <v>0</v>
      </c>
      <c r="S90" s="5123">
        <v>0</v>
      </c>
      <c r="T90" s="5123">
        <v>0</v>
      </c>
      <c r="U90" s="5122">
        <v>20</v>
      </c>
      <c r="V90" s="5123">
        <v>19.521999999999998</v>
      </c>
      <c r="W90" s="5123">
        <v>0</v>
      </c>
      <c r="X90" s="5123">
        <v>0</v>
      </c>
      <c r="Y90" s="5123">
        <v>0</v>
      </c>
      <c r="Z90" s="5123">
        <v>0</v>
      </c>
      <c r="AA90" s="5123">
        <v>0</v>
      </c>
      <c r="AB90" s="5123">
        <v>0</v>
      </c>
      <c r="AC90" s="5123">
        <v>0</v>
      </c>
      <c r="AD90" s="5123">
        <v>0</v>
      </c>
      <c r="AE90" s="5123">
        <v>0</v>
      </c>
      <c r="AF90" s="5123">
        <v>0</v>
      </c>
      <c r="AG90" s="5123">
        <v>0</v>
      </c>
      <c r="AH90" s="5123">
        <v>0</v>
      </c>
      <c r="AI90" s="5123">
        <v>1</v>
      </c>
      <c r="AJ90" s="5123">
        <v>0</v>
      </c>
      <c r="AK90" s="5123">
        <v>0</v>
      </c>
      <c r="AL90" s="5123">
        <v>0</v>
      </c>
      <c r="AM90" s="5123">
        <v>0</v>
      </c>
      <c r="AN90" s="5124">
        <f t="shared" si="2"/>
        <v>40.521999999999998</v>
      </c>
      <c r="AO90" s="5125">
        <v>40.521999999999998</v>
      </c>
      <c r="AP90" s="5126">
        <f t="shared" si="3"/>
        <v>0</v>
      </c>
    </row>
    <row r="91" spans="1:42">
      <c r="A91" s="5121">
        <v>286</v>
      </c>
      <c r="B91" s="5122">
        <v>20</v>
      </c>
      <c r="C91" s="5123">
        <v>23.117000000000001</v>
      </c>
      <c r="D91" s="5123">
        <v>0</v>
      </c>
      <c r="E91" s="5123">
        <v>1.002</v>
      </c>
      <c r="F91" s="5123">
        <v>0</v>
      </c>
      <c r="G91" s="5123">
        <v>0</v>
      </c>
      <c r="H91" s="5123">
        <v>0</v>
      </c>
      <c r="I91" s="5123">
        <v>0</v>
      </c>
      <c r="J91" s="5123">
        <v>0</v>
      </c>
      <c r="K91" s="5123">
        <v>0</v>
      </c>
      <c r="L91" s="5123">
        <v>0</v>
      </c>
      <c r="M91" s="5123">
        <v>0</v>
      </c>
      <c r="N91" s="5123">
        <v>0</v>
      </c>
      <c r="O91" s="5123">
        <v>0</v>
      </c>
      <c r="P91" s="5123">
        <v>1</v>
      </c>
      <c r="Q91" s="5123">
        <v>0</v>
      </c>
      <c r="R91" s="5123">
        <v>0</v>
      </c>
      <c r="S91" s="5123">
        <v>0</v>
      </c>
      <c r="T91" s="5123">
        <v>0</v>
      </c>
      <c r="U91" s="5122">
        <v>20</v>
      </c>
      <c r="V91" s="5123">
        <v>24.423999999999999</v>
      </c>
      <c r="W91" s="5123">
        <v>0</v>
      </c>
      <c r="X91" s="5123">
        <v>1</v>
      </c>
      <c r="Y91" s="5123">
        <v>0</v>
      </c>
      <c r="Z91" s="5123">
        <v>0</v>
      </c>
      <c r="AA91" s="5123">
        <v>0</v>
      </c>
      <c r="AB91" s="5123">
        <v>0</v>
      </c>
      <c r="AC91" s="5123">
        <v>0</v>
      </c>
      <c r="AD91" s="5123">
        <v>0</v>
      </c>
      <c r="AE91" s="5123">
        <v>0</v>
      </c>
      <c r="AF91" s="5123">
        <v>0</v>
      </c>
      <c r="AG91" s="5123">
        <v>0</v>
      </c>
      <c r="AH91" s="5123">
        <v>0</v>
      </c>
      <c r="AI91" s="5123">
        <v>1</v>
      </c>
      <c r="AJ91" s="5123">
        <v>0</v>
      </c>
      <c r="AK91" s="5123">
        <v>0</v>
      </c>
      <c r="AL91" s="5123">
        <v>0</v>
      </c>
      <c r="AM91" s="5123">
        <v>0</v>
      </c>
      <c r="AN91" s="5124">
        <f t="shared" si="2"/>
        <v>46.423999999999999</v>
      </c>
      <c r="AO91" s="5125">
        <v>46.423999999999999</v>
      </c>
      <c r="AP91" s="5126">
        <f t="shared" si="3"/>
        <v>0</v>
      </c>
    </row>
    <row r="92" spans="1:42">
      <c r="A92" s="5121">
        <v>287</v>
      </c>
      <c r="B92" s="5122">
        <v>20</v>
      </c>
      <c r="C92" s="5123">
        <v>18.960999999999999</v>
      </c>
      <c r="D92" s="5123">
        <v>0</v>
      </c>
      <c r="E92" s="5123">
        <v>7.9569999999999999</v>
      </c>
      <c r="F92" s="5123">
        <v>0</v>
      </c>
      <c r="G92" s="5123">
        <v>0</v>
      </c>
      <c r="H92" s="5123">
        <v>0</v>
      </c>
      <c r="I92" s="5123">
        <v>0</v>
      </c>
      <c r="J92" s="5123">
        <v>0</v>
      </c>
      <c r="K92" s="5123">
        <v>0</v>
      </c>
      <c r="L92" s="5123">
        <v>0</v>
      </c>
      <c r="M92" s="5123">
        <v>0</v>
      </c>
      <c r="N92" s="5123">
        <v>0</v>
      </c>
      <c r="O92" s="5123">
        <v>0</v>
      </c>
      <c r="P92" s="5123">
        <v>1.7869999999999999</v>
      </c>
      <c r="Q92" s="5123">
        <v>0</v>
      </c>
      <c r="R92" s="5123">
        <v>0</v>
      </c>
      <c r="S92" s="5123">
        <v>0</v>
      </c>
      <c r="T92" s="5123">
        <v>0</v>
      </c>
      <c r="U92" s="5122">
        <v>20</v>
      </c>
      <c r="V92" s="5123">
        <v>19.027000000000001</v>
      </c>
      <c r="W92" s="5123">
        <v>0</v>
      </c>
      <c r="X92" s="5123">
        <v>7.9829999999999997</v>
      </c>
      <c r="Y92" s="5123">
        <v>0</v>
      </c>
      <c r="Z92" s="5123">
        <v>0</v>
      </c>
      <c r="AA92" s="5123">
        <v>0</v>
      </c>
      <c r="AB92" s="5123">
        <v>0</v>
      </c>
      <c r="AC92" s="5123">
        <v>0</v>
      </c>
      <c r="AD92" s="5123">
        <v>0</v>
      </c>
      <c r="AE92" s="5123">
        <v>0</v>
      </c>
      <c r="AF92" s="5123">
        <v>0</v>
      </c>
      <c r="AG92" s="5123">
        <v>0</v>
      </c>
      <c r="AH92" s="5123">
        <v>0</v>
      </c>
      <c r="AI92" s="5123">
        <v>2.794</v>
      </c>
      <c r="AJ92" s="5123">
        <v>0</v>
      </c>
      <c r="AK92" s="5123">
        <v>0</v>
      </c>
      <c r="AL92" s="5123">
        <v>0</v>
      </c>
      <c r="AM92" s="5123">
        <v>0</v>
      </c>
      <c r="AN92" s="5124">
        <f t="shared" si="2"/>
        <v>49.804000000000002</v>
      </c>
      <c r="AO92" s="5125">
        <v>49.804000000000002</v>
      </c>
      <c r="AP92" s="5126">
        <f t="shared" si="3"/>
        <v>0</v>
      </c>
    </row>
    <row r="93" spans="1:42">
      <c r="A93" s="5121">
        <v>288</v>
      </c>
      <c r="B93" s="5122">
        <v>20</v>
      </c>
      <c r="C93" s="5123">
        <v>19.475999999999999</v>
      </c>
      <c r="D93" s="5123">
        <v>0</v>
      </c>
      <c r="E93" s="5123">
        <v>0</v>
      </c>
      <c r="F93" s="5123">
        <v>0</v>
      </c>
      <c r="G93" s="5123">
        <v>0</v>
      </c>
      <c r="H93" s="5123">
        <v>8.8849999999999998</v>
      </c>
      <c r="I93" s="5123">
        <v>0</v>
      </c>
      <c r="J93" s="5123">
        <v>0</v>
      </c>
      <c r="K93" s="5123">
        <v>0</v>
      </c>
      <c r="L93" s="5123">
        <v>0</v>
      </c>
      <c r="M93" s="5123">
        <v>0</v>
      </c>
      <c r="N93" s="5123">
        <v>0</v>
      </c>
      <c r="O93" s="5123">
        <v>0</v>
      </c>
      <c r="P93" s="5123">
        <v>0</v>
      </c>
      <c r="Q93" s="5123">
        <v>0</v>
      </c>
      <c r="R93" s="5123">
        <v>0</v>
      </c>
      <c r="S93" s="5123">
        <v>0</v>
      </c>
      <c r="T93" s="5123">
        <v>0</v>
      </c>
      <c r="U93" s="5122">
        <v>20</v>
      </c>
      <c r="V93" s="5123">
        <v>22.007000000000001</v>
      </c>
      <c r="W93" s="5123">
        <v>0</v>
      </c>
      <c r="X93" s="5123">
        <v>2.9889999999999999</v>
      </c>
      <c r="Y93" s="5123">
        <v>0</v>
      </c>
      <c r="Z93" s="5123">
        <v>0</v>
      </c>
      <c r="AA93" s="5123">
        <v>9.3930000000000007</v>
      </c>
      <c r="AB93" s="5123">
        <v>0</v>
      </c>
      <c r="AC93" s="5123">
        <v>0</v>
      </c>
      <c r="AD93" s="5123">
        <v>0</v>
      </c>
      <c r="AE93" s="5123">
        <v>0</v>
      </c>
      <c r="AF93" s="5123">
        <v>0</v>
      </c>
      <c r="AG93" s="5123">
        <v>0</v>
      </c>
      <c r="AH93" s="5123">
        <v>0</v>
      </c>
      <c r="AI93" s="5123">
        <v>0</v>
      </c>
      <c r="AJ93" s="5123">
        <v>0</v>
      </c>
      <c r="AK93" s="5123">
        <v>0</v>
      </c>
      <c r="AL93" s="5123">
        <v>0</v>
      </c>
      <c r="AM93" s="5123">
        <v>0</v>
      </c>
      <c r="AN93" s="5124">
        <f t="shared" si="2"/>
        <v>54.389000000000003</v>
      </c>
      <c r="AO93" s="5125">
        <v>54.389000000000003</v>
      </c>
      <c r="AP93" s="5126">
        <f t="shared" si="3"/>
        <v>0</v>
      </c>
    </row>
    <row r="94" spans="1:42">
      <c r="A94" s="5121">
        <v>289</v>
      </c>
      <c r="B94" s="5122">
        <v>20</v>
      </c>
      <c r="C94" s="5123">
        <v>15.669</v>
      </c>
      <c r="D94" s="5123">
        <v>0</v>
      </c>
      <c r="E94" s="5123">
        <v>7.9630000000000001</v>
      </c>
      <c r="F94" s="5123">
        <v>0</v>
      </c>
      <c r="G94" s="5123">
        <v>0</v>
      </c>
      <c r="H94" s="5123">
        <v>12.795999999999999</v>
      </c>
      <c r="I94" s="5123">
        <v>0</v>
      </c>
      <c r="J94" s="5123">
        <v>0</v>
      </c>
      <c r="K94" s="5123">
        <v>0</v>
      </c>
      <c r="L94" s="5123">
        <v>0</v>
      </c>
      <c r="M94" s="5123">
        <v>0</v>
      </c>
      <c r="N94" s="5123">
        <v>0</v>
      </c>
      <c r="O94" s="5123">
        <v>0</v>
      </c>
      <c r="P94" s="5123">
        <v>1.988</v>
      </c>
      <c r="Q94" s="5123">
        <v>0.19900000000000001</v>
      </c>
      <c r="R94" s="5123">
        <v>0</v>
      </c>
      <c r="S94" s="5123">
        <v>0</v>
      </c>
      <c r="T94" s="5123">
        <v>0</v>
      </c>
      <c r="U94" s="5122">
        <v>20</v>
      </c>
      <c r="V94" s="5123">
        <v>20.056999999999999</v>
      </c>
      <c r="W94" s="5123">
        <v>0</v>
      </c>
      <c r="X94" s="5123">
        <v>7.9930000000000003</v>
      </c>
      <c r="Y94" s="5123">
        <v>0</v>
      </c>
      <c r="Z94" s="5123">
        <v>0</v>
      </c>
      <c r="AA94" s="5123">
        <v>8.5619999999999994</v>
      </c>
      <c r="AB94" s="5123">
        <v>0</v>
      </c>
      <c r="AC94" s="5123">
        <v>0</v>
      </c>
      <c r="AD94" s="5123">
        <v>0</v>
      </c>
      <c r="AE94" s="5123">
        <v>0</v>
      </c>
      <c r="AF94" s="5123">
        <v>0</v>
      </c>
      <c r="AG94" s="5123">
        <v>0</v>
      </c>
      <c r="AH94" s="5123">
        <v>0</v>
      </c>
      <c r="AI94" s="5123">
        <v>3.9969999999999999</v>
      </c>
      <c r="AJ94" s="5123">
        <v>0.2</v>
      </c>
      <c r="AK94" s="5123">
        <v>0</v>
      </c>
      <c r="AL94" s="5123">
        <v>0</v>
      </c>
      <c r="AM94" s="5123">
        <v>0</v>
      </c>
      <c r="AN94" s="5124">
        <f t="shared" si="2"/>
        <v>60.808999999999997</v>
      </c>
      <c r="AO94" s="5125">
        <v>60.808999999999997</v>
      </c>
      <c r="AP94" s="5126">
        <f t="shared" si="3"/>
        <v>0</v>
      </c>
    </row>
    <row r="95" spans="1:42">
      <c r="A95" s="5121">
        <v>290</v>
      </c>
      <c r="B95" s="5122">
        <v>20</v>
      </c>
      <c r="C95" s="5123">
        <v>14.596</v>
      </c>
      <c r="D95" s="5123">
        <v>0.4</v>
      </c>
      <c r="E95" s="5123">
        <v>8</v>
      </c>
      <c r="F95" s="5123">
        <v>0</v>
      </c>
      <c r="G95" s="5123">
        <v>0</v>
      </c>
      <c r="H95" s="5123">
        <v>13.999000000000001</v>
      </c>
      <c r="I95" s="5123">
        <v>0</v>
      </c>
      <c r="J95" s="5123">
        <v>0</v>
      </c>
      <c r="K95" s="5123">
        <v>0</v>
      </c>
      <c r="L95" s="5123">
        <v>0</v>
      </c>
      <c r="M95" s="5123">
        <v>0</v>
      </c>
      <c r="N95" s="5123">
        <v>0</v>
      </c>
      <c r="O95" s="5123">
        <v>0</v>
      </c>
      <c r="P95" s="5123">
        <v>4.9989999999999997</v>
      </c>
      <c r="Q95" s="5123">
        <v>1</v>
      </c>
      <c r="R95" s="5123">
        <v>0</v>
      </c>
      <c r="S95" s="5123">
        <v>0</v>
      </c>
      <c r="T95" s="5123">
        <v>0</v>
      </c>
      <c r="U95" s="5122">
        <v>20</v>
      </c>
      <c r="V95" s="5123">
        <v>17.576000000000001</v>
      </c>
      <c r="W95" s="5123">
        <v>0.4</v>
      </c>
      <c r="X95" s="5123">
        <v>7.9980000000000002</v>
      </c>
      <c r="Y95" s="5123">
        <v>0</v>
      </c>
      <c r="Z95" s="5123">
        <v>0</v>
      </c>
      <c r="AA95" s="5123">
        <v>16.911000000000001</v>
      </c>
      <c r="AB95" s="5123">
        <v>0</v>
      </c>
      <c r="AC95" s="5123">
        <v>0</v>
      </c>
      <c r="AD95" s="5123">
        <v>0</v>
      </c>
      <c r="AE95" s="5123">
        <v>0</v>
      </c>
      <c r="AF95" s="5123">
        <v>0</v>
      </c>
      <c r="AG95" s="5123">
        <v>0</v>
      </c>
      <c r="AH95" s="5123">
        <v>0</v>
      </c>
      <c r="AI95" s="5123">
        <v>4.9989999999999997</v>
      </c>
      <c r="AJ95" s="5123">
        <v>1</v>
      </c>
      <c r="AK95" s="5123">
        <v>0</v>
      </c>
      <c r="AL95" s="5123">
        <v>0</v>
      </c>
      <c r="AM95" s="5123">
        <v>0</v>
      </c>
      <c r="AN95" s="5124">
        <f t="shared" si="2"/>
        <v>68.884</v>
      </c>
      <c r="AO95" s="5125">
        <v>68.884</v>
      </c>
      <c r="AP95" s="5126">
        <f t="shared" si="3"/>
        <v>0</v>
      </c>
    </row>
    <row r="96" spans="1:42">
      <c r="A96" s="5121">
        <v>291</v>
      </c>
      <c r="B96" s="5122">
        <v>20</v>
      </c>
      <c r="C96" s="5123">
        <v>8.1069999999999993</v>
      </c>
      <c r="D96" s="5123">
        <v>0</v>
      </c>
      <c r="E96" s="5123">
        <v>2.0009999999999999</v>
      </c>
      <c r="F96" s="5123">
        <v>0</v>
      </c>
      <c r="G96" s="5123">
        <v>0</v>
      </c>
      <c r="H96" s="5123">
        <v>0</v>
      </c>
      <c r="I96" s="5123">
        <v>0</v>
      </c>
      <c r="J96" s="5123">
        <v>0</v>
      </c>
      <c r="K96" s="5123">
        <v>0</v>
      </c>
      <c r="L96" s="5123">
        <v>0</v>
      </c>
      <c r="M96" s="5123">
        <v>0</v>
      </c>
      <c r="N96" s="5123">
        <v>0</v>
      </c>
      <c r="O96" s="5123">
        <v>0</v>
      </c>
      <c r="P96" s="5123">
        <v>0</v>
      </c>
      <c r="Q96" s="5123">
        <v>0</v>
      </c>
      <c r="R96" s="5123">
        <v>0</v>
      </c>
      <c r="S96" s="5123">
        <v>0</v>
      </c>
      <c r="T96" s="5123">
        <v>0</v>
      </c>
      <c r="U96" s="5122">
        <v>20</v>
      </c>
      <c r="V96" s="5123">
        <v>8.6519999999999992</v>
      </c>
      <c r="W96" s="5123">
        <v>0</v>
      </c>
      <c r="X96" s="5123">
        <v>3.9990000000000001</v>
      </c>
      <c r="Y96" s="5123">
        <v>0</v>
      </c>
      <c r="Z96" s="5123">
        <v>0</v>
      </c>
      <c r="AA96" s="5123">
        <v>0</v>
      </c>
      <c r="AB96" s="5123">
        <v>0</v>
      </c>
      <c r="AC96" s="5123">
        <v>0</v>
      </c>
      <c r="AD96" s="5123">
        <v>0</v>
      </c>
      <c r="AE96" s="5123">
        <v>0</v>
      </c>
      <c r="AF96" s="5123">
        <v>0</v>
      </c>
      <c r="AG96" s="5123">
        <v>0</v>
      </c>
      <c r="AH96" s="5123">
        <v>0</v>
      </c>
      <c r="AI96" s="5123">
        <v>0</v>
      </c>
      <c r="AJ96" s="5123">
        <v>0</v>
      </c>
      <c r="AK96" s="5123">
        <v>0</v>
      </c>
      <c r="AL96" s="5123">
        <v>0</v>
      </c>
      <c r="AM96" s="5123">
        <v>0</v>
      </c>
      <c r="AN96" s="5124">
        <f t="shared" si="2"/>
        <v>32.651000000000003</v>
      </c>
      <c r="AO96" s="5125">
        <v>32.651000000000003</v>
      </c>
      <c r="AP96" s="5126">
        <f t="shared" si="3"/>
        <v>0</v>
      </c>
    </row>
    <row r="97" spans="1:42">
      <c r="A97" s="5121">
        <v>292</v>
      </c>
      <c r="B97" s="5122">
        <v>20</v>
      </c>
      <c r="C97" s="5123">
        <v>22.282</v>
      </c>
      <c r="D97" s="5123">
        <v>0</v>
      </c>
      <c r="E97" s="5123">
        <v>5</v>
      </c>
      <c r="F97" s="5123">
        <v>0</v>
      </c>
      <c r="G97" s="5123">
        <v>0</v>
      </c>
      <c r="H97" s="5123">
        <v>0</v>
      </c>
      <c r="I97" s="5123">
        <v>0</v>
      </c>
      <c r="J97" s="5123">
        <v>0</v>
      </c>
      <c r="K97" s="5123">
        <v>0</v>
      </c>
      <c r="L97" s="5123">
        <v>0</v>
      </c>
      <c r="M97" s="5123">
        <v>0</v>
      </c>
      <c r="N97" s="5123">
        <v>0</v>
      </c>
      <c r="O97" s="5123">
        <v>0</v>
      </c>
      <c r="P97" s="5123">
        <v>0</v>
      </c>
      <c r="Q97" s="5123">
        <v>0</v>
      </c>
      <c r="R97" s="5123">
        <v>0</v>
      </c>
      <c r="S97" s="5123">
        <v>0</v>
      </c>
      <c r="T97" s="5123">
        <v>0</v>
      </c>
      <c r="U97" s="5122">
        <v>20</v>
      </c>
      <c r="V97" s="5123">
        <v>22.1</v>
      </c>
      <c r="W97" s="5123">
        <v>0</v>
      </c>
      <c r="X97" s="5123">
        <v>5.9939999999999998</v>
      </c>
      <c r="Y97" s="5123">
        <v>0</v>
      </c>
      <c r="Z97" s="5123">
        <v>0</v>
      </c>
      <c r="AA97" s="5123">
        <v>0</v>
      </c>
      <c r="AB97" s="5123">
        <v>0</v>
      </c>
      <c r="AC97" s="5123">
        <v>0</v>
      </c>
      <c r="AD97" s="5123">
        <v>0</v>
      </c>
      <c r="AE97" s="5123">
        <v>0</v>
      </c>
      <c r="AF97" s="5123">
        <v>0</v>
      </c>
      <c r="AG97" s="5123">
        <v>0</v>
      </c>
      <c r="AH97" s="5123">
        <v>0</v>
      </c>
      <c r="AI97" s="5123">
        <v>0</v>
      </c>
      <c r="AJ97" s="5123">
        <v>0</v>
      </c>
      <c r="AK97" s="5123">
        <v>0</v>
      </c>
      <c r="AL97" s="5123">
        <v>0</v>
      </c>
      <c r="AM97" s="5123">
        <v>0</v>
      </c>
      <c r="AN97" s="5124">
        <f t="shared" si="2"/>
        <v>48.094000000000001</v>
      </c>
      <c r="AO97" s="5125">
        <v>48.094000000000001</v>
      </c>
      <c r="AP97" s="5126">
        <f t="shared" si="3"/>
        <v>0</v>
      </c>
    </row>
    <row r="98" spans="1:42">
      <c r="A98" s="5121">
        <v>293</v>
      </c>
      <c r="B98" s="5122">
        <v>20</v>
      </c>
      <c r="C98" s="5123">
        <v>21.138999999999999</v>
      </c>
      <c r="D98" s="5123">
        <v>0</v>
      </c>
      <c r="E98" s="5123">
        <v>8</v>
      </c>
      <c r="F98" s="5123">
        <v>0</v>
      </c>
      <c r="G98" s="5123">
        <v>0</v>
      </c>
      <c r="H98" s="5123">
        <v>0</v>
      </c>
      <c r="I98" s="5123">
        <v>0</v>
      </c>
      <c r="J98" s="5123">
        <v>0</v>
      </c>
      <c r="K98" s="5123">
        <v>0</v>
      </c>
      <c r="L98" s="5123">
        <v>0</v>
      </c>
      <c r="M98" s="5123">
        <v>0</v>
      </c>
      <c r="N98" s="5123">
        <v>0</v>
      </c>
      <c r="O98" s="5123">
        <v>0</v>
      </c>
      <c r="P98" s="5123">
        <v>0</v>
      </c>
      <c r="Q98" s="5123">
        <v>0</v>
      </c>
      <c r="R98" s="5123">
        <v>0</v>
      </c>
      <c r="S98" s="5123">
        <v>0</v>
      </c>
      <c r="T98" s="5123">
        <v>0</v>
      </c>
      <c r="U98" s="5122">
        <v>20</v>
      </c>
      <c r="V98" s="5123">
        <v>28.917999999999999</v>
      </c>
      <c r="W98" s="5123">
        <v>0</v>
      </c>
      <c r="X98" s="5123">
        <v>8</v>
      </c>
      <c r="Y98" s="5123">
        <v>0</v>
      </c>
      <c r="Z98" s="5123">
        <v>0</v>
      </c>
      <c r="AA98" s="5123">
        <v>0</v>
      </c>
      <c r="AB98" s="5123">
        <v>0</v>
      </c>
      <c r="AC98" s="5123">
        <v>0</v>
      </c>
      <c r="AD98" s="5123">
        <v>0</v>
      </c>
      <c r="AE98" s="5123">
        <v>0</v>
      </c>
      <c r="AF98" s="5123">
        <v>0</v>
      </c>
      <c r="AG98" s="5123">
        <v>0</v>
      </c>
      <c r="AH98" s="5123">
        <v>0</v>
      </c>
      <c r="AI98" s="5123">
        <v>0</v>
      </c>
      <c r="AJ98" s="5123">
        <v>0</v>
      </c>
      <c r="AK98" s="5123">
        <v>0</v>
      </c>
      <c r="AL98" s="5123">
        <v>0</v>
      </c>
      <c r="AM98" s="5123">
        <v>0</v>
      </c>
      <c r="AN98" s="5124">
        <f t="shared" si="2"/>
        <v>56.917999999999999</v>
      </c>
      <c r="AO98" s="5125">
        <v>56.917999999999999</v>
      </c>
      <c r="AP98" s="5126">
        <f t="shared" si="3"/>
        <v>0</v>
      </c>
    </row>
    <row r="99" spans="1:42">
      <c r="A99" s="5121">
        <v>294</v>
      </c>
      <c r="B99" s="5122">
        <v>20</v>
      </c>
      <c r="C99" s="5123">
        <v>17.867999999999999</v>
      </c>
      <c r="D99" s="5123">
        <v>0</v>
      </c>
      <c r="E99" s="5123">
        <v>6</v>
      </c>
      <c r="F99" s="5123">
        <v>0</v>
      </c>
      <c r="G99" s="5123">
        <v>0</v>
      </c>
      <c r="H99" s="5123">
        <v>0</v>
      </c>
      <c r="I99" s="5123">
        <v>0</v>
      </c>
      <c r="J99" s="5123">
        <v>0</v>
      </c>
      <c r="K99" s="5123">
        <v>0</v>
      </c>
      <c r="L99" s="5123">
        <v>0</v>
      </c>
      <c r="M99" s="5123">
        <v>0</v>
      </c>
      <c r="N99" s="5123">
        <v>0</v>
      </c>
      <c r="O99" s="5123">
        <v>0</v>
      </c>
      <c r="P99" s="5123">
        <v>0</v>
      </c>
      <c r="Q99" s="5123">
        <v>0</v>
      </c>
      <c r="R99" s="5123">
        <v>0</v>
      </c>
      <c r="S99" s="5123">
        <v>0</v>
      </c>
      <c r="T99" s="5123">
        <v>0</v>
      </c>
      <c r="U99" s="5122">
        <v>20</v>
      </c>
      <c r="V99" s="5123">
        <v>15.151</v>
      </c>
      <c r="W99" s="5123">
        <v>0</v>
      </c>
      <c r="X99" s="5123">
        <v>8</v>
      </c>
      <c r="Y99" s="5123">
        <v>0</v>
      </c>
      <c r="Z99" s="5123">
        <v>0</v>
      </c>
      <c r="AA99" s="5123">
        <v>0</v>
      </c>
      <c r="AB99" s="5123">
        <v>0</v>
      </c>
      <c r="AC99" s="5123">
        <v>0</v>
      </c>
      <c r="AD99" s="5123">
        <v>0</v>
      </c>
      <c r="AE99" s="5123">
        <v>0</v>
      </c>
      <c r="AF99" s="5123">
        <v>0</v>
      </c>
      <c r="AG99" s="5123">
        <v>0</v>
      </c>
      <c r="AH99" s="5123">
        <v>0</v>
      </c>
      <c r="AI99" s="5123">
        <v>0</v>
      </c>
      <c r="AJ99" s="5123">
        <v>0</v>
      </c>
      <c r="AK99" s="5123">
        <v>0</v>
      </c>
      <c r="AL99" s="5123">
        <v>0</v>
      </c>
      <c r="AM99" s="5123">
        <v>0</v>
      </c>
      <c r="AN99" s="5124">
        <f t="shared" si="2"/>
        <v>43.151000000000003</v>
      </c>
      <c r="AO99" s="5125">
        <v>43.151000000000003</v>
      </c>
      <c r="AP99" s="5126">
        <f t="shared" si="3"/>
        <v>0</v>
      </c>
    </row>
    <row r="100" spans="1:42">
      <c r="A100" s="5121">
        <v>297</v>
      </c>
      <c r="B100" s="5122">
        <v>20</v>
      </c>
      <c r="C100" s="5123">
        <v>17.327999999999999</v>
      </c>
      <c r="D100" s="5123">
        <v>0</v>
      </c>
      <c r="E100" s="5123">
        <v>5.2</v>
      </c>
      <c r="F100" s="5123">
        <v>0</v>
      </c>
      <c r="G100" s="5123">
        <v>0</v>
      </c>
      <c r="H100" s="5123">
        <v>0</v>
      </c>
      <c r="I100" s="5123">
        <v>0</v>
      </c>
      <c r="J100" s="5123">
        <v>0</v>
      </c>
      <c r="K100" s="5123">
        <v>0</v>
      </c>
      <c r="L100" s="5123">
        <v>0</v>
      </c>
      <c r="M100" s="5123">
        <v>0</v>
      </c>
      <c r="N100" s="5123">
        <v>0</v>
      </c>
      <c r="O100" s="5123">
        <v>0</v>
      </c>
      <c r="P100" s="5123">
        <v>1</v>
      </c>
      <c r="Q100" s="5123">
        <v>0</v>
      </c>
      <c r="R100" s="5123">
        <v>0</v>
      </c>
      <c r="S100" s="5123">
        <v>0</v>
      </c>
      <c r="T100" s="5123">
        <v>0</v>
      </c>
      <c r="U100" s="5122">
        <v>20</v>
      </c>
      <c r="V100" s="5123">
        <v>21.295999999999999</v>
      </c>
      <c r="W100" s="5123">
        <v>0</v>
      </c>
      <c r="X100" s="5123">
        <v>2.9969999999999999</v>
      </c>
      <c r="Y100" s="5123">
        <v>0</v>
      </c>
      <c r="Z100" s="5123">
        <v>0</v>
      </c>
      <c r="AA100" s="5123">
        <v>0</v>
      </c>
      <c r="AB100" s="5123">
        <v>0</v>
      </c>
      <c r="AC100" s="5123">
        <v>0</v>
      </c>
      <c r="AD100" s="5123">
        <v>0</v>
      </c>
      <c r="AE100" s="5123">
        <v>0</v>
      </c>
      <c r="AF100" s="5123">
        <v>0</v>
      </c>
      <c r="AG100" s="5123">
        <v>0</v>
      </c>
      <c r="AH100" s="5123">
        <v>0</v>
      </c>
      <c r="AI100" s="5123">
        <v>1</v>
      </c>
      <c r="AJ100" s="5123">
        <v>0</v>
      </c>
      <c r="AK100" s="5123">
        <v>0</v>
      </c>
      <c r="AL100" s="5123">
        <v>0</v>
      </c>
      <c r="AM100" s="5123">
        <v>0</v>
      </c>
      <c r="AN100" s="5124">
        <f t="shared" si="2"/>
        <v>45.292999999999999</v>
      </c>
      <c r="AO100" s="5125">
        <v>45.292999999999999</v>
      </c>
      <c r="AP100" s="5126">
        <f t="shared" si="3"/>
        <v>0</v>
      </c>
    </row>
    <row r="101" spans="1:42">
      <c r="A101" s="5121">
        <v>298</v>
      </c>
      <c r="B101" s="5122">
        <v>20</v>
      </c>
      <c r="C101" s="5123">
        <v>20.018999999999998</v>
      </c>
      <c r="D101" s="5123">
        <v>0</v>
      </c>
      <c r="E101" s="5123">
        <v>8</v>
      </c>
      <c r="F101" s="5123">
        <v>0</v>
      </c>
      <c r="G101" s="5123">
        <v>0</v>
      </c>
      <c r="H101" s="5123">
        <v>0</v>
      </c>
      <c r="I101" s="5123">
        <v>0</v>
      </c>
      <c r="J101" s="5123">
        <v>0</v>
      </c>
      <c r="K101" s="5123">
        <v>0</v>
      </c>
      <c r="L101" s="5123">
        <v>0</v>
      </c>
      <c r="M101" s="5123">
        <v>0</v>
      </c>
      <c r="N101" s="5123">
        <v>0</v>
      </c>
      <c r="O101" s="5123">
        <v>0</v>
      </c>
      <c r="P101" s="5123">
        <v>0</v>
      </c>
      <c r="Q101" s="5123">
        <v>0</v>
      </c>
      <c r="R101" s="5123">
        <v>0</v>
      </c>
      <c r="S101" s="5123">
        <v>0</v>
      </c>
      <c r="T101" s="5123">
        <v>0</v>
      </c>
      <c r="U101" s="5122">
        <v>20</v>
      </c>
      <c r="V101" s="5123">
        <v>22.34</v>
      </c>
      <c r="W101" s="5123">
        <v>0</v>
      </c>
      <c r="X101" s="5123">
        <v>8</v>
      </c>
      <c r="Y101" s="5123">
        <v>0</v>
      </c>
      <c r="Z101" s="5123">
        <v>0</v>
      </c>
      <c r="AA101" s="5123">
        <v>0</v>
      </c>
      <c r="AB101" s="5123">
        <v>0</v>
      </c>
      <c r="AC101" s="5123">
        <v>0</v>
      </c>
      <c r="AD101" s="5123">
        <v>0</v>
      </c>
      <c r="AE101" s="5123">
        <v>0</v>
      </c>
      <c r="AF101" s="5123">
        <v>0</v>
      </c>
      <c r="AG101" s="5123">
        <v>0</v>
      </c>
      <c r="AH101" s="5123">
        <v>0</v>
      </c>
      <c r="AI101" s="5123">
        <v>0</v>
      </c>
      <c r="AJ101" s="5123">
        <v>0</v>
      </c>
      <c r="AK101" s="5123">
        <v>0</v>
      </c>
      <c r="AL101" s="5123">
        <v>0</v>
      </c>
      <c r="AM101" s="5123">
        <v>0</v>
      </c>
      <c r="AN101" s="5124">
        <f t="shared" si="2"/>
        <v>50.34</v>
      </c>
      <c r="AO101" s="5125">
        <v>50.34</v>
      </c>
      <c r="AP101" s="5126">
        <f t="shared" si="3"/>
        <v>0</v>
      </c>
    </row>
    <row r="102" spans="1:42">
      <c r="A102" s="5121">
        <v>299</v>
      </c>
      <c r="B102" s="5122">
        <v>20</v>
      </c>
      <c r="C102" s="5123">
        <v>16.768999999999998</v>
      </c>
      <c r="D102" s="5123">
        <v>0</v>
      </c>
      <c r="E102" s="5123">
        <v>3.895</v>
      </c>
      <c r="F102" s="5123">
        <v>0</v>
      </c>
      <c r="G102" s="5123">
        <v>0</v>
      </c>
      <c r="H102" s="5123">
        <v>0</v>
      </c>
      <c r="I102" s="5123">
        <v>0</v>
      </c>
      <c r="J102" s="5123">
        <v>0</v>
      </c>
      <c r="K102" s="5123">
        <v>0</v>
      </c>
      <c r="L102" s="5123">
        <v>0</v>
      </c>
      <c r="M102" s="5123">
        <v>0</v>
      </c>
      <c r="N102" s="5123">
        <v>0</v>
      </c>
      <c r="O102" s="5123">
        <v>0</v>
      </c>
      <c r="P102" s="5123">
        <v>0</v>
      </c>
      <c r="Q102" s="5123">
        <v>0</v>
      </c>
      <c r="R102" s="5123">
        <v>0</v>
      </c>
      <c r="S102" s="5123">
        <v>0</v>
      </c>
      <c r="T102" s="5123">
        <v>0</v>
      </c>
      <c r="U102" s="5122">
        <v>20</v>
      </c>
      <c r="V102" s="5123">
        <v>14.69</v>
      </c>
      <c r="W102" s="5123">
        <v>0</v>
      </c>
      <c r="X102" s="5123">
        <v>5</v>
      </c>
      <c r="Y102" s="5123">
        <v>0</v>
      </c>
      <c r="Z102" s="5123">
        <v>0</v>
      </c>
      <c r="AA102" s="5123">
        <v>0</v>
      </c>
      <c r="AB102" s="5123">
        <v>0</v>
      </c>
      <c r="AC102" s="5123">
        <v>0</v>
      </c>
      <c r="AD102" s="5123">
        <v>0</v>
      </c>
      <c r="AE102" s="5123">
        <v>0</v>
      </c>
      <c r="AF102" s="5123">
        <v>0</v>
      </c>
      <c r="AG102" s="5123">
        <v>0</v>
      </c>
      <c r="AH102" s="5123">
        <v>0</v>
      </c>
      <c r="AI102" s="5123">
        <v>0</v>
      </c>
      <c r="AJ102" s="5123">
        <v>0</v>
      </c>
      <c r="AK102" s="5123">
        <v>0</v>
      </c>
      <c r="AL102" s="5123">
        <v>0</v>
      </c>
      <c r="AM102" s="5123">
        <v>0</v>
      </c>
      <c r="AN102" s="5124">
        <f t="shared" si="2"/>
        <v>39.69</v>
      </c>
      <c r="AO102" s="5125">
        <v>39.69</v>
      </c>
      <c r="AP102" s="5126">
        <f t="shared" si="3"/>
        <v>0</v>
      </c>
    </row>
    <row r="103" spans="1:42">
      <c r="A103" s="5121">
        <v>300</v>
      </c>
      <c r="B103" s="5122">
        <v>20</v>
      </c>
      <c r="C103" s="5123">
        <v>18.315000000000001</v>
      </c>
      <c r="D103" s="5123">
        <v>0</v>
      </c>
      <c r="E103" s="5123">
        <v>8</v>
      </c>
      <c r="F103" s="5123">
        <v>0</v>
      </c>
      <c r="G103" s="5123">
        <v>0</v>
      </c>
      <c r="H103" s="5123">
        <v>0</v>
      </c>
      <c r="I103" s="5123">
        <v>0</v>
      </c>
      <c r="J103" s="5123">
        <v>0</v>
      </c>
      <c r="K103" s="5123">
        <v>0</v>
      </c>
      <c r="L103" s="5123">
        <v>0</v>
      </c>
      <c r="M103" s="5123">
        <v>0</v>
      </c>
      <c r="N103" s="5123">
        <v>0</v>
      </c>
      <c r="O103" s="5123">
        <v>0</v>
      </c>
      <c r="P103" s="5123">
        <v>1</v>
      </c>
      <c r="Q103" s="5123">
        <v>0</v>
      </c>
      <c r="R103" s="5123">
        <v>0</v>
      </c>
      <c r="S103" s="5123">
        <v>0</v>
      </c>
      <c r="T103" s="5123">
        <v>0</v>
      </c>
      <c r="U103" s="5122">
        <v>20</v>
      </c>
      <c r="V103" s="5123">
        <v>15.180999999999999</v>
      </c>
      <c r="W103" s="5123">
        <v>0</v>
      </c>
      <c r="X103" s="5123">
        <v>7.74</v>
      </c>
      <c r="Y103" s="5123">
        <v>0</v>
      </c>
      <c r="Z103" s="5123">
        <v>0</v>
      </c>
      <c r="AA103" s="5123">
        <v>0</v>
      </c>
      <c r="AB103" s="5123">
        <v>0</v>
      </c>
      <c r="AC103" s="5123">
        <v>0</v>
      </c>
      <c r="AD103" s="5123">
        <v>0</v>
      </c>
      <c r="AE103" s="5123">
        <v>0</v>
      </c>
      <c r="AF103" s="5123">
        <v>0</v>
      </c>
      <c r="AG103" s="5123">
        <v>0</v>
      </c>
      <c r="AH103" s="5123">
        <v>0</v>
      </c>
      <c r="AI103" s="5123">
        <v>0.96699999999999997</v>
      </c>
      <c r="AJ103" s="5123">
        <v>0</v>
      </c>
      <c r="AK103" s="5123">
        <v>0</v>
      </c>
      <c r="AL103" s="5123">
        <v>0</v>
      </c>
      <c r="AM103" s="5123">
        <v>0</v>
      </c>
      <c r="AN103" s="5124">
        <f t="shared" si="2"/>
        <v>43.887999999999998</v>
      </c>
      <c r="AO103" s="5125">
        <v>43.887999999999998</v>
      </c>
      <c r="AP103" s="5126">
        <f t="shared" si="3"/>
        <v>0</v>
      </c>
    </row>
    <row r="104" spans="1:42">
      <c r="A104" s="5121">
        <v>303</v>
      </c>
      <c r="B104" s="5122">
        <v>20</v>
      </c>
      <c r="C104" s="5123">
        <v>12.974</v>
      </c>
      <c r="D104" s="5123">
        <v>0</v>
      </c>
      <c r="E104" s="5123">
        <v>5.8090000000000002</v>
      </c>
      <c r="F104" s="5123">
        <v>0</v>
      </c>
      <c r="G104" s="5123">
        <v>0</v>
      </c>
      <c r="H104" s="5123">
        <v>0</v>
      </c>
      <c r="I104" s="5123">
        <v>0</v>
      </c>
      <c r="J104" s="5123">
        <v>0</v>
      </c>
      <c r="K104" s="5123">
        <v>0</v>
      </c>
      <c r="L104" s="5123">
        <v>0</v>
      </c>
      <c r="M104" s="5123">
        <v>0</v>
      </c>
      <c r="N104" s="5123">
        <v>0</v>
      </c>
      <c r="O104" s="5123">
        <v>0</v>
      </c>
      <c r="P104" s="5123">
        <v>2.4</v>
      </c>
      <c r="Q104" s="5123">
        <v>0.77900000000000003</v>
      </c>
      <c r="R104" s="5123">
        <v>0</v>
      </c>
      <c r="S104" s="5123">
        <v>0</v>
      </c>
      <c r="T104" s="5123">
        <v>0</v>
      </c>
      <c r="U104" s="5122">
        <v>20</v>
      </c>
      <c r="V104" s="5123">
        <v>12.693</v>
      </c>
      <c r="W104" s="5123">
        <v>0</v>
      </c>
      <c r="X104" s="5123">
        <v>7.891</v>
      </c>
      <c r="Y104" s="5123">
        <v>0</v>
      </c>
      <c r="Z104" s="5123">
        <v>0</v>
      </c>
      <c r="AA104" s="5123">
        <v>0</v>
      </c>
      <c r="AB104" s="5123">
        <v>0</v>
      </c>
      <c r="AC104" s="5123">
        <v>0</v>
      </c>
      <c r="AD104" s="5123">
        <v>0</v>
      </c>
      <c r="AE104" s="5123">
        <v>0</v>
      </c>
      <c r="AF104" s="5123">
        <v>0</v>
      </c>
      <c r="AG104" s="5123">
        <v>0</v>
      </c>
      <c r="AH104" s="5123">
        <v>0</v>
      </c>
      <c r="AI104" s="5123">
        <v>1.6839999999999999</v>
      </c>
      <c r="AJ104" s="5123">
        <v>0.49299999999999999</v>
      </c>
      <c r="AK104" s="5123">
        <v>0</v>
      </c>
      <c r="AL104" s="5123">
        <v>0</v>
      </c>
      <c r="AM104" s="5123">
        <v>0</v>
      </c>
      <c r="AN104" s="5124">
        <f t="shared" si="2"/>
        <v>42.761000000000003</v>
      </c>
      <c r="AO104" s="5125">
        <v>42.761000000000003</v>
      </c>
      <c r="AP104" s="5126">
        <f t="shared" si="3"/>
        <v>0</v>
      </c>
    </row>
    <row r="105" spans="1:42">
      <c r="A105" s="5121">
        <v>305</v>
      </c>
      <c r="B105" s="5122">
        <v>20</v>
      </c>
      <c r="C105" s="5123">
        <v>15.231</v>
      </c>
      <c r="D105" s="5123">
        <v>0.5</v>
      </c>
      <c r="E105" s="5123">
        <v>6.032</v>
      </c>
      <c r="F105" s="5123">
        <v>0</v>
      </c>
      <c r="G105" s="5123">
        <v>0</v>
      </c>
      <c r="H105" s="5123">
        <v>13.842000000000001</v>
      </c>
      <c r="I105" s="5123">
        <v>0</v>
      </c>
      <c r="J105" s="5123">
        <v>0</v>
      </c>
      <c r="K105" s="5123">
        <v>0</v>
      </c>
      <c r="L105" s="5123">
        <v>0</v>
      </c>
      <c r="M105" s="5123">
        <v>0</v>
      </c>
      <c r="N105" s="5123">
        <v>0</v>
      </c>
      <c r="O105" s="5123">
        <v>0</v>
      </c>
      <c r="P105" s="5123">
        <v>0</v>
      </c>
      <c r="Q105" s="5123">
        <v>0</v>
      </c>
      <c r="R105" s="5123">
        <v>0</v>
      </c>
      <c r="S105" s="5123">
        <v>0</v>
      </c>
      <c r="T105" s="5123">
        <v>0</v>
      </c>
      <c r="U105" s="5122">
        <v>20</v>
      </c>
      <c r="V105" s="5123">
        <v>17.917999999999999</v>
      </c>
      <c r="W105" s="5123">
        <v>0.5</v>
      </c>
      <c r="X105" s="5123">
        <v>6.0469999999999997</v>
      </c>
      <c r="Y105" s="5123">
        <v>0</v>
      </c>
      <c r="Z105" s="5123">
        <v>0</v>
      </c>
      <c r="AA105" s="5123">
        <v>11.654999999999999</v>
      </c>
      <c r="AB105" s="5123">
        <v>0</v>
      </c>
      <c r="AC105" s="5123">
        <v>0</v>
      </c>
      <c r="AD105" s="5123">
        <v>0</v>
      </c>
      <c r="AE105" s="5123">
        <v>0</v>
      </c>
      <c r="AF105" s="5123">
        <v>0</v>
      </c>
      <c r="AG105" s="5123">
        <v>0</v>
      </c>
      <c r="AH105" s="5123">
        <v>0</v>
      </c>
      <c r="AI105" s="5123">
        <v>0</v>
      </c>
      <c r="AJ105" s="5123">
        <v>0</v>
      </c>
      <c r="AK105" s="5123">
        <v>0</v>
      </c>
      <c r="AL105" s="5123">
        <v>0</v>
      </c>
      <c r="AM105" s="5123">
        <v>0</v>
      </c>
      <c r="AN105" s="5124">
        <f t="shared" si="2"/>
        <v>56.12</v>
      </c>
      <c r="AO105" s="5125">
        <v>56.12</v>
      </c>
      <c r="AP105" s="5126">
        <f t="shared" si="3"/>
        <v>0</v>
      </c>
    </row>
    <row r="106" spans="1:42">
      <c r="A106" s="5121">
        <v>306</v>
      </c>
      <c r="B106" s="5122">
        <v>20</v>
      </c>
      <c r="C106" s="5123">
        <v>20.483000000000001</v>
      </c>
      <c r="D106" s="5123">
        <v>0</v>
      </c>
      <c r="E106" s="5123">
        <v>4.9930000000000003</v>
      </c>
      <c r="F106" s="5123">
        <v>0</v>
      </c>
      <c r="G106" s="5123">
        <v>0</v>
      </c>
      <c r="H106" s="5123">
        <v>0</v>
      </c>
      <c r="I106" s="5123">
        <v>0</v>
      </c>
      <c r="J106" s="5123">
        <v>0</v>
      </c>
      <c r="K106" s="5123">
        <v>0</v>
      </c>
      <c r="L106" s="5123">
        <v>0</v>
      </c>
      <c r="M106" s="5123">
        <v>0</v>
      </c>
      <c r="N106" s="5123">
        <v>0</v>
      </c>
      <c r="O106" s="5123">
        <v>0</v>
      </c>
      <c r="P106" s="5123">
        <v>0</v>
      </c>
      <c r="Q106" s="5123">
        <v>0</v>
      </c>
      <c r="R106" s="5123">
        <v>0</v>
      </c>
      <c r="S106" s="5123">
        <v>0</v>
      </c>
      <c r="T106" s="5123">
        <v>0</v>
      </c>
      <c r="U106" s="5122">
        <v>20</v>
      </c>
      <c r="V106" s="5123">
        <v>19.716999999999999</v>
      </c>
      <c r="W106" s="5123">
        <v>0</v>
      </c>
      <c r="X106" s="5123">
        <v>7.9930000000000003</v>
      </c>
      <c r="Y106" s="5123">
        <v>0</v>
      </c>
      <c r="Z106" s="5123">
        <v>0</v>
      </c>
      <c r="AA106" s="5123">
        <v>0</v>
      </c>
      <c r="AB106" s="5123">
        <v>0</v>
      </c>
      <c r="AC106" s="5123">
        <v>0</v>
      </c>
      <c r="AD106" s="5123">
        <v>0</v>
      </c>
      <c r="AE106" s="5123">
        <v>0</v>
      </c>
      <c r="AF106" s="5123">
        <v>0</v>
      </c>
      <c r="AG106" s="5123">
        <v>0</v>
      </c>
      <c r="AH106" s="5123">
        <v>0</v>
      </c>
      <c r="AI106" s="5123">
        <v>0</v>
      </c>
      <c r="AJ106" s="5123">
        <v>0</v>
      </c>
      <c r="AK106" s="5123">
        <v>0</v>
      </c>
      <c r="AL106" s="5123">
        <v>0</v>
      </c>
      <c r="AM106" s="5123">
        <v>0</v>
      </c>
      <c r="AN106" s="5124">
        <f t="shared" si="2"/>
        <v>47.71</v>
      </c>
      <c r="AO106" s="5125">
        <v>47.71</v>
      </c>
      <c r="AP106" s="5126">
        <f t="shared" si="3"/>
        <v>0</v>
      </c>
    </row>
    <row r="107" spans="1:42">
      <c r="A107" s="5121">
        <v>307</v>
      </c>
      <c r="B107" s="5122">
        <v>20</v>
      </c>
      <c r="C107" s="5123">
        <v>17.312000000000001</v>
      </c>
      <c r="D107" s="5123">
        <v>0</v>
      </c>
      <c r="E107" s="5123">
        <v>3.9929999999999999</v>
      </c>
      <c r="F107" s="5123">
        <v>0</v>
      </c>
      <c r="G107" s="5123">
        <v>0</v>
      </c>
      <c r="H107" s="5123">
        <v>9.5020000000000007</v>
      </c>
      <c r="I107" s="5123">
        <v>0</v>
      </c>
      <c r="J107" s="5123">
        <v>0</v>
      </c>
      <c r="K107" s="5123">
        <v>0</v>
      </c>
      <c r="L107" s="5123">
        <v>0</v>
      </c>
      <c r="M107" s="5123">
        <v>0</v>
      </c>
      <c r="N107" s="5123">
        <v>0</v>
      </c>
      <c r="O107" s="5123">
        <v>0</v>
      </c>
      <c r="P107" s="5123">
        <v>0</v>
      </c>
      <c r="Q107" s="5123">
        <v>0</v>
      </c>
      <c r="R107" s="5123">
        <v>0</v>
      </c>
      <c r="S107" s="5123">
        <v>0</v>
      </c>
      <c r="T107" s="5123">
        <v>0</v>
      </c>
      <c r="U107" s="5122">
        <v>20</v>
      </c>
      <c r="V107" s="5123">
        <v>14.696</v>
      </c>
      <c r="W107" s="5123">
        <v>0</v>
      </c>
      <c r="X107" s="5123">
        <v>5.9889999999999999</v>
      </c>
      <c r="Y107" s="5123">
        <v>0</v>
      </c>
      <c r="Z107" s="5123">
        <v>0</v>
      </c>
      <c r="AA107" s="5123">
        <v>9.5030000000000001</v>
      </c>
      <c r="AB107" s="5123">
        <v>0</v>
      </c>
      <c r="AC107" s="5123">
        <v>0</v>
      </c>
      <c r="AD107" s="5123">
        <v>0</v>
      </c>
      <c r="AE107" s="5123">
        <v>0</v>
      </c>
      <c r="AF107" s="5123">
        <v>0</v>
      </c>
      <c r="AG107" s="5123">
        <v>0</v>
      </c>
      <c r="AH107" s="5123">
        <v>0</v>
      </c>
      <c r="AI107" s="5123">
        <v>0</v>
      </c>
      <c r="AJ107" s="5123">
        <v>0</v>
      </c>
      <c r="AK107" s="5123">
        <v>0</v>
      </c>
      <c r="AL107" s="5123">
        <v>0</v>
      </c>
      <c r="AM107" s="5123">
        <v>0</v>
      </c>
      <c r="AN107" s="5124">
        <f t="shared" si="2"/>
        <v>50.188000000000002</v>
      </c>
      <c r="AO107" s="5125">
        <v>50.188000000000002</v>
      </c>
      <c r="AP107" s="5126">
        <f t="shared" si="3"/>
        <v>0</v>
      </c>
    </row>
    <row r="108" spans="1:42">
      <c r="A108" s="5121">
        <v>308</v>
      </c>
      <c r="B108" s="5122">
        <v>20</v>
      </c>
      <c r="C108" s="5123">
        <v>13.419</v>
      </c>
      <c r="D108" s="5123">
        <v>0</v>
      </c>
      <c r="E108" s="5123">
        <v>3.9980000000000002</v>
      </c>
      <c r="F108" s="5123">
        <v>0</v>
      </c>
      <c r="G108" s="5123">
        <v>0</v>
      </c>
      <c r="H108" s="5123">
        <v>14.669</v>
      </c>
      <c r="I108" s="5123">
        <v>0</v>
      </c>
      <c r="J108" s="5123">
        <v>0</v>
      </c>
      <c r="K108" s="5123">
        <v>0</v>
      </c>
      <c r="L108" s="5123">
        <v>0</v>
      </c>
      <c r="M108" s="5123">
        <v>0</v>
      </c>
      <c r="N108" s="5123">
        <v>0</v>
      </c>
      <c r="O108" s="5123">
        <v>0</v>
      </c>
      <c r="P108" s="5123">
        <v>0</v>
      </c>
      <c r="Q108" s="5123">
        <v>0</v>
      </c>
      <c r="R108" s="5123">
        <v>0</v>
      </c>
      <c r="S108" s="5123">
        <v>0</v>
      </c>
      <c r="T108" s="5123">
        <v>0</v>
      </c>
      <c r="U108" s="5122">
        <v>20</v>
      </c>
      <c r="V108" s="5123">
        <v>17.446000000000002</v>
      </c>
      <c r="W108" s="5123">
        <v>0</v>
      </c>
      <c r="X108" s="5123">
        <v>3.964</v>
      </c>
      <c r="Y108" s="5123">
        <v>0</v>
      </c>
      <c r="Z108" s="5123">
        <v>0</v>
      </c>
      <c r="AA108" s="5123">
        <v>14.544</v>
      </c>
      <c r="AB108" s="5123">
        <v>0</v>
      </c>
      <c r="AC108" s="5123">
        <v>0</v>
      </c>
      <c r="AD108" s="5123">
        <v>0</v>
      </c>
      <c r="AE108" s="5123">
        <v>0</v>
      </c>
      <c r="AF108" s="5123">
        <v>0</v>
      </c>
      <c r="AG108" s="5123">
        <v>0</v>
      </c>
      <c r="AH108" s="5123">
        <v>0</v>
      </c>
      <c r="AI108" s="5123">
        <v>0</v>
      </c>
      <c r="AJ108" s="5123">
        <v>0</v>
      </c>
      <c r="AK108" s="5123">
        <v>0</v>
      </c>
      <c r="AL108" s="5123">
        <v>0</v>
      </c>
      <c r="AM108" s="5123">
        <v>0</v>
      </c>
      <c r="AN108" s="5124">
        <f t="shared" si="2"/>
        <v>55.954000000000001</v>
      </c>
      <c r="AO108" s="5125">
        <v>55.954000000000001</v>
      </c>
      <c r="AP108" s="5126">
        <f t="shared" si="3"/>
        <v>0</v>
      </c>
    </row>
    <row r="109" spans="1:42">
      <c r="A109" s="5121">
        <v>309</v>
      </c>
      <c r="B109" s="5122">
        <v>20</v>
      </c>
      <c r="C109" s="5123">
        <v>16.640999999999998</v>
      </c>
      <c r="D109" s="5123">
        <v>0</v>
      </c>
      <c r="E109" s="5123">
        <v>4</v>
      </c>
      <c r="F109" s="5123">
        <v>0</v>
      </c>
      <c r="G109" s="5123">
        <v>0</v>
      </c>
      <c r="H109" s="5123">
        <v>5.1719999999999997</v>
      </c>
      <c r="I109" s="5123">
        <v>0</v>
      </c>
      <c r="J109" s="5123">
        <v>0</v>
      </c>
      <c r="K109" s="5123">
        <v>0</v>
      </c>
      <c r="L109" s="5123">
        <v>0</v>
      </c>
      <c r="M109" s="5123">
        <v>0</v>
      </c>
      <c r="N109" s="5123">
        <v>0</v>
      </c>
      <c r="O109" s="5123">
        <v>0</v>
      </c>
      <c r="P109" s="5123">
        <v>0</v>
      </c>
      <c r="Q109" s="5123">
        <v>0</v>
      </c>
      <c r="R109" s="5123">
        <v>0</v>
      </c>
      <c r="S109" s="5123">
        <v>0</v>
      </c>
      <c r="T109" s="5123">
        <v>0</v>
      </c>
      <c r="U109" s="5122">
        <v>20</v>
      </c>
      <c r="V109" s="5123">
        <v>20.506</v>
      </c>
      <c r="W109" s="5123">
        <v>0</v>
      </c>
      <c r="X109" s="5123">
        <v>4</v>
      </c>
      <c r="Y109" s="5123">
        <v>0</v>
      </c>
      <c r="Z109" s="5123">
        <v>0</v>
      </c>
      <c r="AA109" s="5123">
        <v>3.984</v>
      </c>
      <c r="AB109" s="5123">
        <v>0</v>
      </c>
      <c r="AC109" s="5123">
        <v>0</v>
      </c>
      <c r="AD109" s="5123">
        <v>0</v>
      </c>
      <c r="AE109" s="5123">
        <v>0</v>
      </c>
      <c r="AF109" s="5123">
        <v>0</v>
      </c>
      <c r="AG109" s="5123">
        <v>0</v>
      </c>
      <c r="AH109" s="5123">
        <v>0</v>
      </c>
      <c r="AI109" s="5123">
        <v>0</v>
      </c>
      <c r="AJ109" s="5123">
        <v>0</v>
      </c>
      <c r="AK109" s="5123">
        <v>0</v>
      </c>
      <c r="AL109" s="5123">
        <v>0</v>
      </c>
      <c r="AM109" s="5123">
        <v>0</v>
      </c>
      <c r="AN109" s="5124">
        <f t="shared" si="2"/>
        <v>48.49</v>
      </c>
      <c r="AO109" s="5125">
        <v>48.49</v>
      </c>
      <c r="AP109" s="5126">
        <f t="shared" si="3"/>
        <v>0</v>
      </c>
    </row>
    <row r="110" spans="1:42">
      <c r="A110" s="5121">
        <v>310</v>
      </c>
      <c r="B110" s="5122">
        <v>20</v>
      </c>
      <c r="C110" s="5123">
        <v>19.323</v>
      </c>
      <c r="D110" s="5123">
        <v>0</v>
      </c>
      <c r="E110" s="5123">
        <v>7.7939999999999996</v>
      </c>
      <c r="F110" s="5123">
        <v>0</v>
      </c>
      <c r="G110" s="5123">
        <v>0</v>
      </c>
      <c r="H110" s="5123">
        <v>0</v>
      </c>
      <c r="I110" s="5123">
        <v>0</v>
      </c>
      <c r="J110" s="5123">
        <v>0</v>
      </c>
      <c r="K110" s="5123">
        <v>0</v>
      </c>
      <c r="L110" s="5123">
        <v>0</v>
      </c>
      <c r="M110" s="5123">
        <v>0</v>
      </c>
      <c r="N110" s="5123">
        <v>0</v>
      </c>
      <c r="O110" s="5123">
        <v>0</v>
      </c>
      <c r="P110" s="5123">
        <v>0</v>
      </c>
      <c r="Q110" s="5123">
        <v>0</v>
      </c>
      <c r="R110" s="5123">
        <v>0</v>
      </c>
      <c r="S110" s="5123">
        <v>0</v>
      </c>
      <c r="T110" s="5123">
        <v>0</v>
      </c>
      <c r="U110" s="5122">
        <v>20</v>
      </c>
      <c r="V110" s="5123">
        <v>19.344999999999999</v>
      </c>
      <c r="W110" s="5123">
        <v>0</v>
      </c>
      <c r="X110" s="5123">
        <v>7.899</v>
      </c>
      <c r="Y110" s="5123">
        <v>0</v>
      </c>
      <c r="Z110" s="5123">
        <v>0</v>
      </c>
      <c r="AA110" s="5123">
        <v>0</v>
      </c>
      <c r="AB110" s="5123">
        <v>0</v>
      </c>
      <c r="AC110" s="5123">
        <v>0</v>
      </c>
      <c r="AD110" s="5123">
        <v>0</v>
      </c>
      <c r="AE110" s="5123">
        <v>0</v>
      </c>
      <c r="AF110" s="5123">
        <v>0</v>
      </c>
      <c r="AG110" s="5123">
        <v>0</v>
      </c>
      <c r="AH110" s="5123">
        <v>0</v>
      </c>
      <c r="AI110" s="5123">
        <v>0</v>
      </c>
      <c r="AJ110" s="5123">
        <v>0</v>
      </c>
      <c r="AK110" s="5123">
        <v>0</v>
      </c>
      <c r="AL110" s="5123">
        <v>0</v>
      </c>
      <c r="AM110" s="5123">
        <v>0</v>
      </c>
      <c r="AN110" s="5124">
        <f t="shared" si="2"/>
        <v>47.244</v>
      </c>
      <c r="AO110" s="5125">
        <v>47.244</v>
      </c>
      <c r="AP110" s="5126">
        <f t="shared" si="3"/>
        <v>0</v>
      </c>
    </row>
    <row r="111" spans="1:42">
      <c r="A111" s="5121">
        <v>311</v>
      </c>
      <c r="B111" s="5122">
        <v>20</v>
      </c>
      <c r="C111" s="5123">
        <v>19.521999999999998</v>
      </c>
      <c r="D111" s="5123">
        <v>0</v>
      </c>
      <c r="E111" s="5123">
        <v>8</v>
      </c>
      <c r="F111" s="5123">
        <v>0</v>
      </c>
      <c r="G111" s="5123">
        <v>0</v>
      </c>
      <c r="H111" s="5123">
        <v>5.9989999999999997</v>
      </c>
      <c r="I111" s="5123">
        <v>0</v>
      </c>
      <c r="J111" s="5123">
        <v>0</v>
      </c>
      <c r="K111" s="5123">
        <v>0</v>
      </c>
      <c r="L111" s="5123">
        <v>0</v>
      </c>
      <c r="M111" s="5123">
        <v>0</v>
      </c>
      <c r="N111" s="5123">
        <v>0</v>
      </c>
      <c r="O111" s="5123">
        <v>0</v>
      </c>
      <c r="P111" s="5123">
        <v>1.9950000000000001</v>
      </c>
      <c r="Q111" s="5123">
        <v>0</v>
      </c>
      <c r="R111" s="5123">
        <v>0</v>
      </c>
      <c r="S111" s="5123">
        <v>0</v>
      </c>
      <c r="T111" s="5123">
        <v>0</v>
      </c>
      <c r="U111" s="5122">
        <v>20</v>
      </c>
      <c r="V111" s="5123">
        <v>21.39</v>
      </c>
      <c r="W111" s="5123">
        <v>0</v>
      </c>
      <c r="X111" s="5123">
        <v>7.9939999999999998</v>
      </c>
      <c r="Y111" s="5123">
        <v>0</v>
      </c>
      <c r="Z111" s="5123">
        <v>0</v>
      </c>
      <c r="AA111" s="5123">
        <v>5.4409999999999998</v>
      </c>
      <c r="AB111" s="5123">
        <v>0</v>
      </c>
      <c r="AC111" s="5123">
        <v>0</v>
      </c>
      <c r="AD111" s="5123">
        <v>0</v>
      </c>
      <c r="AE111" s="5123">
        <v>0</v>
      </c>
      <c r="AF111" s="5123">
        <v>0</v>
      </c>
      <c r="AG111" s="5123">
        <v>0</v>
      </c>
      <c r="AH111" s="5123">
        <v>0</v>
      </c>
      <c r="AI111" s="5123">
        <v>1.996</v>
      </c>
      <c r="AJ111" s="5123">
        <v>0</v>
      </c>
      <c r="AK111" s="5123">
        <v>0</v>
      </c>
      <c r="AL111" s="5123">
        <v>0</v>
      </c>
      <c r="AM111" s="5123">
        <v>0</v>
      </c>
      <c r="AN111" s="5124">
        <f t="shared" si="2"/>
        <v>56.820999999999998</v>
      </c>
      <c r="AO111" s="5125">
        <v>56.820999999999998</v>
      </c>
      <c r="AP111" s="5126">
        <f t="shared" si="3"/>
        <v>0</v>
      </c>
    </row>
    <row r="112" spans="1:42">
      <c r="A112" s="5121">
        <v>312</v>
      </c>
      <c r="B112" s="5122">
        <v>20</v>
      </c>
      <c r="C112" s="5123">
        <v>19.306000000000001</v>
      </c>
      <c r="D112" s="5123">
        <v>0</v>
      </c>
      <c r="E112" s="5123">
        <v>8</v>
      </c>
      <c r="F112" s="5123">
        <v>0</v>
      </c>
      <c r="G112" s="5123">
        <v>0</v>
      </c>
      <c r="H112" s="5123">
        <v>5.7220000000000004</v>
      </c>
      <c r="I112" s="5123">
        <v>0</v>
      </c>
      <c r="J112" s="5123">
        <v>0</v>
      </c>
      <c r="K112" s="5123">
        <v>0</v>
      </c>
      <c r="L112" s="5123">
        <v>0</v>
      </c>
      <c r="M112" s="5123">
        <v>0</v>
      </c>
      <c r="N112" s="5123">
        <v>0</v>
      </c>
      <c r="O112" s="5123">
        <v>0</v>
      </c>
      <c r="P112" s="5123">
        <v>0</v>
      </c>
      <c r="Q112" s="5123">
        <v>0</v>
      </c>
      <c r="R112" s="5123">
        <v>0</v>
      </c>
      <c r="S112" s="5123">
        <v>0</v>
      </c>
      <c r="T112" s="5123">
        <v>0</v>
      </c>
      <c r="U112" s="5122">
        <v>20</v>
      </c>
      <c r="V112" s="5123">
        <v>19.553999999999998</v>
      </c>
      <c r="W112" s="5123">
        <v>0</v>
      </c>
      <c r="X112" s="5123">
        <v>7.9950000000000001</v>
      </c>
      <c r="Y112" s="5123">
        <v>0</v>
      </c>
      <c r="Z112" s="5123">
        <v>0</v>
      </c>
      <c r="AA112" s="5123">
        <v>7.524</v>
      </c>
      <c r="AB112" s="5123">
        <v>0</v>
      </c>
      <c r="AC112" s="5123">
        <v>0</v>
      </c>
      <c r="AD112" s="5123">
        <v>0</v>
      </c>
      <c r="AE112" s="5123">
        <v>0</v>
      </c>
      <c r="AF112" s="5123">
        <v>0</v>
      </c>
      <c r="AG112" s="5123">
        <v>0</v>
      </c>
      <c r="AH112" s="5123">
        <v>0</v>
      </c>
      <c r="AI112" s="5123">
        <v>0</v>
      </c>
      <c r="AJ112" s="5123">
        <v>0</v>
      </c>
      <c r="AK112" s="5123">
        <v>0</v>
      </c>
      <c r="AL112" s="5123">
        <v>0</v>
      </c>
      <c r="AM112" s="5123">
        <v>0</v>
      </c>
      <c r="AN112" s="5124">
        <f t="shared" si="2"/>
        <v>55.073</v>
      </c>
      <c r="AO112" s="5125">
        <v>55.073</v>
      </c>
      <c r="AP112" s="5126">
        <f t="shared" si="3"/>
        <v>0</v>
      </c>
    </row>
    <row r="113" spans="1:42">
      <c r="A113" s="5121">
        <v>313</v>
      </c>
      <c r="B113" s="5122">
        <v>20</v>
      </c>
      <c r="C113" s="5123">
        <v>14.536</v>
      </c>
      <c r="D113" s="5123">
        <v>0</v>
      </c>
      <c r="E113" s="5123">
        <v>8</v>
      </c>
      <c r="F113" s="5123">
        <v>0</v>
      </c>
      <c r="G113" s="5123">
        <v>0</v>
      </c>
      <c r="H113" s="5123">
        <v>12.755000000000001</v>
      </c>
      <c r="I113" s="5123">
        <v>0</v>
      </c>
      <c r="J113" s="5123">
        <v>0</v>
      </c>
      <c r="K113" s="5123">
        <v>0</v>
      </c>
      <c r="L113" s="5123">
        <v>0</v>
      </c>
      <c r="M113" s="5123">
        <v>0</v>
      </c>
      <c r="N113" s="5123">
        <v>0</v>
      </c>
      <c r="O113" s="5123">
        <v>0</v>
      </c>
      <c r="P113" s="5123">
        <v>0</v>
      </c>
      <c r="Q113" s="5123">
        <v>0</v>
      </c>
      <c r="R113" s="5123">
        <v>0</v>
      </c>
      <c r="S113" s="5123">
        <v>0</v>
      </c>
      <c r="T113" s="5123">
        <v>0</v>
      </c>
      <c r="U113" s="5122">
        <v>20</v>
      </c>
      <c r="V113" s="5123">
        <v>19.026</v>
      </c>
      <c r="W113" s="5123">
        <v>0</v>
      </c>
      <c r="X113" s="5123">
        <v>8</v>
      </c>
      <c r="Y113" s="5123">
        <v>0</v>
      </c>
      <c r="Z113" s="5123">
        <v>0</v>
      </c>
      <c r="AA113" s="5123">
        <v>12.742000000000001</v>
      </c>
      <c r="AB113" s="5123">
        <v>0</v>
      </c>
      <c r="AC113" s="5123">
        <v>0</v>
      </c>
      <c r="AD113" s="5123">
        <v>0</v>
      </c>
      <c r="AE113" s="5123">
        <v>0</v>
      </c>
      <c r="AF113" s="5123">
        <v>0</v>
      </c>
      <c r="AG113" s="5123">
        <v>0</v>
      </c>
      <c r="AH113" s="5123">
        <v>0</v>
      </c>
      <c r="AI113" s="5123">
        <v>0</v>
      </c>
      <c r="AJ113" s="5123">
        <v>0</v>
      </c>
      <c r="AK113" s="5123">
        <v>0</v>
      </c>
      <c r="AL113" s="5123">
        <v>0</v>
      </c>
      <c r="AM113" s="5123">
        <v>0</v>
      </c>
      <c r="AN113" s="5124">
        <f t="shared" si="2"/>
        <v>59.768000000000001</v>
      </c>
      <c r="AO113" s="5125">
        <v>59.768000000000001</v>
      </c>
      <c r="AP113" s="5126">
        <f t="shared" si="3"/>
        <v>0</v>
      </c>
    </row>
    <row r="114" spans="1:42">
      <c r="A114" s="5121">
        <v>314</v>
      </c>
      <c r="B114" s="5122">
        <v>20</v>
      </c>
      <c r="C114" s="5123">
        <v>22.33</v>
      </c>
      <c r="D114" s="5123">
        <v>0</v>
      </c>
      <c r="E114" s="5123">
        <v>8</v>
      </c>
      <c r="F114" s="5123">
        <v>0</v>
      </c>
      <c r="G114" s="5123">
        <v>0</v>
      </c>
      <c r="H114" s="5123">
        <v>0</v>
      </c>
      <c r="I114" s="5123">
        <v>0</v>
      </c>
      <c r="J114" s="5123">
        <v>0</v>
      </c>
      <c r="K114" s="5123">
        <v>0</v>
      </c>
      <c r="L114" s="5123">
        <v>0</v>
      </c>
      <c r="M114" s="5123">
        <v>0</v>
      </c>
      <c r="N114" s="5123">
        <v>0</v>
      </c>
      <c r="O114" s="5123">
        <v>0</v>
      </c>
      <c r="P114" s="5123">
        <v>1</v>
      </c>
      <c r="Q114" s="5123">
        <v>0</v>
      </c>
      <c r="R114" s="5123">
        <v>0</v>
      </c>
      <c r="S114" s="5123">
        <v>0</v>
      </c>
      <c r="T114" s="5123">
        <v>0</v>
      </c>
      <c r="U114" s="5122">
        <v>20</v>
      </c>
      <c r="V114" s="5123">
        <v>22.027999999999999</v>
      </c>
      <c r="W114" s="5123">
        <v>0</v>
      </c>
      <c r="X114" s="5123">
        <v>5</v>
      </c>
      <c r="Y114" s="5123">
        <v>0</v>
      </c>
      <c r="Z114" s="5123">
        <v>0</v>
      </c>
      <c r="AA114" s="5123">
        <v>0</v>
      </c>
      <c r="AB114" s="5123">
        <v>0</v>
      </c>
      <c r="AC114" s="5123">
        <v>0</v>
      </c>
      <c r="AD114" s="5123">
        <v>0</v>
      </c>
      <c r="AE114" s="5123">
        <v>0</v>
      </c>
      <c r="AF114" s="5123">
        <v>0</v>
      </c>
      <c r="AG114" s="5123">
        <v>0</v>
      </c>
      <c r="AH114" s="5123">
        <v>0</v>
      </c>
      <c r="AI114" s="5123">
        <v>1</v>
      </c>
      <c r="AJ114" s="5123">
        <v>0</v>
      </c>
      <c r="AK114" s="5123">
        <v>0</v>
      </c>
      <c r="AL114" s="5123">
        <v>0</v>
      </c>
      <c r="AM114" s="5123">
        <v>0</v>
      </c>
      <c r="AN114" s="5124">
        <f t="shared" si="2"/>
        <v>48.027999999999999</v>
      </c>
      <c r="AO114" s="5125">
        <v>48.027999999999999</v>
      </c>
      <c r="AP114" s="5126">
        <f t="shared" si="3"/>
        <v>0</v>
      </c>
    </row>
    <row r="115" spans="1:42">
      <c r="A115" s="5121">
        <v>315</v>
      </c>
      <c r="B115" s="5122">
        <v>20</v>
      </c>
      <c r="C115" s="5123">
        <v>17.332999999999998</v>
      </c>
      <c r="D115" s="5123">
        <v>0</v>
      </c>
      <c r="E115" s="5123">
        <v>8</v>
      </c>
      <c r="F115" s="5123">
        <v>0</v>
      </c>
      <c r="G115" s="5123">
        <v>0</v>
      </c>
      <c r="H115" s="5123">
        <v>0</v>
      </c>
      <c r="I115" s="5123">
        <v>0</v>
      </c>
      <c r="J115" s="5123">
        <v>0</v>
      </c>
      <c r="K115" s="5123">
        <v>0</v>
      </c>
      <c r="L115" s="5123">
        <v>0</v>
      </c>
      <c r="M115" s="5123">
        <v>0</v>
      </c>
      <c r="N115" s="5123">
        <v>0</v>
      </c>
      <c r="O115" s="5123">
        <v>0</v>
      </c>
      <c r="P115" s="5123">
        <v>0</v>
      </c>
      <c r="Q115" s="5123">
        <v>0</v>
      </c>
      <c r="R115" s="5123">
        <v>0</v>
      </c>
      <c r="S115" s="5123">
        <v>0</v>
      </c>
      <c r="T115" s="5123">
        <v>0</v>
      </c>
      <c r="U115" s="5122">
        <v>20</v>
      </c>
      <c r="V115" s="5123">
        <v>17.248000000000001</v>
      </c>
      <c r="W115" s="5123">
        <v>0</v>
      </c>
      <c r="X115" s="5123">
        <v>8</v>
      </c>
      <c r="Y115" s="5123">
        <v>0</v>
      </c>
      <c r="Z115" s="5123">
        <v>0</v>
      </c>
      <c r="AA115" s="5123">
        <v>0</v>
      </c>
      <c r="AB115" s="5123">
        <v>0</v>
      </c>
      <c r="AC115" s="5123">
        <v>0</v>
      </c>
      <c r="AD115" s="5123">
        <v>0</v>
      </c>
      <c r="AE115" s="5123">
        <v>0</v>
      </c>
      <c r="AF115" s="5123">
        <v>0</v>
      </c>
      <c r="AG115" s="5123">
        <v>0</v>
      </c>
      <c r="AH115" s="5123">
        <v>0</v>
      </c>
      <c r="AI115" s="5123">
        <v>0</v>
      </c>
      <c r="AJ115" s="5123">
        <v>0</v>
      </c>
      <c r="AK115" s="5123">
        <v>0</v>
      </c>
      <c r="AL115" s="5123">
        <v>0</v>
      </c>
      <c r="AM115" s="5123">
        <v>0</v>
      </c>
      <c r="AN115" s="5124">
        <f t="shared" si="2"/>
        <v>45.247999999999998</v>
      </c>
      <c r="AO115" s="5125">
        <v>45.247999999999998</v>
      </c>
      <c r="AP115" s="5126">
        <f t="shared" si="3"/>
        <v>0</v>
      </c>
    </row>
    <row r="116" spans="1:42">
      <c r="A116" s="5121">
        <v>316</v>
      </c>
      <c r="B116" s="5122">
        <v>20</v>
      </c>
      <c r="C116" s="5123">
        <v>28.032</v>
      </c>
      <c r="D116" s="5123">
        <v>0</v>
      </c>
      <c r="E116" s="5123">
        <v>0</v>
      </c>
      <c r="F116" s="5123">
        <v>0</v>
      </c>
      <c r="G116" s="5123">
        <v>0</v>
      </c>
      <c r="H116" s="5123">
        <v>0</v>
      </c>
      <c r="I116" s="5123">
        <v>0</v>
      </c>
      <c r="J116" s="5123">
        <v>0</v>
      </c>
      <c r="K116" s="5123">
        <v>0</v>
      </c>
      <c r="L116" s="5123">
        <v>0</v>
      </c>
      <c r="M116" s="5123">
        <v>0</v>
      </c>
      <c r="N116" s="5123">
        <v>0</v>
      </c>
      <c r="O116" s="5123">
        <v>0</v>
      </c>
      <c r="P116" s="5123">
        <v>0</v>
      </c>
      <c r="Q116" s="5123">
        <v>0</v>
      </c>
      <c r="R116" s="5123">
        <v>0</v>
      </c>
      <c r="S116" s="5123">
        <v>0</v>
      </c>
      <c r="T116" s="5123">
        <v>0</v>
      </c>
      <c r="U116" s="5122">
        <v>20</v>
      </c>
      <c r="V116" s="5123">
        <v>20.963000000000001</v>
      </c>
      <c r="W116" s="5123">
        <v>0</v>
      </c>
      <c r="X116" s="5123">
        <v>0</v>
      </c>
      <c r="Y116" s="5123">
        <v>0</v>
      </c>
      <c r="Z116" s="5123">
        <v>0</v>
      </c>
      <c r="AA116" s="5123">
        <v>0</v>
      </c>
      <c r="AB116" s="5123">
        <v>0</v>
      </c>
      <c r="AC116" s="5123">
        <v>0</v>
      </c>
      <c r="AD116" s="5123">
        <v>0</v>
      </c>
      <c r="AE116" s="5123">
        <v>0</v>
      </c>
      <c r="AF116" s="5123">
        <v>0</v>
      </c>
      <c r="AG116" s="5123">
        <v>0</v>
      </c>
      <c r="AH116" s="5123">
        <v>0</v>
      </c>
      <c r="AI116" s="5123">
        <v>0</v>
      </c>
      <c r="AJ116" s="5123">
        <v>0</v>
      </c>
      <c r="AK116" s="5123">
        <v>0</v>
      </c>
      <c r="AL116" s="5123">
        <v>0</v>
      </c>
      <c r="AM116" s="5123">
        <v>0</v>
      </c>
      <c r="AN116" s="5124">
        <f t="shared" si="2"/>
        <v>40.963000000000001</v>
      </c>
      <c r="AO116" s="5125">
        <v>40.963000000000001</v>
      </c>
      <c r="AP116" s="5126">
        <f t="shared" si="3"/>
        <v>0</v>
      </c>
    </row>
    <row r="117" spans="1:42">
      <c r="A117" s="5121">
        <v>320</v>
      </c>
      <c r="B117" s="5122">
        <v>20</v>
      </c>
      <c r="C117" s="5123">
        <v>13.436999999999999</v>
      </c>
      <c r="D117" s="5123">
        <v>0</v>
      </c>
      <c r="E117" s="5123">
        <v>4</v>
      </c>
      <c r="F117" s="5123">
        <v>0</v>
      </c>
      <c r="G117" s="5123">
        <v>0</v>
      </c>
      <c r="H117" s="5123">
        <v>16.007000000000001</v>
      </c>
      <c r="I117" s="5123">
        <v>0</v>
      </c>
      <c r="J117" s="5123">
        <v>0</v>
      </c>
      <c r="K117" s="5123">
        <v>0</v>
      </c>
      <c r="L117" s="5123">
        <v>0</v>
      </c>
      <c r="M117" s="5123">
        <v>0</v>
      </c>
      <c r="N117" s="5123">
        <v>0</v>
      </c>
      <c r="O117" s="5123">
        <v>0</v>
      </c>
      <c r="P117" s="5123">
        <v>0</v>
      </c>
      <c r="Q117" s="5123">
        <v>0</v>
      </c>
      <c r="R117" s="5123">
        <v>0</v>
      </c>
      <c r="S117" s="5123">
        <v>0</v>
      </c>
      <c r="T117" s="5123">
        <v>0</v>
      </c>
      <c r="U117" s="5122">
        <v>20</v>
      </c>
      <c r="V117" s="5123">
        <v>15.443</v>
      </c>
      <c r="W117" s="5123">
        <v>0</v>
      </c>
      <c r="X117" s="5123">
        <v>4</v>
      </c>
      <c r="Y117" s="5123">
        <v>0</v>
      </c>
      <c r="Z117" s="5123">
        <v>0</v>
      </c>
      <c r="AA117" s="5123">
        <v>16.001999999999999</v>
      </c>
      <c r="AB117" s="5123">
        <v>0</v>
      </c>
      <c r="AC117" s="5123">
        <v>0</v>
      </c>
      <c r="AD117" s="5123">
        <v>0</v>
      </c>
      <c r="AE117" s="5123">
        <v>0</v>
      </c>
      <c r="AF117" s="5123">
        <v>0</v>
      </c>
      <c r="AG117" s="5123">
        <v>0</v>
      </c>
      <c r="AH117" s="5123">
        <v>0</v>
      </c>
      <c r="AI117" s="5123">
        <v>0</v>
      </c>
      <c r="AJ117" s="5123">
        <v>0</v>
      </c>
      <c r="AK117" s="5123">
        <v>0</v>
      </c>
      <c r="AL117" s="5123">
        <v>0</v>
      </c>
      <c r="AM117" s="5123">
        <v>0</v>
      </c>
      <c r="AN117" s="5124">
        <f t="shared" si="2"/>
        <v>55.445</v>
      </c>
      <c r="AO117" s="5125">
        <v>55.445</v>
      </c>
      <c r="AP117" s="5126">
        <f t="shared" si="3"/>
        <v>0</v>
      </c>
    </row>
    <row r="118" spans="1:42">
      <c r="A118" s="5121">
        <v>321</v>
      </c>
      <c r="B118" s="5122">
        <v>20</v>
      </c>
      <c r="C118" s="5123">
        <v>8.4879999999999995</v>
      </c>
      <c r="D118" s="5123">
        <v>0</v>
      </c>
      <c r="E118" s="5123">
        <v>7.9989999999999997</v>
      </c>
      <c r="F118" s="5123">
        <v>0</v>
      </c>
      <c r="G118" s="5123">
        <v>0</v>
      </c>
      <c r="H118" s="5123">
        <v>0</v>
      </c>
      <c r="I118" s="5123">
        <v>0</v>
      </c>
      <c r="J118" s="5123">
        <v>0</v>
      </c>
      <c r="K118" s="5123">
        <v>0</v>
      </c>
      <c r="L118" s="5123">
        <v>0</v>
      </c>
      <c r="M118" s="5123">
        <v>0</v>
      </c>
      <c r="N118" s="5123">
        <v>0</v>
      </c>
      <c r="O118" s="5123">
        <v>0</v>
      </c>
      <c r="P118" s="5123">
        <v>0</v>
      </c>
      <c r="Q118" s="5123">
        <v>0</v>
      </c>
      <c r="R118" s="5123">
        <v>0</v>
      </c>
      <c r="S118" s="5123">
        <v>0</v>
      </c>
      <c r="T118" s="5123">
        <v>0</v>
      </c>
      <c r="U118" s="5122">
        <v>20</v>
      </c>
      <c r="V118" s="5123">
        <v>8.5</v>
      </c>
      <c r="W118" s="5123">
        <v>0</v>
      </c>
      <c r="X118" s="5123">
        <v>8</v>
      </c>
      <c r="Y118" s="5123">
        <v>0</v>
      </c>
      <c r="Z118" s="5123">
        <v>0</v>
      </c>
      <c r="AA118" s="5123">
        <v>0</v>
      </c>
      <c r="AB118" s="5123">
        <v>0</v>
      </c>
      <c r="AC118" s="5123">
        <v>0</v>
      </c>
      <c r="AD118" s="5123">
        <v>0</v>
      </c>
      <c r="AE118" s="5123">
        <v>0</v>
      </c>
      <c r="AF118" s="5123">
        <v>0</v>
      </c>
      <c r="AG118" s="5123">
        <v>0</v>
      </c>
      <c r="AH118" s="5123">
        <v>0</v>
      </c>
      <c r="AI118" s="5123">
        <v>0</v>
      </c>
      <c r="AJ118" s="5123">
        <v>0</v>
      </c>
      <c r="AK118" s="5123">
        <v>0</v>
      </c>
      <c r="AL118" s="5123">
        <v>0</v>
      </c>
      <c r="AM118" s="5123">
        <v>0</v>
      </c>
      <c r="AN118" s="5124">
        <f t="shared" si="2"/>
        <v>36.5</v>
      </c>
      <c r="AO118" s="5125">
        <v>36.5</v>
      </c>
      <c r="AP118" s="5126">
        <f t="shared" si="3"/>
        <v>0</v>
      </c>
    </row>
    <row r="119" spans="1:42">
      <c r="A119" s="5121">
        <v>322</v>
      </c>
      <c r="B119" s="5122">
        <v>20</v>
      </c>
      <c r="C119" s="5123">
        <v>19.14</v>
      </c>
      <c r="D119" s="5123">
        <v>0</v>
      </c>
      <c r="E119" s="5123">
        <v>4</v>
      </c>
      <c r="F119" s="5123">
        <v>0</v>
      </c>
      <c r="G119" s="5123">
        <v>0</v>
      </c>
      <c r="H119" s="5123">
        <v>0</v>
      </c>
      <c r="I119" s="5123">
        <v>0</v>
      </c>
      <c r="J119" s="5123">
        <v>0</v>
      </c>
      <c r="K119" s="5123">
        <v>0</v>
      </c>
      <c r="L119" s="5123">
        <v>0</v>
      </c>
      <c r="M119" s="5123">
        <v>0</v>
      </c>
      <c r="N119" s="5123">
        <v>0</v>
      </c>
      <c r="O119" s="5123">
        <v>0</v>
      </c>
      <c r="P119" s="5123">
        <v>0</v>
      </c>
      <c r="Q119" s="5123">
        <v>0</v>
      </c>
      <c r="R119" s="5123">
        <v>0</v>
      </c>
      <c r="S119" s="5123">
        <v>0</v>
      </c>
      <c r="T119" s="5123">
        <v>0</v>
      </c>
      <c r="U119" s="5122">
        <v>20</v>
      </c>
      <c r="V119" s="5123">
        <v>21.744</v>
      </c>
      <c r="W119" s="5123">
        <v>0</v>
      </c>
      <c r="X119" s="5123">
        <v>7.9950000000000001</v>
      </c>
      <c r="Y119" s="5123">
        <v>0</v>
      </c>
      <c r="Z119" s="5123">
        <v>0</v>
      </c>
      <c r="AA119" s="5123">
        <v>0</v>
      </c>
      <c r="AB119" s="5123">
        <v>0</v>
      </c>
      <c r="AC119" s="5123">
        <v>0</v>
      </c>
      <c r="AD119" s="5123">
        <v>0</v>
      </c>
      <c r="AE119" s="5123">
        <v>0</v>
      </c>
      <c r="AF119" s="5123">
        <v>0</v>
      </c>
      <c r="AG119" s="5123">
        <v>0</v>
      </c>
      <c r="AH119" s="5123">
        <v>0</v>
      </c>
      <c r="AI119" s="5123">
        <v>0</v>
      </c>
      <c r="AJ119" s="5123">
        <v>0</v>
      </c>
      <c r="AK119" s="5123">
        <v>0</v>
      </c>
      <c r="AL119" s="5123">
        <v>0</v>
      </c>
      <c r="AM119" s="5123">
        <v>0</v>
      </c>
      <c r="AN119" s="5124">
        <f t="shared" si="2"/>
        <v>49.738999999999997</v>
      </c>
      <c r="AO119" s="5125">
        <v>49.738999999999997</v>
      </c>
      <c r="AP119" s="5126">
        <f t="shared" si="3"/>
        <v>0</v>
      </c>
    </row>
    <row r="120" spans="1:42">
      <c r="A120" s="5121">
        <v>323</v>
      </c>
      <c r="B120" s="5122">
        <v>20</v>
      </c>
      <c r="C120" s="5123">
        <v>16.216999999999999</v>
      </c>
      <c r="D120" s="5123">
        <v>0</v>
      </c>
      <c r="E120" s="5123">
        <v>0</v>
      </c>
      <c r="F120" s="5123">
        <v>0</v>
      </c>
      <c r="G120" s="5123">
        <v>0</v>
      </c>
      <c r="H120" s="5123">
        <v>11.779</v>
      </c>
      <c r="I120" s="5123">
        <v>0</v>
      </c>
      <c r="J120" s="5123">
        <v>0</v>
      </c>
      <c r="K120" s="5123">
        <v>0</v>
      </c>
      <c r="L120" s="5123">
        <v>0</v>
      </c>
      <c r="M120" s="5123">
        <v>0</v>
      </c>
      <c r="N120" s="5123">
        <v>0</v>
      </c>
      <c r="O120" s="5123">
        <v>0</v>
      </c>
      <c r="P120" s="5123">
        <v>0</v>
      </c>
      <c r="Q120" s="5123">
        <v>0</v>
      </c>
      <c r="R120" s="5123">
        <v>0</v>
      </c>
      <c r="S120" s="5123">
        <v>0</v>
      </c>
      <c r="T120" s="5123">
        <v>0</v>
      </c>
      <c r="U120" s="5122">
        <v>20</v>
      </c>
      <c r="V120" s="5123">
        <v>17.640999999999998</v>
      </c>
      <c r="W120" s="5123">
        <v>0</v>
      </c>
      <c r="X120" s="5123">
        <v>0</v>
      </c>
      <c r="Y120" s="5123">
        <v>0</v>
      </c>
      <c r="Z120" s="5123">
        <v>0</v>
      </c>
      <c r="AA120" s="5123">
        <v>10.397</v>
      </c>
      <c r="AB120" s="5123">
        <v>0</v>
      </c>
      <c r="AC120" s="5123">
        <v>0</v>
      </c>
      <c r="AD120" s="5123">
        <v>0</v>
      </c>
      <c r="AE120" s="5123">
        <v>0</v>
      </c>
      <c r="AF120" s="5123">
        <v>0</v>
      </c>
      <c r="AG120" s="5123">
        <v>0</v>
      </c>
      <c r="AH120" s="5123">
        <v>0</v>
      </c>
      <c r="AI120" s="5123">
        <v>0</v>
      </c>
      <c r="AJ120" s="5123">
        <v>0</v>
      </c>
      <c r="AK120" s="5123">
        <v>0</v>
      </c>
      <c r="AL120" s="5123">
        <v>0</v>
      </c>
      <c r="AM120" s="5123">
        <v>0</v>
      </c>
      <c r="AN120" s="5124">
        <f t="shared" si="2"/>
        <v>48.037999999999997</v>
      </c>
      <c r="AO120" s="5125">
        <v>48.037999999999997</v>
      </c>
      <c r="AP120" s="5126">
        <f t="shared" si="3"/>
        <v>0</v>
      </c>
    </row>
    <row r="121" spans="1:42">
      <c r="A121" s="5121">
        <v>325</v>
      </c>
      <c r="B121" s="5122">
        <v>20</v>
      </c>
      <c r="C121" s="5123">
        <v>17.853999999999999</v>
      </c>
      <c r="D121" s="5123">
        <v>0</v>
      </c>
      <c r="E121" s="5123">
        <v>5</v>
      </c>
      <c r="F121" s="5123">
        <v>0</v>
      </c>
      <c r="G121" s="5123">
        <v>0</v>
      </c>
      <c r="H121" s="5123">
        <v>0</v>
      </c>
      <c r="I121" s="5123">
        <v>0</v>
      </c>
      <c r="J121" s="5123">
        <v>0</v>
      </c>
      <c r="K121" s="5123">
        <v>0</v>
      </c>
      <c r="L121" s="5123">
        <v>0</v>
      </c>
      <c r="M121" s="5123">
        <v>0</v>
      </c>
      <c r="N121" s="5123">
        <v>0</v>
      </c>
      <c r="O121" s="5123">
        <v>0</v>
      </c>
      <c r="P121" s="5123">
        <v>0</v>
      </c>
      <c r="Q121" s="5123">
        <v>0</v>
      </c>
      <c r="R121" s="5123">
        <v>0</v>
      </c>
      <c r="S121" s="5123">
        <v>0</v>
      </c>
      <c r="T121" s="5123">
        <v>0</v>
      </c>
      <c r="U121" s="5122">
        <v>20</v>
      </c>
      <c r="V121" s="5123">
        <v>18.739999999999998</v>
      </c>
      <c r="W121" s="5123">
        <v>0</v>
      </c>
      <c r="X121" s="5123">
        <v>4.9779999999999998</v>
      </c>
      <c r="Y121" s="5123">
        <v>0</v>
      </c>
      <c r="Z121" s="5123">
        <v>0</v>
      </c>
      <c r="AA121" s="5123">
        <v>0</v>
      </c>
      <c r="AB121" s="5123">
        <v>0</v>
      </c>
      <c r="AC121" s="5123">
        <v>0</v>
      </c>
      <c r="AD121" s="5123">
        <v>0</v>
      </c>
      <c r="AE121" s="5123">
        <v>0</v>
      </c>
      <c r="AF121" s="5123">
        <v>0</v>
      </c>
      <c r="AG121" s="5123">
        <v>0</v>
      </c>
      <c r="AH121" s="5123">
        <v>0</v>
      </c>
      <c r="AI121" s="5123">
        <v>0</v>
      </c>
      <c r="AJ121" s="5123">
        <v>0</v>
      </c>
      <c r="AK121" s="5123">
        <v>0</v>
      </c>
      <c r="AL121" s="5123">
        <v>0</v>
      </c>
      <c r="AM121" s="5123">
        <v>0</v>
      </c>
      <c r="AN121" s="5124">
        <f t="shared" si="2"/>
        <v>43.718000000000004</v>
      </c>
      <c r="AO121" s="5125">
        <v>43.718000000000004</v>
      </c>
      <c r="AP121" s="5126">
        <f t="shared" si="3"/>
        <v>0</v>
      </c>
    </row>
    <row r="122" spans="1:42">
      <c r="A122" s="5121">
        <v>326</v>
      </c>
      <c r="B122" s="5122">
        <v>20</v>
      </c>
      <c r="C122" s="5123">
        <v>27.951000000000001</v>
      </c>
      <c r="D122" s="5123">
        <v>0</v>
      </c>
      <c r="E122" s="5123">
        <v>1.9990000000000001</v>
      </c>
      <c r="F122" s="5123">
        <v>0</v>
      </c>
      <c r="G122" s="5123">
        <v>0</v>
      </c>
      <c r="H122" s="5123">
        <v>0</v>
      </c>
      <c r="I122" s="5123">
        <v>0</v>
      </c>
      <c r="J122" s="5123">
        <v>0</v>
      </c>
      <c r="K122" s="5123">
        <v>0</v>
      </c>
      <c r="L122" s="5123">
        <v>0</v>
      </c>
      <c r="M122" s="5123">
        <v>0</v>
      </c>
      <c r="N122" s="5123">
        <v>0</v>
      </c>
      <c r="O122" s="5123">
        <v>0</v>
      </c>
      <c r="P122" s="5123">
        <v>0</v>
      </c>
      <c r="Q122" s="5123">
        <v>0</v>
      </c>
      <c r="R122" s="5123">
        <v>0</v>
      </c>
      <c r="S122" s="5123">
        <v>0</v>
      </c>
      <c r="T122" s="5123">
        <v>0</v>
      </c>
      <c r="U122" s="5122">
        <v>20</v>
      </c>
      <c r="V122" s="5123">
        <v>29.698</v>
      </c>
      <c r="W122" s="5123">
        <v>0</v>
      </c>
      <c r="X122" s="5123">
        <v>1.9950000000000001</v>
      </c>
      <c r="Y122" s="5123">
        <v>0</v>
      </c>
      <c r="Z122" s="5123">
        <v>0</v>
      </c>
      <c r="AA122" s="5123">
        <v>0</v>
      </c>
      <c r="AB122" s="5123">
        <v>0</v>
      </c>
      <c r="AC122" s="5123">
        <v>0</v>
      </c>
      <c r="AD122" s="5123">
        <v>0</v>
      </c>
      <c r="AE122" s="5123">
        <v>0</v>
      </c>
      <c r="AF122" s="5123">
        <v>0</v>
      </c>
      <c r="AG122" s="5123">
        <v>0</v>
      </c>
      <c r="AH122" s="5123">
        <v>0</v>
      </c>
      <c r="AI122" s="5123">
        <v>0</v>
      </c>
      <c r="AJ122" s="5123">
        <v>0</v>
      </c>
      <c r="AK122" s="5123">
        <v>0</v>
      </c>
      <c r="AL122" s="5123">
        <v>0</v>
      </c>
      <c r="AM122" s="5123">
        <v>0</v>
      </c>
      <c r="AN122" s="5124">
        <f t="shared" si="2"/>
        <v>51.692999999999998</v>
      </c>
      <c r="AO122" s="5125">
        <v>51.692999999999998</v>
      </c>
      <c r="AP122" s="5126">
        <f t="shared" si="3"/>
        <v>0</v>
      </c>
    </row>
    <row r="123" spans="1:42">
      <c r="A123" s="5121">
        <v>327</v>
      </c>
      <c r="B123" s="5122">
        <v>20</v>
      </c>
      <c r="C123" s="5123">
        <v>18.957999999999998</v>
      </c>
      <c r="D123" s="5123">
        <v>0</v>
      </c>
      <c r="E123" s="5123">
        <v>4.9960000000000004</v>
      </c>
      <c r="F123" s="5123">
        <v>0</v>
      </c>
      <c r="G123" s="5123">
        <v>0</v>
      </c>
      <c r="H123" s="5123">
        <v>0</v>
      </c>
      <c r="I123" s="5123">
        <v>0</v>
      </c>
      <c r="J123" s="5123">
        <v>0</v>
      </c>
      <c r="K123" s="5123">
        <v>0</v>
      </c>
      <c r="L123" s="5123">
        <v>0</v>
      </c>
      <c r="M123" s="5123">
        <v>0</v>
      </c>
      <c r="N123" s="5123">
        <v>0</v>
      </c>
      <c r="O123" s="5123">
        <v>0</v>
      </c>
      <c r="P123" s="5123">
        <v>0</v>
      </c>
      <c r="Q123" s="5123">
        <v>0</v>
      </c>
      <c r="R123" s="5123">
        <v>0</v>
      </c>
      <c r="S123" s="5123">
        <v>0</v>
      </c>
      <c r="T123" s="5123">
        <v>0</v>
      </c>
      <c r="U123" s="5122">
        <v>20</v>
      </c>
      <c r="V123" s="5123">
        <v>21.605</v>
      </c>
      <c r="W123" s="5123">
        <v>0</v>
      </c>
      <c r="X123" s="5123">
        <v>4.9560000000000004</v>
      </c>
      <c r="Y123" s="5123">
        <v>0</v>
      </c>
      <c r="Z123" s="5123">
        <v>0</v>
      </c>
      <c r="AA123" s="5123">
        <v>5.9119999999999999</v>
      </c>
      <c r="AB123" s="5123">
        <v>0</v>
      </c>
      <c r="AC123" s="5123">
        <v>0</v>
      </c>
      <c r="AD123" s="5123">
        <v>0</v>
      </c>
      <c r="AE123" s="5123">
        <v>0</v>
      </c>
      <c r="AF123" s="5123">
        <v>0</v>
      </c>
      <c r="AG123" s="5123">
        <v>0</v>
      </c>
      <c r="AH123" s="5123">
        <v>0</v>
      </c>
      <c r="AI123" s="5123">
        <v>0</v>
      </c>
      <c r="AJ123" s="5123">
        <v>0</v>
      </c>
      <c r="AK123" s="5123">
        <v>0</v>
      </c>
      <c r="AL123" s="5123">
        <v>0</v>
      </c>
      <c r="AM123" s="5123">
        <v>0</v>
      </c>
      <c r="AN123" s="5124">
        <f t="shared" si="2"/>
        <v>52.472999999999999</v>
      </c>
      <c r="AO123" s="5125">
        <v>52.472999999999999</v>
      </c>
      <c r="AP123" s="5126">
        <f t="shared" si="3"/>
        <v>0</v>
      </c>
    </row>
    <row r="124" spans="1:42">
      <c r="A124" s="5121">
        <v>329</v>
      </c>
      <c r="B124" s="5122">
        <v>20</v>
      </c>
      <c r="C124" s="5123">
        <v>21.041</v>
      </c>
      <c r="D124" s="5123">
        <v>0</v>
      </c>
      <c r="E124" s="5123">
        <v>5.7460000000000004</v>
      </c>
      <c r="F124" s="5123">
        <v>0</v>
      </c>
      <c r="G124" s="5123">
        <v>0</v>
      </c>
      <c r="H124" s="5123">
        <v>11.315</v>
      </c>
      <c r="I124" s="5123">
        <v>0</v>
      </c>
      <c r="J124" s="5123">
        <v>0</v>
      </c>
      <c r="K124" s="5123">
        <v>0</v>
      </c>
      <c r="L124" s="5123">
        <v>0</v>
      </c>
      <c r="M124" s="5123">
        <v>0</v>
      </c>
      <c r="N124" s="5123">
        <v>0</v>
      </c>
      <c r="O124" s="5123">
        <v>0</v>
      </c>
      <c r="P124" s="5123">
        <v>0</v>
      </c>
      <c r="Q124" s="5123">
        <v>0</v>
      </c>
      <c r="R124" s="5123">
        <v>0</v>
      </c>
      <c r="S124" s="5123">
        <v>0</v>
      </c>
      <c r="T124" s="5123">
        <v>0</v>
      </c>
      <c r="U124" s="5122">
        <v>20</v>
      </c>
      <c r="V124" s="5123">
        <v>22.32</v>
      </c>
      <c r="W124" s="5123">
        <v>0</v>
      </c>
      <c r="X124" s="5123">
        <v>5.7489999999999997</v>
      </c>
      <c r="Y124" s="5123">
        <v>0</v>
      </c>
      <c r="Z124" s="5123">
        <v>0</v>
      </c>
      <c r="AA124" s="5123">
        <v>10.38</v>
      </c>
      <c r="AB124" s="5123">
        <v>0</v>
      </c>
      <c r="AC124" s="5123">
        <v>0</v>
      </c>
      <c r="AD124" s="5123">
        <v>0</v>
      </c>
      <c r="AE124" s="5123">
        <v>0</v>
      </c>
      <c r="AF124" s="5123">
        <v>0</v>
      </c>
      <c r="AG124" s="5123">
        <v>0</v>
      </c>
      <c r="AH124" s="5123">
        <v>0</v>
      </c>
      <c r="AI124" s="5123">
        <v>0</v>
      </c>
      <c r="AJ124" s="5123">
        <v>0</v>
      </c>
      <c r="AK124" s="5123">
        <v>0</v>
      </c>
      <c r="AL124" s="5123">
        <v>0</v>
      </c>
      <c r="AM124" s="5123">
        <v>0</v>
      </c>
      <c r="AN124" s="5124">
        <f t="shared" si="2"/>
        <v>58.448999999999998</v>
      </c>
      <c r="AO124" s="5125">
        <v>58.448999999999998</v>
      </c>
      <c r="AP124" s="5126">
        <f t="shared" si="3"/>
        <v>0</v>
      </c>
    </row>
    <row r="125" spans="1:42">
      <c r="A125" s="5121">
        <v>330</v>
      </c>
      <c r="B125" s="5122">
        <v>20</v>
      </c>
      <c r="C125" s="5123">
        <v>22.427</v>
      </c>
      <c r="D125" s="5123">
        <v>0</v>
      </c>
      <c r="E125" s="5123">
        <v>7.968</v>
      </c>
      <c r="F125" s="5123">
        <v>0</v>
      </c>
      <c r="G125" s="5123">
        <v>0</v>
      </c>
      <c r="H125" s="5123">
        <v>11.019</v>
      </c>
      <c r="I125" s="5123">
        <v>0</v>
      </c>
      <c r="J125" s="5123">
        <v>0</v>
      </c>
      <c r="K125" s="5123">
        <v>0</v>
      </c>
      <c r="L125" s="5123">
        <v>0</v>
      </c>
      <c r="M125" s="5123">
        <v>0</v>
      </c>
      <c r="N125" s="5123">
        <v>0</v>
      </c>
      <c r="O125" s="5123">
        <v>0</v>
      </c>
      <c r="P125" s="5123">
        <v>0</v>
      </c>
      <c r="Q125" s="5123">
        <v>0</v>
      </c>
      <c r="R125" s="5123">
        <v>0</v>
      </c>
      <c r="S125" s="5123">
        <v>0</v>
      </c>
      <c r="T125" s="5123">
        <v>0</v>
      </c>
      <c r="U125" s="5122">
        <v>20</v>
      </c>
      <c r="V125" s="5123">
        <v>22.456</v>
      </c>
      <c r="W125" s="5123">
        <v>0</v>
      </c>
      <c r="X125" s="5123">
        <v>7.9960000000000004</v>
      </c>
      <c r="Y125" s="5123">
        <v>0</v>
      </c>
      <c r="Z125" s="5123">
        <v>0</v>
      </c>
      <c r="AA125" s="5123">
        <v>10.941000000000001</v>
      </c>
      <c r="AB125" s="5123">
        <v>0</v>
      </c>
      <c r="AC125" s="5123">
        <v>0</v>
      </c>
      <c r="AD125" s="5123">
        <v>0</v>
      </c>
      <c r="AE125" s="5123">
        <v>0</v>
      </c>
      <c r="AF125" s="5123">
        <v>0</v>
      </c>
      <c r="AG125" s="5123">
        <v>0</v>
      </c>
      <c r="AH125" s="5123">
        <v>0</v>
      </c>
      <c r="AI125" s="5123">
        <v>0</v>
      </c>
      <c r="AJ125" s="5123">
        <v>0</v>
      </c>
      <c r="AK125" s="5123">
        <v>0</v>
      </c>
      <c r="AL125" s="5123">
        <v>0</v>
      </c>
      <c r="AM125" s="5123">
        <v>0</v>
      </c>
      <c r="AN125" s="5124">
        <f t="shared" si="2"/>
        <v>61.393000000000001</v>
      </c>
      <c r="AO125" s="5125">
        <v>61.393000000000001</v>
      </c>
      <c r="AP125" s="5126">
        <f t="shared" si="3"/>
        <v>0</v>
      </c>
    </row>
    <row r="126" spans="1:42">
      <c r="A126" s="5121">
        <v>331</v>
      </c>
      <c r="B126" s="5122">
        <v>20</v>
      </c>
      <c r="C126" s="5123">
        <v>18.47</v>
      </c>
      <c r="D126" s="5123">
        <v>0</v>
      </c>
      <c r="E126" s="5123">
        <v>7.0259999999999998</v>
      </c>
      <c r="F126" s="5123">
        <v>0</v>
      </c>
      <c r="G126" s="5123">
        <v>0</v>
      </c>
      <c r="H126" s="5123">
        <v>11.754</v>
      </c>
      <c r="I126" s="5123">
        <v>0</v>
      </c>
      <c r="J126" s="5123">
        <v>0</v>
      </c>
      <c r="K126" s="5123">
        <v>0</v>
      </c>
      <c r="L126" s="5123">
        <v>0</v>
      </c>
      <c r="M126" s="5123">
        <v>0</v>
      </c>
      <c r="N126" s="5123">
        <v>0</v>
      </c>
      <c r="O126" s="5123">
        <v>0</v>
      </c>
      <c r="P126" s="5123">
        <v>4.968</v>
      </c>
      <c r="Q126" s="5123">
        <v>0.97799999999999998</v>
      </c>
      <c r="R126" s="5123">
        <v>0</v>
      </c>
      <c r="S126" s="5123">
        <v>0</v>
      </c>
      <c r="T126" s="5123">
        <v>0</v>
      </c>
      <c r="U126" s="5122">
        <v>20</v>
      </c>
      <c r="V126" s="5123">
        <v>22.859000000000002</v>
      </c>
      <c r="W126" s="5123">
        <v>0</v>
      </c>
      <c r="X126" s="5123">
        <v>6.9779999999999998</v>
      </c>
      <c r="Y126" s="5123">
        <v>0</v>
      </c>
      <c r="Z126" s="5123">
        <v>0</v>
      </c>
      <c r="AA126" s="5123">
        <v>9.5060000000000002</v>
      </c>
      <c r="AB126" s="5123">
        <v>0</v>
      </c>
      <c r="AC126" s="5123">
        <v>0</v>
      </c>
      <c r="AD126" s="5123">
        <v>0</v>
      </c>
      <c r="AE126" s="5123">
        <v>0</v>
      </c>
      <c r="AF126" s="5123">
        <v>0</v>
      </c>
      <c r="AG126" s="5123">
        <v>0</v>
      </c>
      <c r="AH126" s="5123">
        <v>0</v>
      </c>
      <c r="AI126" s="5123">
        <v>4.9850000000000003</v>
      </c>
      <c r="AJ126" s="5123">
        <v>1.119</v>
      </c>
      <c r="AK126" s="5123">
        <v>0</v>
      </c>
      <c r="AL126" s="5123">
        <v>0</v>
      </c>
      <c r="AM126" s="5123">
        <v>0</v>
      </c>
      <c r="AN126" s="5124">
        <f t="shared" si="2"/>
        <v>65.447000000000003</v>
      </c>
      <c r="AO126" s="5125">
        <v>65.447000000000003</v>
      </c>
      <c r="AP126" s="5126">
        <f t="shared" si="3"/>
        <v>0</v>
      </c>
    </row>
    <row r="127" spans="1:42">
      <c r="A127" s="5121">
        <v>332</v>
      </c>
      <c r="B127" s="5122">
        <v>20</v>
      </c>
      <c r="C127" s="5123">
        <v>8.1929999999999996</v>
      </c>
      <c r="D127" s="5123">
        <v>0</v>
      </c>
      <c r="E127" s="5123">
        <v>4.5629999999999997</v>
      </c>
      <c r="F127" s="5123">
        <v>0</v>
      </c>
      <c r="G127" s="5123">
        <v>0</v>
      </c>
      <c r="H127" s="5123">
        <v>0</v>
      </c>
      <c r="I127" s="5123">
        <v>0</v>
      </c>
      <c r="J127" s="5123">
        <v>0</v>
      </c>
      <c r="K127" s="5123">
        <v>0</v>
      </c>
      <c r="L127" s="5123">
        <v>0</v>
      </c>
      <c r="M127" s="5123">
        <v>0</v>
      </c>
      <c r="N127" s="5123">
        <v>0</v>
      </c>
      <c r="O127" s="5123">
        <v>0</v>
      </c>
      <c r="P127" s="5123">
        <v>0</v>
      </c>
      <c r="Q127" s="5123">
        <v>0</v>
      </c>
      <c r="R127" s="5123">
        <v>0</v>
      </c>
      <c r="S127" s="5123">
        <v>0</v>
      </c>
      <c r="T127" s="5123">
        <v>0</v>
      </c>
      <c r="U127" s="5122">
        <v>20</v>
      </c>
      <c r="V127" s="5123">
        <v>0</v>
      </c>
      <c r="W127" s="5123">
        <v>0</v>
      </c>
      <c r="X127" s="5123">
        <v>8</v>
      </c>
      <c r="Y127" s="5123">
        <v>0</v>
      </c>
      <c r="Z127" s="5123">
        <v>0</v>
      </c>
      <c r="AA127" s="5123">
        <v>0</v>
      </c>
      <c r="AB127" s="5123">
        <v>0</v>
      </c>
      <c r="AC127" s="5123">
        <v>0</v>
      </c>
      <c r="AD127" s="5123">
        <v>0</v>
      </c>
      <c r="AE127" s="5123">
        <v>0</v>
      </c>
      <c r="AF127" s="5123">
        <v>0</v>
      </c>
      <c r="AG127" s="5123">
        <v>0</v>
      </c>
      <c r="AH127" s="5123">
        <v>0</v>
      </c>
      <c r="AI127" s="5123">
        <v>0</v>
      </c>
      <c r="AJ127" s="5123">
        <v>0</v>
      </c>
      <c r="AK127" s="5123">
        <v>0</v>
      </c>
      <c r="AL127" s="5123">
        <v>0</v>
      </c>
      <c r="AM127" s="5123">
        <v>0</v>
      </c>
      <c r="AN127" s="5124">
        <f t="shared" si="2"/>
        <v>28</v>
      </c>
      <c r="AO127" s="5125">
        <v>28</v>
      </c>
      <c r="AP127" s="5126">
        <f t="shared" si="3"/>
        <v>0</v>
      </c>
    </row>
    <row r="128" spans="1:42">
      <c r="A128" s="5121">
        <v>333</v>
      </c>
      <c r="B128" s="5122">
        <v>20</v>
      </c>
      <c r="C128" s="5123">
        <v>16.841999999999999</v>
      </c>
      <c r="D128" s="5123">
        <v>0</v>
      </c>
      <c r="E128" s="5123">
        <v>7.9980000000000002</v>
      </c>
      <c r="F128" s="5123">
        <v>0</v>
      </c>
      <c r="G128" s="5123">
        <v>0</v>
      </c>
      <c r="H128" s="5123">
        <v>3.97</v>
      </c>
      <c r="I128" s="5123">
        <v>0</v>
      </c>
      <c r="J128" s="5123">
        <v>0</v>
      </c>
      <c r="K128" s="5123">
        <v>0</v>
      </c>
      <c r="L128" s="5123">
        <v>0</v>
      </c>
      <c r="M128" s="5123">
        <v>0</v>
      </c>
      <c r="N128" s="5123">
        <v>0</v>
      </c>
      <c r="O128" s="5123">
        <v>0</v>
      </c>
      <c r="P128" s="5123">
        <v>0</v>
      </c>
      <c r="Q128" s="5123">
        <v>0</v>
      </c>
      <c r="R128" s="5123">
        <v>0</v>
      </c>
      <c r="S128" s="5123">
        <v>0</v>
      </c>
      <c r="T128" s="5123">
        <v>0</v>
      </c>
      <c r="U128" s="5122">
        <v>20</v>
      </c>
      <c r="V128" s="5123">
        <v>17.895</v>
      </c>
      <c r="W128" s="5123">
        <v>0</v>
      </c>
      <c r="X128" s="5123">
        <v>7.39</v>
      </c>
      <c r="Y128" s="5123">
        <v>0</v>
      </c>
      <c r="Z128" s="5123">
        <v>0</v>
      </c>
      <c r="AA128" s="5123">
        <v>3.6509999999999998</v>
      </c>
      <c r="AB128" s="5123">
        <v>0</v>
      </c>
      <c r="AC128" s="5123">
        <v>0</v>
      </c>
      <c r="AD128" s="5123">
        <v>0</v>
      </c>
      <c r="AE128" s="5123">
        <v>0</v>
      </c>
      <c r="AF128" s="5123">
        <v>0</v>
      </c>
      <c r="AG128" s="5123">
        <v>0</v>
      </c>
      <c r="AH128" s="5123">
        <v>0</v>
      </c>
      <c r="AI128" s="5123">
        <v>0</v>
      </c>
      <c r="AJ128" s="5123">
        <v>0</v>
      </c>
      <c r="AK128" s="5123">
        <v>0</v>
      </c>
      <c r="AL128" s="5123">
        <v>0</v>
      </c>
      <c r="AM128" s="5123">
        <v>0</v>
      </c>
      <c r="AN128" s="5124">
        <f t="shared" si="2"/>
        <v>48.936</v>
      </c>
      <c r="AO128" s="5125">
        <v>48.936</v>
      </c>
      <c r="AP128" s="5126">
        <f t="shared" si="3"/>
        <v>0</v>
      </c>
    </row>
    <row r="129" spans="1:42">
      <c r="A129" s="5121">
        <v>334</v>
      </c>
      <c r="B129" s="5122">
        <v>20</v>
      </c>
      <c r="C129" s="5123">
        <v>24.856999999999999</v>
      </c>
      <c r="D129" s="5123">
        <v>0</v>
      </c>
      <c r="E129" s="5123">
        <v>7.9960000000000004</v>
      </c>
      <c r="F129" s="5123">
        <v>0</v>
      </c>
      <c r="G129" s="5123">
        <v>0</v>
      </c>
      <c r="H129" s="5123">
        <v>0</v>
      </c>
      <c r="I129" s="5123">
        <v>0</v>
      </c>
      <c r="J129" s="5123">
        <v>0</v>
      </c>
      <c r="K129" s="5123">
        <v>0</v>
      </c>
      <c r="L129" s="5123">
        <v>0</v>
      </c>
      <c r="M129" s="5123">
        <v>0</v>
      </c>
      <c r="N129" s="5123">
        <v>0</v>
      </c>
      <c r="O129" s="5123">
        <v>0</v>
      </c>
      <c r="P129" s="5123">
        <v>0</v>
      </c>
      <c r="Q129" s="5123">
        <v>0</v>
      </c>
      <c r="R129" s="5123">
        <v>0</v>
      </c>
      <c r="S129" s="5123">
        <v>0</v>
      </c>
      <c r="T129" s="5123">
        <v>0</v>
      </c>
      <c r="U129" s="5122">
        <v>20</v>
      </c>
      <c r="V129" s="5123">
        <v>24.664999999999999</v>
      </c>
      <c r="W129" s="5123">
        <v>0</v>
      </c>
      <c r="X129" s="5123">
        <v>7.992</v>
      </c>
      <c r="Y129" s="5123">
        <v>0</v>
      </c>
      <c r="Z129" s="5123">
        <v>0</v>
      </c>
      <c r="AA129" s="5123">
        <v>0</v>
      </c>
      <c r="AB129" s="5123">
        <v>0</v>
      </c>
      <c r="AC129" s="5123">
        <v>0</v>
      </c>
      <c r="AD129" s="5123">
        <v>0</v>
      </c>
      <c r="AE129" s="5123">
        <v>0</v>
      </c>
      <c r="AF129" s="5123">
        <v>0</v>
      </c>
      <c r="AG129" s="5123">
        <v>0</v>
      </c>
      <c r="AH129" s="5123">
        <v>0</v>
      </c>
      <c r="AI129" s="5123">
        <v>0</v>
      </c>
      <c r="AJ129" s="5123">
        <v>0</v>
      </c>
      <c r="AK129" s="5123">
        <v>0</v>
      </c>
      <c r="AL129" s="5123">
        <v>0</v>
      </c>
      <c r="AM129" s="5123">
        <v>0</v>
      </c>
      <c r="AN129" s="5124">
        <f t="shared" si="2"/>
        <v>52.656999999999996</v>
      </c>
      <c r="AO129" s="5125">
        <v>52.656999999999996</v>
      </c>
      <c r="AP129" s="5126">
        <f t="shared" si="3"/>
        <v>0</v>
      </c>
    </row>
    <row r="130" spans="1:42">
      <c r="A130" s="5121">
        <v>335</v>
      </c>
      <c r="B130" s="5122">
        <v>20</v>
      </c>
      <c r="C130" s="5123">
        <v>18.010000000000002</v>
      </c>
      <c r="D130" s="5123">
        <v>0</v>
      </c>
      <c r="E130" s="5123">
        <v>6.6870000000000003</v>
      </c>
      <c r="F130" s="5123">
        <v>0</v>
      </c>
      <c r="G130" s="5123">
        <v>0</v>
      </c>
      <c r="H130" s="5123">
        <v>8.65</v>
      </c>
      <c r="I130" s="5123">
        <v>0</v>
      </c>
      <c r="J130" s="5123">
        <v>0</v>
      </c>
      <c r="K130" s="5123">
        <v>0</v>
      </c>
      <c r="L130" s="5123">
        <v>0</v>
      </c>
      <c r="M130" s="5123">
        <v>0</v>
      </c>
      <c r="N130" s="5123">
        <v>0</v>
      </c>
      <c r="O130" s="5123">
        <v>0</v>
      </c>
      <c r="P130" s="5123">
        <v>0</v>
      </c>
      <c r="Q130" s="5123">
        <v>0</v>
      </c>
      <c r="R130" s="5123">
        <v>0</v>
      </c>
      <c r="S130" s="5123">
        <v>0</v>
      </c>
      <c r="T130" s="5123">
        <v>0</v>
      </c>
      <c r="U130" s="5122">
        <v>20</v>
      </c>
      <c r="V130" s="5123">
        <v>19.617999999999999</v>
      </c>
      <c r="W130" s="5123">
        <v>0</v>
      </c>
      <c r="X130" s="5123">
        <v>5</v>
      </c>
      <c r="Y130" s="5123">
        <v>0</v>
      </c>
      <c r="Z130" s="5123">
        <v>0</v>
      </c>
      <c r="AA130" s="5123">
        <v>8.5630000000000006</v>
      </c>
      <c r="AB130" s="5123">
        <v>0</v>
      </c>
      <c r="AC130" s="5123">
        <v>0</v>
      </c>
      <c r="AD130" s="5123">
        <v>0</v>
      </c>
      <c r="AE130" s="5123">
        <v>0</v>
      </c>
      <c r="AF130" s="5123">
        <v>0</v>
      </c>
      <c r="AG130" s="5123">
        <v>0</v>
      </c>
      <c r="AH130" s="5123">
        <v>0</v>
      </c>
      <c r="AI130" s="5123">
        <v>0</v>
      </c>
      <c r="AJ130" s="5123">
        <v>0</v>
      </c>
      <c r="AK130" s="5123">
        <v>0</v>
      </c>
      <c r="AL130" s="5123">
        <v>0</v>
      </c>
      <c r="AM130" s="5123">
        <v>0</v>
      </c>
      <c r="AN130" s="5124">
        <f t="shared" si="2"/>
        <v>53.180999999999997</v>
      </c>
      <c r="AO130" s="5125">
        <v>53.180999999999997</v>
      </c>
      <c r="AP130" s="5126">
        <f t="shared" si="3"/>
        <v>0</v>
      </c>
    </row>
    <row r="131" spans="1:42">
      <c r="A131" s="5121">
        <v>336</v>
      </c>
      <c r="B131" s="5122">
        <v>20</v>
      </c>
      <c r="C131" s="5123">
        <v>15.821999999999999</v>
      </c>
      <c r="D131" s="5123">
        <v>0</v>
      </c>
      <c r="E131" s="5123">
        <v>8</v>
      </c>
      <c r="F131" s="5123">
        <v>0</v>
      </c>
      <c r="G131" s="5123">
        <v>0</v>
      </c>
      <c r="H131" s="5123">
        <v>14.005000000000001</v>
      </c>
      <c r="I131" s="5123">
        <v>0</v>
      </c>
      <c r="J131" s="5123">
        <v>0</v>
      </c>
      <c r="K131" s="5123">
        <v>0</v>
      </c>
      <c r="L131" s="5123">
        <v>0</v>
      </c>
      <c r="M131" s="5123">
        <v>0</v>
      </c>
      <c r="N131" s="5123">
        <v>0</v>
      </c>
      <c r="O131" s="5123">
        <v>0</v>
      </c>
      <c r="P131" s="5123">
        <v>0</v>
      </c>
      <c r="Q131" s="5123">
        <v>0</v>
      </c>
      <c r="R131" s="5123">
        <v>0</v>
      </c>
      <c r="S131" s="5123">
        <v>0</v>
      </c>
      <c r="T131" s="5123">
        <v>0</v>
      </c>
      <c r="U131" s="5122">
        <v>20</v>
      </c>
      <c r="V131" s="5123">
        <v>16.771000000000001</v>
      </c>
      <c r="W131" s="5123">
        <v>0</v>
      </c>
      <c r="X131" s="5123">
        <v>8</v>
      </c>
      <c r="Y131" s="5123">
        <v>0</v>
      </c>
      <c r="Z131" s="5123">
        <v>0</v>
      </c>
      <c r="AA131" s="5123">
        <v>14.025</v>
      </c>
      <c r="AB131" s="5123">
        <v>0</v>
      </c>
      <c r="AC131" s="5123">
        <v>0</v>
      </c>
      <c r="AD131" s="5123">
        <v>0</v>
      </c>
      <c r="AE131" s="5123">
        <v>0</v>
      </c>
      <c r="AF131" s="5123">
        <v>0</v>
      </c>
      <c r="AG131" s="5123">
        <v>0</v>
      </c>
      <c r="AH131" s="5123">
        <v>0</v>
      </c>
      <c r="AI131" s="5123">
        <v>0</v>
      </c>
      <c r="AJ131" s="5123">
        <v>0</v>
      </c>
      <c r="AK131" s="5123">
        <v>0</v>
      </c>
      <c r="AL131" s="5123">
        <v>0</v>
      </c>
      <c r="AM131" s="5123">
        <v>0</v>
      </c>
      <c r="AN131" s="5124">
        <f t="shared" si="2"/>
        <v>58.795999999999999</v>
      </c>
      <c r="AO131" s="5125">
        <v>58.795999999999999</v>
      </c>
      <c r="AP131" s="5126">
        <f t="shared" si="3"/>
        <v>0</v>
      </c>
    </row>
    <row r="132" spans="1:42">
      <c r="A132" s="5121">
        <v>337</v>
      </c>
      <c r="B132" s="5122">
        <v>20</v>
      </c>
      <c r="C132" s="5123">
        <v>14.555</v>
      </c>
      <c r="D132" s="5123">
        <v>0</v>
      </c>
      <c r="E132" s="5123">
        <v>8</v>
      </c>
      <c r="F132" s="5123">
        <v>0</v>
      </c>
      <c r="G132" s="5123">
        <v>0</v>
      </c>
      <c r="H132" s="5123">
        <v>0</v>
      </c>
      <c r="I132" s="5123">
        <v>0</v>
      </c>
      <c r="J132" s="5123">
        <v>0</v>
      </c>
      <c r="K132" s="5123">
        <v>0</v>
      </c>
      <c r="L132" s="5123">
        <v>0</v>
      </c>
      <c r="M132" s="5123">
        <v>0</v>
      </c>
      <c r="N132" s="5123">
        <v>0</v>
      </c>
      <c r="O132" s="5123">
        <v>0</v>
      </c>
      <c r="P132" s="5123">
        <v>0</v>
      </c>
      <c r="Q132" s="5123">
        <v>0</v>
      </c>
      <c r="R132" s="5123">
        <v>0</v>
      </c>
      <c r="S132" s="5123">
        <v>0</v>
      </c>
      <c r="T132" s="5123">
        <v>0</v>
      </c>
      <c r="U132" s="5122">
        <v>20</v>
      </c>
      <c r="V132" s="5123">
        <v>19.896999999999998</v>
      </c>
      <c r="W132" s="5123">
        <v>0</v>
      </c>
      <c r="X132" s="5123">
        <v>8</v>
      </c>
      <c r="Y132" s="5123">
        <v>0</v>
      </c>
      <c r="Z132" s="5123">
        <v>0</v>
      </c>
      <c r="AA132" s="5123">
        <v>0</v>
      </c>
      <c r="AB132" s="5123">
        <v>0</v>
      </c>
      <c r="AC132" s="5123">
        <v>0</v>
      </c>
      <c r="AD132" s="5123">
        <v>0</v>
      </c>
      <c r="AE132" s="5123">
        <v>0</v>
      </c>
      <c r="AF132" s="5123">
        <v>0</v>
      </c>
      <c r="AG132" s="5123">
        <v>0</v>
      </c>
      <c r="AH132" s="5123">
        <v>0</v>
      </c>
      <c r="AI132" s="5123">
        <v>0</v>
      </c>
      <c r="AJ132" s="5123">
        <v>0</v>
      </c>
      <c r="AK132" s="5123">
        <v>0</v>
      </c>
      <c r="AL132" s="5123">
        <v>0</v>
      </c>
      <c r="AM132" s="5123">
        <v>0</v>
      </c>
      <c r="AN132" s="5124">
        <f t="shared" ref="AN132:AN195" si="4">SUM(U132:AM132)</f>
        <v>47.896999999999998</v>
      </c>
      <c r="AO132" s="5125">
        <v>47.896999999999998</v>
      </c>
      <c r="AP132" s="5126">
        <f t="shared" ref="AP132:AP195" si="5">AN132-AO132</f>
        <v>0</v>
      </c>
    </row>
    <row r="133" spans="1:42">
      <c r="A133" s="5121">
        <v>338</v>
      </c>
      <c r="B133" s="5122">
        <v>20</v>
      </c>
      <c r="C133" s="5123">
        <v>18.166</v>
      </c>
      <c r="D133" s="5123">
        <v>0</v>
      </c>
      <c r="E133" s="5123">
        <v>8</v>
      </c>
      <c r="F133" s="5123">
        <v>0</v>
      </c>
      <c r="G133" s="5123">
        <v>0</v>
      </c>
      <c r="H133" s="5123">
        <v>9.0169999999999995</v>
      </c>
      <c r="I133" s="5123">
        <v>0</v>
      </c>
      <c r="J133" s="5123">
        <v>0</v>
      </c>
      <c r="K133" s="5123">
        <v>0</v>
      </c>
      <c r="L133" s="5123">
        <v>0</v>
      </c>
      <c r="M133" s="5123">
        <v>0</v>
      </c>
      <c r="N133" s="5123">
        <v>0</v>
      </c>
      <c r="O133" s="5123">
        <v>0</v>
      </c>
      <c r="P133" s="5123">
        <v>1</v>
      </c>
      <c r="Q133" s="5123">
        <v>0</v>
      </c>
      <c r="R133" s="5123">
        <v>0</v>
      </c>
      <c r="S133" s="5123">
        <v>0</v>
      </c>
      <c r="T133" s="5123">
        <v>0</v>
      </c>
      <c r="U133" s="5122">
        <v>20</v>
      </c>
      <c r="V133" s="5123">
        <v>18.643999999999998</v>
      </c>
      <c r="W133" s="5123">
        <v>0</v>
      </c>
      <c r="X133" s="5123">
        <v>7.9989999999999997</v>
      </c>
      <c r="Y133" s="5123">
        <v>0</v>
      </c>
      <c r="Z133" s="5123">
        <v>0</v>
      </c>
      <c r="AA133" s="5123">
        <v>7.99</v>
      </c>
      <c r="AB133" s="5123">
        <v>0</v>
      </c>
      <c r="AC133" s="5123">
        <v>0</v>
      </c>
      <c r="AD133" s="5123">
        <v>0</v>
      </c>
      <c r="AE133" s="5123">
        <v>0</v>
      </c>
      <c r="AF133" s="5123">
        <v>0</v>
      </c>
      <c r="AG133" s="5123">
        <v>0</v>
      </c>
      <c r="AH133" s="5123">
        <v>0</v>
      </c>
      <c r="AI133" s="5123">
        <v>1</v>
      </c>
      <c r="AJ133" s="5123">
        <v>0</v>
      </c>
      <c r="AK133" s="5123">
        <v>0</v>
      </c>
      <c r="AL133" s="5123">
        <v>0</v>
      </c>
      <c r="AM133" s="5123">
        <v>0</v>
      </c>
      <c r="AN133" s="5124">
        <f t="shared" si="4"/>
        <v>55.633000000000003</v>
      </c>
      <c r="AO133" s="5125">
        <v>55.633000000000003</v>
      </c>
      <c r="AP133" s="5126">
        <f t="shared" si="5"/>
        <v>0</v>
      </c>
    </row>
    <row r="134" spans="1:42">
      <c r="A134" s="5121">
        <v>339</v>
      </c>
      <c r="B134" s="5122">
        <v>20</v>
      </c>
      <c r="C134" s="5123">
        <v>17.728999999999999</v>
      </c>
      <c r="D134" s="5123">
        <v>0</v>
      </c>
      <c r="E134" s="5123">
        <v>5.7480000000000002</v>
      </c>
      <c r="F134" s="5123">
        <v>0</v>
      </c>
      <c r="G134" s="5123">
        <v>0</v>
      </c>
      <c r="H134" s="5123">
        <v>5.944</v>
      </c>
      <c r="I134" s="5123">
        <v>0</v>
      </c>
      <c r="J134" s="5123">
        <v>0</v>
      </c>
      <c r="K134" s="5123">
        <v>0</v>
      </c>
      <c r="L134" s="5123">
        <v>0</v>
      </c>
      <c r="M134" s="5123">
        <v>0</v>
      </c>
      <c r="N134" s="5123">
        <v>0</v>
      </c>
      <c r="O134" s="5123">
        <v>0</v>
      </c>
      <c r="P134" s="5123">
        <v>0</v>
      </c>
      <c r="Q134" s="5123">
        <v>0</v>
      </c>
      <c r="R134" s="5123">
        <v>0</v>
      </c>
      <c r="S134" s="5123">
        <v>0</v>
      </c>
      <c r="T134" s="5123">
        <v>0</v>
      </c>
      <c r="U134" s="5122">
        <v>20</v>
      </c>
      <c r="V134" s="5123">
        <v>17.542999999999999</v>
      </c>
      <c r="W134" s="5123">
        <v>0</v>
      </c>
      <c r="X134" s="5123">
        <v>5.74</v>
      </c>
      <c r="Y134" s="5123">
        <v>0</v>
      </c>
      <c r="Z134" s="5123">
        <v>0</v>
      </c>
      <c r="AA134" s="5123">
        <v>5.9039999999999999</v>
      </c>
      <c r="AB134" s="5123">
        <v>0</v>
      </c>
      <c r="AC134" s="5123">
        <v>0</v>
      </c>
      <c r="AD134" s="5123">
        <v>0</v>
      </c>
      <c r="AE134" s="5123">
        <v>0</v>
      </c>
      <c r="AF134" s="5123">
        <v>0</v>
      </c>
      <c r="AG134" s="5123">
        <v>0</v>
      </c>
      <c r="AH134" s="5123">
        <v>0</v>
      </c>
      <c r="AI134" s="5123">
        <v>0</v>
      </c>
      <c r="AJ134" s="5123">
        <v>0</v>
      </c>
      <c r="AK134" s="5123">
        <v>0</v>
      </c>
      <c r="AL134" s="5123">
        <v>0</v>
      </c>
      <c r="AM134" s="5123">
        <v>0</v>
      </c>
      <c r="AN134" s="5124">
        <f t="shared" si="4"/>
        <v>49.186999999999998</v>
      </c>
      <c r="AO134" s="5125">
        <v>49.186999999999998</v>
      </c>
      <c r="AP134" s="5126">
        <f t="shared" si="5"/>
        <v>0</v>
      </c>
    </row>
    <row r="135" spans="1:42">
      <c r="A135" s="5121">
        <v>340</v>
      </c>
      <c r="B135" s="5122">
        <v>20</v>
      </c>
      <c r="C135" s="5123">
        <v>15.438000000000001</v>
      </c>
      <c r="D135" s="5123">
        <v>0</v>
      </c>
      <c r="E135" s="5123">
        <v>8</v>
      </c>
      <c r="F135" s="5123">
        <v>0</v>
      </c>
      <c r="G135" s="5123">
        <v>0</v>
      </c>
      <c r="H135" s="5123">
        <v>9.9410000000000007</v>
      </c>
      <c r="I135" s="5123">
        <v>0</v>
      </c>
      <c r="J135" s="5123">
        <v>0</v>
      </c>
      <c r="K135" s="5123">
        <v>0</v>
      </c>
      <c r="L135" s="5123">
        <v>0</v>
      </c>
      <c r="M135" s="5123">
        <v>0</v>
      </c>
      <c r="N135" s="5123">
        <v>0</v>
      </c>
      <c r="O135" s="5123">
        <v>0</v>
      </c>
      <c r="P135" s="5123">
        <v>0</v>
      </c>
      <c r="Q135" s="5123">
        <v>0</v>
      </c>
      <c r="R135" s="5123">
        <v>0</v>
      </c>
      <c r="S135" s="5123">
        <v>0</v>
      </c>
      <c r="T135" s="5123">
        <v>0</v>
      </c>
      <c r="U135" s="5122">
        <v>20</v>
      </c>
      <c r="V135" s="5123">
        <v>19.283000000000001</v>
      </c>
      <c r="W135" s="5123">
        <v>0</v>
      </c>
      <c r="X135" s="5123">
        <v>8</v>
      </c>
      <c r="Y135" s="5123">
        <v>0</v>
      </c>
      <c r="Z135" s="5123">
        <v>0</v>
      </c>
      <c r="AA135" s="5123">
        <v>6.7089999999999996</v>
      </c>
      <c r="AB135" s="5123">
        <v>0</v>
      </c>
      <c r="AC135" s="5123">
        <v>0</v>
      </c>
      <c r="AD135" s="5123">
        <v>0</v>
      </c>
      <c r="AE135" s="5123">
        <v>0</v>
      </c>
      <c r="AF135" s="5123">
        <v>0</v>
      </c>
      <c r="AG135" s="5123">
        <v>0</v>
      </c>
      <c r="AH135" s="5123">
        <v>0</v>
      </c>
      <c r="AI135" s="5123">
        <v>0</v>
      </c>
      <c r="AJ135" s="5123">
        <v>0</v>
      </c>
      <c r="AK135" s="5123">
        <v>0</v>
      </c>
      <c r="AL135" s="5123">
        <v>0</v>
      </c>
      <c r="AM135" s="5123">
        <v>0</v>
      </c>
      <c r="AN135" s="5124">
        <f t="shared" si="4"/>
        <v>53.991999999999997</v>
      </c>
      <c r="AO135" s="5125">
        <v>53.991999999999997</v>
      </c>
      <c r="AP135" s="5126">
        <f t="shared" si="5"/>
        <v>0</v>
      </c>
    </row>
    <row r="136" spans="1:42">
      <c r="A136" s="5121">
        <v>341</v>
      </c>
      <c r="B136" s="5122">
        <v>20</v>
      </c>
      <c r="C136" s="5123">
        <v>20.024000000000001</v>
      </c>
      <c r="D136" s="5123">
        <v>0</v>
      </c>
      <c r="E136" s="5123">
        <v>6</v>
      </c>
      <c r="F136" s="5123">
        <v>0</v>
      </c>
      <c r="G136" s="5123">
        <v>0</v>
      </c>
      <c r="H136" s="5123">
        <v>0</v>
      </c>
      <c r="I136" s="5123">
        <v>0</v>
      </c>
      <c r="J136" s="5123">
        <v>0</v>
      </c>
      <c r="K136" s="5123">
        <v>0</v>
      </c>
      <c r="L136" s="5123">
        <v>0</v>
      </c>
      <c r="M136" s="5123">
        <v>0</v>
      </c>
      <c r="N136" s="5123">
        <v>0</v>
      </c>
      <c r="O136" s="5123">
        <v>0</v>
      </c>
      <c r="P136" s="5123">
        <v>1</v>
      </c>
      <c r="Q136" s="5123">
        <v>0</v>
      </c>
      <c r="R136" s="5123">
        <v>0</v>
      </c>
      <c r="S136" s="5123">
        <v>0</v>
      </c>
      <c r="T136" s="5123">
        <v>0</v>
      </c>
      <c r="U136" s="5122">
        <v>20</v>
      </c>
      <c r="V136" s="5123">
        <v>23.940999999999999</v>
      </c>
      <c r="W136" s="5123">
        <v>0</v>
      </c>
      <c r="X136" s="5123">
        <v>4</v>
      </c>
      <c r="Y136" s="5123">
        <v>0</v>
      </c>
      <c r="Z136" s="5123">
        <v>0</v>
      </c>
      <c r="AA136" s="5123">
        <v>0</v>
      </c>
      <c r="AB136" s="5123">
        <v>0</v>
      </c>
      <c r="AC136" s="5123">
        <v>0</v>
      </c>
      <c r="AD136" s="5123">
        <v>0</v>
      </c>
      <c r="AE136" s="5123">
        <v>0</v>
      </c>
      <c r="AF136" s="5123">
        <v>0</v>
      </c>
      <c r="AG136" s="5123">
        <v>0</v>
      </c>
      <c r="AH136" s="5123">
        <v>0</v>
      </c>
      <c r="AI136" s="5123">
        <v>1</v>
      </c>
      <c r="AJ136" s="5123">
        <v>0</v>
      </c>
      <c r="AK136" s="5123">
        <v>0</v>
      </c>
      <c r="AL136" s="5123">
        <v>0</v>
      </c>
      <c r="AM136" s="5123">
        <v>0</v>
      </c>
      <c r="AN136" s="5124">
        <f t="shared" si="4"/>
        <v>48.941000000000003</v>
      </c>
      <c r="AO136" s="5125">
        <v>48.941000000000003</v>
      </c>
      <c r="AP136" s="5126">
        <f t="shared" si="5"/>
        <v>0</v>
      </c>
    </row>
    <row r="137" spans="1:42">
      <c r="A137" s="5121">
        <v>342</v>
      </c>
      <c r="B137" s="5122">
        <v>20</v>
      </c>
      <c r="C137" s="5123">
        <v>19.18</v>
      </c>
      <c r="D137" s="5123">
        <v>0</v>
      </c>
      <c r="E137" s="5123">
        <v>4.9429999999999996</v>
      </c>
      <c r="F137" s="5123">
        <v>0</v>
      </c>
      <c r="G137" s="5123">
        <v>0</v>
      </c>
      <c r="H137" s="5123">
        <v>0</v>
      </c>
      <c r="I137" s="5123">
        <v>0</v>
      </c>
      <c r="J137" s="5123">
        <v>0</v>
      </c>
      <c r="K137" s="5123">
        <v>0</v>
      </c>
      <c r="L137" s="5123">
        <v>0</v>
      </c>
      <c r="M137" s="5123">
        <v>0</v>
      </c>
      <c r="N137" s="5123">
        <v>0</v>
      </c>
      <c r="O137" s="5123">
        <v>0</v>
      </c>
      <c r="P137" s="5123">
        <v>1.9770000000000001</v>
      </c>
      <c r="Q137" s="5123">
        <v>0</v>
      </c>
      <c r="R137" s="5123">
        <v>0</v>
      </c>
      <c r="S137" s="5123">
        <v>0</v>
      </c>
      <c r="T137" s="5123">
        <v>0</v>
      </c>
      <c r="U137" s="5122">
        <v>20</v>
      </c>
      <c r="V137" s="5123">
        <v>19.033999999999999</v>
      </c>
      <c r="W137" s="5123">
        <v>0</v>
      </c>
      <c r="X137" s="5123">
        <v>4.9989999999999997</v>
      </c>
      <c r="Y137" s="5123">
        <v>0</v>
      </c>
      <c r="Z137" s="5123">
        <v>0</v>
      </c>
      <c r="AA137" s="5123">
        <v>5.2990000000000004</v>
      </c>
      <c r="AB137" s="5123">
        <v>0</v>
      </c>
      <c r="AC137" s="5123">
        <v>0</v>
      </c>
      <c r="AD137" s="5123">
        <v>0</v>
      </c>
      <c r="AE137" s="5123">
        <v>0</v>
      </c>
      <c r="AF137" s="5123">
        <v>0</v>
      </c>
      <c r="AG137" s="5123">
        <v>0</v>
      </c>
      <c r="AH137" s="5123">
        <v>0</v>
      </c>
      <c r="AI137" s="5123">
        <v>2</v>
      </c>
      <c r="AJ137" s="5123">
        <v>0</v>
      </c>
      <c r="AK137" s="5123">
        <v>0</v>
      </c>
      <c r="AL137" s="5123">
        <v>0</v>
      </c>
      <c r="AM137" s="5123">
        <v>0</v>
      </c>
      <c r="AN137" s="5124">
        <f t="shared" si="4"/>
        <v>51.332000000000001</v>
      </c>
      <c r="AO137" s="5125">
        <v>51.332000000000001</v>
      </c>
      <c r="AP137" s="5126">
        <f t="shared" si="5"/>
        <v>0</v>
      </c>
    </row>
    <row r="138" spans="1:42">
      <c r="A138" s="5121">
        <v>343</v>
      </c>
      <c r="B138" s="5122">
        <v>20</v>
      </c>
      <c r="C138" s="5123">
        <v>18.579000000000001</v>
      </c>
      <c r="D138" s="5123">
        <v>0</v>
      </c>
      <c r="E138" s="5123">
        <v>7.4059999999999997</v>
      </c>
      <c r="F138" s="5123">
        <v>0</v>
      </c>
      <c r="G138" s="5123">
        <v>0</v>
      </c>
      <c r="H138" s="5123">
        <v>8.9770000000000003</v>
      </c>
      <c r="I138" s="5123">
        <v>0</v>
      </c>
      <c r="J138" s="5123">
        <v>0</v>
      </c>
      <c r="K138" s="5123">
        <v>0</v>
      </c>
      <c r="L138" s="5123">
        <v>0</v>
      </c>
      <c r="M138" s="5123">
        <v>0</v>
      </c>
      <c r="N138" s="5123">
        <v>0</v>
      </c>
      <c r="O138" s="5123">
        <v>0</v>
      </c>
      <c r="P138" s="5123">
        <v>0</v>
      </c>
      <c r="Q138" s="5123">
        <v>0</v>
      </c>
      <c r="R138" s="5123">
        <v>0</v>
      </c>
      <c r="S138" s="5123">
        <v>0</v>
      </c>
      <c r="T138" s="5123">
        <v>0</v>
      </c>
      <c r="U138" s="5122">
        <v>20</v>
      </c>
      <c r="V138" s="5123">
        <v>22.771999999999998</v>
      </c>
      <c r="W138" s="5123">
        <v>0</v>
      </c>
      <c r="X138" s="5123">
        <v>3.996</v>
      </c>
      <c r="Y138" s="5123">
        <v>0</v>
      </c>
      <c r="Z138" s="5123">
        <v>0</v>
      </c>
      <c r="AA138" s="5123">
        <v>8.9920000000000009</v>
      </c>
      <c r="AB138" s="5123">
        <v>0</v>
      </c>
      <c r="AC138" s="5123">
        <v>0</v>
      </c>
      <c r="AD138" s="5123">
        <v>0</v>
      </c>
      <c r="AE138" s="5123">
        <v>0</v>
      </c>
      <c r="AF138" s="5123">
        <v>0</v>
      </c>
      <c r="AG138" s="5123">
        <v>0</v>
      </c>
      <c r="AH138" s="5123">
        <v>0</v>
      </c>
      <c r="AI138" s="5123">
        <v>0</v>
      </c>
      <c r="AJ138" s="5123">
        <v>0</v>
      </c>
      <c r="AK138" s="5123">
        <v>0</v>
      </c>
      <c r="AL138" s="5123">
        <v>0</v>
      </c>
      <c r="AM138" s="5123">
        <v>0</v>
      </c>
      <c r="AN138" s="5124">
        <f t="shared" si="4"/>
        <v>55.76</v>
      </c>
      <c r="AO138" s="5125">
        <v>55.76</v>
      </c>
      <c r="AP138" s="5126">
        <f t="shared" si="5"/>
        <v>0</v>
      </c>
    </row>
    <row r="139" spans="1:42">
      <c r="A139" s="5121">
        <v>344</v>
      </c>
      <c r="B139" s="5122">
        <v>20</v>
      </c>
      <c r="C139" s="5123">
        <v>17.786999999999999</v>
      </c>
      <c r="D139" s="5123">
        <v>0</v>
      </c>
      <c r="E139" s="5123">
        <v>3.9940000000000002</v>
      </c>
      <c r="F139" s="5123">
        <v>0</v>
      </c>
      <c r="G139" s="5123">
        <v>0</v>
      </c>
      <c r="H139" s="5123">
        <v>0</v>
      </c>
      <c r="I139" s="5123">
        <v>0</v>
      </c>
      <c r="J139" s="5123">
        <v>0</v>
      </c>
      <c r="K139" s="5123">
        <v>0</v>
      </c>
      <c r="L139" s="5123">
        <v>0</v>
      </c>
      <c r="M139" s="5123">
        <v>0</v>
      </c>
      <c r="N139" s="5123">
        <v>0</v>
      </c>
      <c r="O139" s="5123">
        <v>0</v>
      </c>
      <c r="P139" s="5123">
        <v>0</v>
      </c>
      <c r="Q139" s="5123">
        <v>0</v>
      </c>
      <c r="R139" s="5123">
        <v>0</v>
      </c>
      <c r="S139" s="5123">
        <v>0</v>
      </c>
      <c r="T139" s="5123">
        <v>0</v>
      </c>
      <c r="U139" s="5122">
        <v>20</v>
      </c>
      <c r="V139" s="5123">
        <v>17.605</v>
      </c>
      <c r="W139" s="5123">
        <v>0</v>
      </c>
      <c r="X139" s="5123">
        <v>5</v>
      </c>
      <c r="Y139" s="5123">
        <v>0</v>
      </c>
      <c r="Z139" s="5123">
        <v>0</v>
      </c>
      <c r="AA139" s="5123">
        <v>0</v>
      </c>
      <c r="AB139" s="5123">
        <v>0</v>
      </c>
      <c r="AC139" s="5123">
        <v>0</v>
      </c>
      <c r="AD139" s="5123">
        <v>0</v>
      </c>
      <c r="AE139" s="5123">
        <v>0</v>
      </c>
      <c r="AF139" s="5123">
        <v>0</v>
      </c>
      <c r="AG139" s="5123">
        <v>0</v>
      </c>
      <c r="AH139" s="5123">
        <v>0</v>
      </c>
      <c r="AI139" s="5123">
        <v>0</v>
      </c>
      <c r="AJ139" s="5123">
        <v>0</v>
      </c>
      <c r="AK139" s="5123">
        <v>0</v>
      </c>
      <c r="AL139" s="5123">
        <v>0</v>
      </c>
      <c r="AM139" s="5123">
        <v>0</v>
      </c>
      <c r="AN139" s="5124">
        <f t="shared" si="4"/>
        <v>42.604999999999997</v>
      </c>
      <c r="AO139" s="5125">
        <v>42.604999999999997</v>
      </c>
      <c r="AP139" s="5126">
        <f t="shared" si="5"/>
        <v>0</v>
      </c>
    </row>
    <row r="140" spans="1:42">
      <c r="A140" s="5121">
        <v>345</v>
      </c>
      <c r="B140" s="5122">
        <v>20</v>
      </c>
      <c r="C140" s="5123">
        <v>14.941000000000001</v>
      </c>
      <c r="D140" s="5123">
        <v>0</v>
      </c>
      <c r="E140" s="5123">
        <v>7.9409999999999998</v>
      </c>
      <c r="F140" s="5123">
        <v>0</v>
      </c>
      <c r="G140" s="5123">
        <v>0</v>
      </c>
      <c r="H140" s="5123">
        <v>9.5190000000000001</v>
      </c>
      <c r="I140" s="5123">
        <v>0</v>
      </c>
      <c r="J140" s="5123">
        <v>0</v>
      </c>
      <c r="K140" s="5123">
        <v>0</v>
      </c>
      <c r="L140" s="5123">
        <v>0</v>
      </c>
      <c r="M140" s="5123">
        <v>0</v>
      </c>
      <c r="N140" s="5123">
        <v>0</v>
      </c>
      <c r="O140" s="5123">
        <v>0</v>
      </c>
      <c r="P140" s="5123">
        <v>0</v>
      </c>
      <c r="Q140" s="5123">
        <v>0</v>
      </c>
      <c r="R140" s="5123">
        <v>0</v>
      </c>
      <c r="S140" s="5123">
        <v>0</v>
      </c>
      <c r="T140" s="5123">
        <v>0</v>
      </c>
      <c r="U140" s="5122">
        <v>20</v>
      </c>
      <c r="V140" s="5123">
        <v>16.638999999999999</v>
      </c>
      <c r="W140" s="5123">
        <v>0</v>
      </c>
      <c r="X140" s="5123">
        <v>7.9269999999999996</v>
      </c>
      <c r="Y140" s="5123">
        <v>0</v>
      </c>
      <c r="Z140" s="5123">
        <v>0</v>
      </c>
      <c r="AA140" s="5123">
        <v>7.54</v>
      </c>
      <c r="AB140" s="5123">
        <v>0</v>
      </c>
      <c r="AC140" s="5123">
        <v>0</v>
      </c>
      <c r="AD140" s="5123">
        <v>0</v>
      </c>
      <c r="AE140" s="5123">
        <v>0</v>
      </c>
      <c r="AF140" s="5123">
        <v>0</v>
      </c>
      <c r="AG140" s="5123">
        <v>0</v>
      </c>
      <c r="AH140" s="5123">
        <v>0</v>
      </c>
      <c r="AI140" s="5123">
        <v>0</v>
      </c>
      <c r="AJ140" s="5123">
        <v>0</v>
      </c>
      <c r="AK140" s="5123">
        <v>0</v>
      </c>
      <c r="AL140" s="5123">
        <v>0</v>
      </c>
      <c r="AM140" s="5123">
        <v>0</v>
      </c>
      <c r="AN140" s="5124">
        <f t="shared" si="4"/>
        <v>52.106000000000002</v>
      </c>
      <c r="AO140" s="5125">
        <v>52.106000000000002</v>
      </c>
      <c r="AP140" s="5126">
        <f t="shared" si="5"/>
        <v>0</v>
      </c>
    </row>
    <row r="141" spans="1:42">
      <c r="A141" s="5121">
        <v>346</v>
      </c>
      <c r="B141" s="5122">
        <v>20</v>
      </c>
      <c r="C141" s="5123">
        <v>19.748999999999999</v>
      </c>
      <c r="D141" s="5123">
        <v>0</v>
      </c>
      <c r="E141" s="5123">
        <v>5.9960000000000004</v>
      </c>
      <c r="F141" s="5123">
        <v>0</v>
      </c>
      <c r="G141" s="5123">
        <v>0</v>
      </c>
      <c r="H141" s="5123">
        <v>14.159000000000001</v>
      </c>
      <c r="I141" s="5123">
        <v>0</v>
      </c>
      <c r="J141" s="5123">
        <v>0</v>
      </c>
      <c r="K141" s="5123">
        <v>0</v>
      </c>
      <c r="L141" s="5123">
        <v>0</v>
      </c>
      <c r="M141" s="5123">
        <v>0</v>
      </c>
      <c r="N141" s="5123">
        <v>0</v>
      </c>
      <c r="O141" s="5123">
        <v>0</v>
      </c>
      <c r="P141" s="5123">
        <v>0</v>
      </c>
      <c r="Q141" s="5123">
        <v>0</v>
      </c>
      <c r="R141" s="5123">
        <v>0</v>
      </c>
      <c r="S141" s="5123">
        <v>0</v>
      </c>
      <c r="T141" s="5123">
        <v>0</v>
      </c>
      <c r="U141" s="5122">
        <v>20</v>
      </c>
      <c r="V141" s="5123">
        <v>14.932</v>
      </c>
      <c r="W141" s="5123">
        <v>0</v>
      </c>
      <c r="X141" s="5123">
        <v>7.7089999999999996</v>
      </c>
      <c r="Y141" s="5123">
        <v>0</v>
      </c>
      <c r="Z141" s="5123">
        <v>0</v>
      </c>
      <c r="AA141" s="5123">
        <v>13.945</v>
      </c>
      <c r="AB141" s="5123">
        <v>0</v>
      </c>
      <c r="AC141" s="5123">
        <v>0</v>
      </c>
      <c r="AD141" s="5123">
        <v>0</v>
      </c>
      <c r="AE141" s="5123">
        <v>0</v>
      </c>
      <c r="AF141" s="5123">
        <v>0</v>
      </c>
      <c r="AG141" s="5123">
        <v>0</v>
      </c>
      <c r="AH141" s="5123">
        <v>0</v>
      </c>
      <c r="AI141" s="5123">
        <v>0</v>
      </c>
      <c r="AJ141" s="5123">
        <v>0</v>
      </c>
      <c r="AK141" s="5123">
        <v>0</v>
      </c>
      <c r="AL141" s="5123">
        <v>0</v>
      </c>
      <c r="AM141" s="5123">
        <v>0</v>
      </c>
      <c r="AN141" s="5124">
        <f t="shared" si="4"/>
        <v>56.585999999999999</v>
      </c>
      <c r="AO141" s="5125">
        <v>56.585999999999999</v>
      </c>
      <c r="AP141" s="5126">
        <f t="shared" si="5"/>
        <v>0</v>
      </c>
    </row>
    <row r="142" spans="1:42">
      <c r="A142" s="5121">
        <v>347</v>
      </c>
      <c r="B142" s="5122">
        <v>20</v>
      </c>
      <c r="C142" s="5123">
        <v>24.765999999999998</v>
      </c>
      <c r="D142" s="5123">
        <v>0</v>
      </c>
      <c r="E142" s="5123">
        <v>3</v>
      </c>
      <c r="F142" s="5123">
        <v>0</v>
      </c>
      <c r="G142" s="5123">
        <v>0</v>
      </c>
      <c r="H142" s="5123">
        <v>13.898999999999999</v>
      </c>
      <c r="I142" s="5123">
        <v>0</v>
      </c>
      <c r="J142" s="5123">
        <v>0</v>
      </c>
      <c r="K142" s="5123">
        <v>0</v>
      </c>
      <c r="L142" s="5123">
        <v>0</v>
      </c>
      <c r="M142" s="5123">
        <v>0</v>
      </c>
      <c r="N142" s="5123">
        <v>0</v>
      </c>
      <c r="O142" s="5123">
        <v>0</v>
      </c>
      <c r="P142" s="5123">
        <v>2</v>
      </c>
      <c r="Q142" s="5123">
        <v>0</v>
      </c>
      <c r="R142" s="5123">
        <v>0</v>
      </c>
      <c r="S142" s="5123">
        <v>0</v>
      </c>
      <c r="T142" s="5123">
        <v>0</v>
      </c>
      <c r="U142" s="5122">
        <v>20</v>
      </c>
      <c r="V142" s="5123">
        <v>25.983000000000001</v>
      </c>
      <c r="W142" s="5123">
        <v>0</v>
      </c>
      <c r="X142" s="5123">
        <v>7.9980000000000002</v>
      </c>
      <c r="Y142" s="5123">
        <v>0</v>
      </c>
      <c r="Z142" s="5123">
        <v>0</v>
      </c>
      <c r="AA142" s="5123">
        <v>13.896000000000001</v>
      </c>
      <c r="AB142" s="5123">
        <v>0</v>
      </c>
      <c r="AC142" s="5123">
        <v>0</v>
      </c>
      <c r="AD142" s="5123">
        <v>0</v>
      </c>
      <c r="AE142" s="5123">
        <v>0</v>
      </c>
      <c r="AF142" s="5123">
        <v>0</v>
      </c>
      <c r="AG142" s="5123">
        <v>0</v>
      </c>
      <c r="AH142" s="5123">
        <v>0</v>
      </c>
      <c r="AI142" s="5123">
        <v>2</v>
      </c>
      <c r="AJ142" s="5123">
        <v>0</v>
      </c>
      <c r="AK142" s="5123">
        <v>0</v>
      </c>
      <c r="AL142" s="5123">
        <v>0</v>
      </c>
      <c r="AM142" s="5123">
        <v>0</v>
      </c>
      <c r="AN142" s="5124">
        <f t="shared" si="4"/>
        <v>69.876999999999995</v>
      </c>
      <c r="AO142" s="5125">
        <v>69.876999999999995</v>
      </c>
      <c r="AP142" s="5126">
        <f t="shared" si="5"/>
        <v>0</v>
      </c>
    </row>
    <row r="143" spans="1:42">
      <c r="A143" s="5121">
        <v>348</v>
      </c>
      <c r="B143" s="5122">
        <v>20</v>
      </c>
      <c r="C143" s="5123">
        <v>14.738</v>
      </c>
      <c r="D143" s="5123">
        <v>0</v>
      </c>
      <c r="E143" s="5123">
        <v>7.9909999999999997</v>
      </c>
      <c r="F143" s="5123">
        <v>0</v>
      </c>
      <c r="G143" s="5123">
        <v>0</v>
      </c>
      <c r="H143" s="5123">
        <v>22.975000000000001</v>
      </c>
      <c r="I143" s="5123">
        <v>0</v>
      </c>
      <c r="J143" s="5123">
        <v>0</v>
      </c>
      <c r="K143" s="5123">
        <v>0</v>
      </c>
      <c r="L143" s="5123">
        <v>0</v>
      </c>
      <c r="M143" s="5123">
        <v>0</v>
      </c>
      <c r="N143" s="5123">
        <v>0</v>
      </c>
      <c r="O143" s="5123">
        <v>0</v>
      </c>
      <c r="P143" s="5123">
        <v>3.996</v>
      </c>
      <c r="Q143" s="5123">
        <v>0.999</v>
      </c>
      <c r="R143" s="5123">
        <v>0</v>
      </c>
      <c r="S143" s="5123">
        <v>0</v>
      </c>
      <c r="T143" s="5123">
        <v>0</v>
      </c>
      <c r="U143" s="5122">
        <v>20</v>
      </c>
      <c r="V143" s="5123">
        <v>18.288</v>
      </c>
      <c r="W143" s="5123">
        <v>0</v>
      </c>
      <c r="X143" s="5123">
        <v>8</v>
      </c>
      <c r="Y143" s="5123">
        <v>0</v>
      </c>
      <c r="Z143" s="5123">
        <v>0</v>
      </c>
      <c r="AA143" s="5123">
        <v>19.428999999999998</v>
      </c>
      <c r="AB143" s="5123">
        <v>0</v>
      </c>
      <c r="AC143" s="5123">
        <v>0</v>
      </c>
      <c r="AD143" s="5123">
        <v>0</v>
      </c>
      <c r="AE143" s="5123">
        <v>0</v>
      </c>
      <c r="AF143" s="5123">
        <v>0</v>
      </c>
      <c r="AG143" s="5123">
        <v>0</v>
      </c>
      <c r="AH143" s="5123">
        <v>0</v>
      </c>
      <c r="AI143" s="5123">
        <v>4</v>
      </c>
      <c r="AJ143" s="5123">
        <v>1</v>
      </c>
      <c r="AK143" s="5123">
        <v>0</v>
      </c>
      <c r="AL143" s="5123">
        <v>0</v>
      </c>
      <c r="AM143" s="5123">
        <v>0</v>
      </c>
      <c r="AN143" s="5124">
        <f t="shared" si="4"/>
        <v>70.716999999999999</v>
      </c>
      <c r="AO143" s="5125">
        <v>70.716999999999999</v>
      </c>
      <c r="AP143" s="5126">
        <f t="shared" si="5"/>
        <v>0</v>
      </c>
    </row>
    <row r="144" spans="1:42">
      <c r="A144" s="5121">
        <v>349</v>
      </c>
      <c r="B144" s="5122">
        <v>20</v>
      </c>
      <c r="C144" s="5123">
        <v>18.318000000000001</v>
      </c>
      <c r="D144" s="5123">
        <v>0</v>
      </c>
      <c r="E144" s="5123">
        <v>3.8620000000000001</v>
      </c>
      <c r="F144" s="5123">
        <v>0</v>
      </c>
      <c r="G144" s="5123">
        <v>0</v>
      </c>
      <c r="H144" s="5123">
        <v>11.917999999999999</v>
      </c>
      <c r="I144" s="5123">
        <v>0</v>
      </c>
      <c r="J144" s="5123">
        <v>0</v>
      </c>
      <c r="K144" s="5123">
        <v>0</v>
      </c>
      <c r="L144" s="5123">
        <v>0</v>
      </c>
      <c r="M144" s="5123">
        <v>0</v>
      </c>
      <c r="N144" s="5123">
        <v>0</v>
      </c>
      <c r="O144" s="5123">
        <v>0</v>
      </c>
      <c r="P144" s="5123">
        <v>4.8280000000000003</v>
      </c>
      <c r="Q144" s="5123">
        <v>0</v>
      </c>
      <c r="R144" s="5123">
        <v>0</v>
      </c>
      <c r="S144" s="5123">
        <v>0</v>
      </c>
      <c r="T144" s="5123">
        <v>0</v>
      </c>
      <c r="U144" s="5122">
        <v>20</v>
      </c>
      <c r="V144" s="5123">
        <v>23.260999999999999</v>
      </c>
      <c r="W144" s="5123">
        <v>0</v>
      </c>
      <c r="X144" s="5123">
        <v>3.8809999999999998</v>
      </c>
      <c r="Y144" s="5123">
        <v>0</v>
      </c>
      <c r="Z144" s="5123">
        <v>0</v>
      </c>
      <c r="AA144" s="5123">
        <v>4.3079999999999998</v>
      </c>
      <c r="AB144" s="5123">
        <v>0</v>
      </c>
      <c r="AC144" s="5123">
        <v>0</v>
      </c>
      <c r="AD144" s="5123">
        <v>0</v>
      </c>
      <c r="AE144" s="5123">
        <v>0</v>
      </c>
      <c r="AF144" s="5123">
        <v>0</v>
      </c>
      <c r="AG144" s="5123">
        <v>0</v>
      </c>
      <c r="AH144" s="5123">
        <v>0</v>
      </c>
      <c r="AI144" s="5123">
        <v>4.851</v>
      </c>
      <c r="AJ144" s="5123">
        <v>0</v>
      </c>
      <c r="AK144" s="5123">
        <v>0</v>
      </c>
      <c r="AL144" s="5123">
        <v>0</v>
      </c>
      <c r="AM144" s="5123">
        <v>0</v>
      </c>
      <c r="AN144" s="5124">
        <f t="shared" si="4"/>
        <v>56.301000000000002</v>
      </c>
      <c r="AO144" s="5125">
        <v>56.301000000000002</v>
      </c>
      <c r="AP144" s="5126">
        <f t="shared" si="5"/>
        <v>0</v>
      </c>
    </row>
    <row r="145" spans="1:42">
      <c r="A145" s="5121">
        <v>350</v>
      </c>
      <c r="B145" s="5122">
        <v>20</v>
      </c>
      <c r="C145" s="5123">
        <v>21.713999999999999</v>
      </c>
      <c r="D145" s="5123">
        <v>0</v>
      </c>
      <c r="E145" s="5123">
        <v>6.4930000000000003</v>
      </c>
      <c r="F145" s="5123">
        <v>0</v>
      </c>
      <c r="G145" s="5123">
        <v>0</v>
      </c>
      <c r="H145" s="5123">
        <v>0</v>
      </c>
      <c r="I145" s="5123">
        <v>0</v>
      </c>
      <c r="J145" s="5123">
        <v>0</v>
      </c>
      <c r="K145" s="5123">
        <v>0</v>
      </c>
      <c r="L145" s="5123">
        <v>0</v>
      </c>
      <c r="M145" s="5123">
        <v>0</v>
      </c>
      <c r="N145" s="5123">
        <v>0</v>
      </c>
      <c r="O145" s="5123">
        <v>0</v>
      </c>
      <c r="P145" s="5123">
        <v>2.9969999999999999</v>
      </c>
      <c r="Q145" s="5123">
        <v>0.72299999999999998</v>
      </c>
      <c r="R145" s="5123">
        <v>0</v>
      </c>
      <c r="S145" s="5123">
        <v>0</v>
      </c>
      <c r="T145" s="5123">
        <v>0</v>
      </c>
      <c r="U145" s="5122">
        <v>20</v>
      </c>
      <c r="V145" s="5123">
        <v>23.547999999999998</v>
      </c>
      <c r="W145" s="5123">
        <v>0</v>
      </c>
      <c r="X145" s="5123">
        <v>7.9930000000000003</v>
      </c>
      <c r="Y145" s="5123">
        <v>0</v>
      </c>
      <c r="Z145" s="5123">
        <v>0</v>
      </c>
      <c r="AA145" s="5123">
        <v>0</v>
      </c>
      <c r="AB145" s="5123">
        <v>0</v>
      </c>
      <c r="AC145" s="5123">
        <v>0</v>
      </c>
      <c r="AD145" s="5123">
        <v>0</v>
      </c>
      <c r="AE145" s="5123">
        <v>0</v>
      </c>
      <c r="AF145" s="5123">
        <v>0</v>
      </c>
      <c r="AG145" s="5123">
        <v>0</v>
      </c>
      <c r="AH145" s="5123">
        <v>0</v>
      </c>
      <c r="AI145" s="5123">
        <v>2.9969999999999999</v>
      </c>
      <c r="AJ145" s="5123">
        <v>0.71899999999999997</v>
      </c>
      <c r="AK145" s="5123">
        <v>0</v>
      </c>
      <c r="AL145" s="5123">
        <v>0</v>
      </c>
      <c r="AM145" s="5123">
        <v>0</v>
      </c>
      <c r="AN145" s="5124">
        <f t="shared" si="4"/>
        <v>55.256999999999998</v>
      </c>
      <c r="AO145" s="5125">
        <v>55.256999999999998</v>
      </c>
      <c r="AP145" s="5126">
        <f t="shared" si="5"/>
        <v>0</v>
      </c>
    </row>
    <row r="146" spans="1:42">
      <c r="A146" s="5121">
        <v>351</v>
      </c>
      <c r="B146" s="5122">
        <v>20</v>
      </c>
      <c r="C146" s="5123">
        <v>14.45</v>
      </c>
      <c r="D146" s="5123">
        <v>0</v>
      </c>
      <c r="E146" s="5123">
        <v>4</v>
      </c>
      <c r="F146" s="5123">
        <v>0</v>
      </c>
      <c r="G146" s="5123">
        <v>0</v>
      </c>
      <c r="H146" s="5123">
        <v>0</v>
      </c>
      <c r="I146" s="5123">
        <v>0</v>
      </c>
      <c r="J146" s="5123">
        <v>0</v>
      </c>
      <c r="K146" s="5123">
        <v>0</v>
      </c>
      <c r="L146" s="5123">
        <v>0</v>
      </c>
      <c r="M146" s="5123">
        <v>0</v>
      </c>
      <c r="N146" s="5123">
        <v>0</v>
      </c>
      <c r="O146" s="5123">
        <v>0</v>
      </c>
      <c r="P146" s="5123">
        <v>1</v>
      </c>
      <c r="Q146" s="5123">
        <v>0</v>
      </c>
      <c r="R146" s="5123">
        <v>0</v>
      </c>
      <c r="S146" s="5123">
        <v>0</v>
      </c>
      <c r="T146" s="5123">
        <v>0</v>
      </c>
      <c r="U146" s="5122">
        <v>20</v>
      </c>
      <c r="V146" s="5123">
        <v>15.385999999999999</v>
      </c>
      <c r="W146" s="5123">
        <v>0</v>
      </c>
      <c r="X146" s="5123">
        <v>3.9980000000000002</v>
      </c>
      <c r="Y146" s="5123">
        <v>0</v>
      </c>
      <c r="Z146" s="5123">
        <v>0</v>
      </c>
      <c r="AA146" s="5123">
        <v>0</v>
      </c>
      <c r="AB146" s="5123">
        <v>0</v>
      </c>
      <c r="AC146" s="5123">
        <v>0</v>
      </c>
      <c r="AD146" s="5123">
        <v>0</v>
      </c>
      <c r="AE146" s="5123">
        <v>0</v>
      </c>
      <c r="AF146" s="5123">
        <v>0</v>
      </c>
      <c r="AG146" s="5123">
        <v>0</v>
      </c>
      <c r="AH146" s="5123">
        <v>0</v>
      </c>
      <c r="AI146" s="5123">
        <v>0.999</v>
      </c>
      <c r="AJ146" s="5123">
        <v>0</v>
      </c>
      <c r="AK146" s="5123">
        <v>0</v>
      </c>
      <c r="AL146" s="5123">
        <v>0</v>
      </c>
      <c r="AM146" s="5123">
        <v>0</v>
      </c>
      <c r="AN146" s="5124">
        <f t="shared" si="4"/>
        <v>40.383000000000003</v>
      </c>
      <c r="AO146" s="5125">
        <v>40.383000000000003</v>
      </c>
      <c r="AP146" s="5126">
        <f t="shared" si="5"/>
        <v>0</v>
      </c>
    </row>
    <row r="147" spans="1:42">
      <c r="A147" s="5121">
        <v>352</v>
      </c>
      <c r="B147" s="5122">
        <v>20</v>
      </c>
      <c r="C147" s="5123">
        <v>16.196999999999999</v>
      </c>
      <c r="D147" s="5123">
        <v>0</v>
      </c>
      <c r="E147" s="5123">
        <v>4.7539999999999996</v>
      </c>
      <c r="F147" s="5123">
        <v>0</v>
      </c>
      <c r="G147" s="5123">
        <v>0</v>
      </c>
      <c r="H147" s="5123">
        <v>8.7579999999999991</v>
      </c>
      <c r="I147" s="5123">
        <v>0</v>
      </c>
      <c r="J147" s="5123">
        <v>0</v>
      </c>
      <c r="K147" s="5123">
        <v>0</v>
      </c>
      <c r="L147" s="5123">
        <v>0</v>
      </c>
      <c r="M147" s="5123">
        <v>0</v>
      </c>
      <c r="N147" s="5123">
        <v>0</v>
      </c>
      <c r="O147" s="5123">
        <v>0</v>
      </c>
      <c r="P147" s="5123">
        <v>0</v>
      </c>
      <c r="Q147" s="5123">
        <v>0</v>
      </c>
      <c r="R147" s="5123">
        <v>0</v>
      </c>
      <c r="S147" s="5123">
        <v>0</v>
      </c>
      <c r="T147" s="5123">
        <v>0</v>
      </c>
      <c r="U147" s="5122">
        <v>20</v>
      </c>
      <c r="V147" s="5123">
        <v>19.579999999999998</v>
      </c>
      <c r="W147" s="5123">
        <v>0</v>
      </c>
      <c r="X147" s="5123">
        <v>1.3480000000000001</v>
      </c>
      <c r="Y147" s="5123">
        <v>0</v>
      </c>
      <c r="Z147" s="5123">
        <v>0</v>
      </c>
      <c r="AA147" s="5123">
        <v>8.7330000000000005</v>
      </c>
      <c r="AB147" s="5123">
        <v>0</v>
      </c>
      <c r="AC147" s="5123">
        <v>0</v>
      </c>
      <c r="AD147" s="5123">
        <v>0</v>
      </c>
      <c r="AE147" s="5123">
        <v>0</v>
      </c>
      <c r="AF147" s="5123">
        <v>0</v>
      </c>
      <c r="AG147" s="5123">
        <v>0</v>
      </c>
      <c r="AH147" s="5123">
        <v>0</v>
      </c>
      <c r="AI147" s="5123">
        <v>0</v>
      </c>
      <c r="AJ147" s="5123">
        <v>0</v>
      </c>
      <c r="AK147" s="5123">
        <v>0</v>
      </c>
      <c r="AL147" s="5123">
        <v>0</v>
      </c>
      <c r="AM147" s="5123">
        <v>0</v>
      </c>
      <c r="AN147" s="5124">
        <f t="shared" si="4"/>
        <v>49.661000000000001</v>
      </c>
      <c r="AO147" s="5125">
        <v>49.661000000000001</v>
      </c>
      <c r="AP147" s="5126">
        <f t="shared" si="5"/>
        <v>0</v>
      </c>
    </row>
    <row r="148" spans="1:42">
      <c r="A148" s="5121">
        <v>353</v>
      </c>
      <c r="B148" s="5122">
        <v>20</v>
      </c>
      <c r="C148" s="5123">
        <v>12.035</v>
      </c>
      <c r="D148" s="5123">
        <v>0</v>
      </c>
      <c r="E148" s="5123">
        <v>4.9969999999999999</v>
      </c>
      <c r="F148" s="5123">
        <v>0</v>
      </c>
      <c r="G148" s="5123">
        <v>0</v>
      </c>
      <c r="H148" s="5123">
        <v>18.021000000000001</v>
      </c>
      <c r="I148" s="5123">
        <v>0</v>
      </c>
      <c r="J148" s="5123">
        <v>0</v>
      </c>
      <c r="K148" s="5123">
        <v>0</v>
      </c>
      <c r="L148" s="5123">
        <v>0</v>
      </c>
      <c r="M148" s="5123">
        <v>0</v>
      </c>
      <c r="N148" s="5123">
        <v>0</v>
      </c>
      <c r="O148" s="5123">
        <v>0</v>
      </c>
      <c r="P148" s="5123">
        <v>4.97</v>
      </c>
      <c r="Q148" s="5123">
        <v>0.96</v>
      </c>
      <c r="R148" s="5123">
        <v>0</v>
      </c>
      <c r="S148" s="5123">
        <v>0</v>
      </c>
      <c r="T148" s="5123">
        <v>0</v>
      </c>
      <c r="U148" s="5122">
        <v>20</v>
      </c>
      <c r="V148" s="5123">
        <v>15.869</v>
      </c>
      <c r="W148" s="5123">
        <v>0</v>
      </c>
      <c r="X148" s="5123">
        <v>7.774</v>
      </c>
      <c r="Y148" s="5123">
        <v>0</v>
      </c>
      <c r="Z148" s="5123">
        <v>0</v>
      </c>
      <c r="AA148" s="5123">
        <v>15.21</v>
      </c>
      <c r="AB148" s="5123">
        <v>0</v>
      </c>
      <c r="AC148" s="5123">
        <v>0</v>
      </c>
      <c r="AD148" s="5123">
        <v>0</v>
      </c>
      <c r="AE148" s="5123">
        <v>0</v>
      </c>
      <c r="AF148" s="5123">
        <v>0</v>
      </c>
      <c r="AG148" s="5123">
        <v>0</v>
      </c>
      <c r="AH148" s="5123">
        <v>0</v>
      </c>
      <c r="AI148" s="5123">
        <v>4.83</v>
      </c>
      <c r="AJ148" s="5123">
        <v>0.93300000000000005</v>
      </c>
      <c r="AK148" s="5123">
        <v>0</v>
      </c>
      <c r="AL148" s="5123">
        <v>0</v>
      </c>
      <c r="AM148" s="5123">
        <v>0</v>
      </c>
      <c r="AN148" s="5124">
        <f t="shared" si="4"/>
        <v>64.616</v>
      </c>
      <c r="AO148" s="5125">
        <v>64.616</v>
      </c>
      <c r="AP148" s="5126">
        <f t="shared" si="5"/>
        <v>0</v>
      </c>
    </row>
    <row r="149" spans="1:42">
      <c r="A149" s="5121">
        <v>355</v>
      </c>
      <c r="B149" s="5122">
        <v>20</v>
      </c>
      <c r="C149" s="5123">
        <v>26.96</v>
      </c>
      <c r="D149" s="5123">
        <v>0</v>
      </c>
      <c r="E149" s="5123">
        <v>5.0620000000000003</v>
      </c>
      <c r="F149" s="5123">
        <v>0</v>
      </c>
      <c r="G149" s="5123">
        <v>0</v>
      </c>
      <c r="H149" s="5123">
        <v>10.351000000000001</v>
      </c>
      <c r="I149" s="5123">
        <v>0</v>
      </c>
      <c r="J149" s="5123">
        <v>0</v>
      </c>
      <c r="K149" s="5123">
        <v>0</v>
      </c>
      <c r="L149" s="5123">
        <v>0</v>
      </c>
      <c r="M149" s="5123">
        <v>0</v>
      </c>
      <c r="N149" s="5123">
        <v>0</v>
      </c>
      <c r="O149" s="5123">
        <v>0</v>
      </c>
      <c r="P149" s="5123">
        <v>3</v>
      </c>
      <c r="Q149" s="5123">
        <v>0</v>
      </c>
      <c r="R149" s="5123">
        <v>0</v>
      </c>
      <c r="S149" s="5123">
        <v>0</v>
      </c>
      <c r="T149" s="5123">
        <v>0</v>
      </c>
      <c r="U149" s="5122">
        <v>20</v>
      </c>
      <c r="V149" s="5123">
        <v>26.103999999999999</v>
      </c>
      <c r="W149" s="5123">
        <v>0</v>
      </c>
      <c r="X149" s="5123">
        <v>6.008</v>
      </c>
      <c r="Y149" s="5123">
        <v>0</v>
      </c>
      <c r="Z149" s="5123">
        <v>0</v>
      </c>
      <c r="AA149" s="5123">
        <v>13.581</v>
      </c>
      <c r="AB149" s="5123">
        <v>0</v>
      </c>
      <c r="AC149" s="5123">
        <v>0</v>
      </c>
      <c r="AD149" s="5123">
        <v>0</v>
      </c>
      <c r="AE149" s="5123">
        <v>0</v>
      </c>
      <c r="AF149" s="5123">
        <v>0</v>
      </c>
      <c r="AG149" s="5123">
        <v>0</v>
      </c>
      <c r="AH149" s="5123">
        <v>0</v>
      </c>
      <c r="AI149" s="5123">
        <v>3</v>
      </c>
      <c r="AJ149" s="5123">
        <v>0</v>
      </c>
      <c r="AK149" s="5123">
        <v>0</v>
      </c>
      <c r="AL149" s="5123">
        <v>0</v>
      </c>
      <c r="AM149" s="5123">
        <v>0</v>
      </c>
      <c r="AN149" s="5124">
        <f t="shared" si="4"/>
        <v>68.692999999999998</v>
      </c>
      <c r="AO149" s="5125">
        <v>68.692999999999998</v>
      </c>
      <c r="AP149" s="5126">
        <f t="shared" si="5"/>
        <v>0</v>
      </c>
    </row>
    <row r="150" spans="1:42">
      <c r="A150" s="5121">
        <v>356</v>
      </c>
      <c r="B150" s="5122">
        <v>20</v>
      </c>
      <c r="C150" s="5123">
        <v>17.085999999999999</v>
      </c>
      <c r="D150" s="5123">
        <v>0</v>
      </c>
      <c r="E150" s="5123">
        <v>4.984</v>
      </c>
      <c r="F150" s="5123">
        <v>0</v>
      </c>
      <c r="G150" s="5123">
        <v>0</v>
      </c>
      <c r="H150" s="5123">
        <v>15.975</v>
      </c>
      <c r="I150" s="5123">
        <v>0</v>
      </c>
      <c r="J150" s="5123">
        <v>0</v>
      </c>
      <c r="K150" s="5123">
        <v>0</v>
      </c>
      <c r="L150" s="5123">
        <v>0</v>
      </c>
      <c r="M150" s="5123">
        <v>0</v>
      </c>
      <c r="N150" s="5123">
        <v>0</v>
      </c>
      <c r="O150" s="5123">
        <v>0</v>
      </c>
      <c r="P150" s="5123">
        <v>3.9729999999999999</v>
      </c>
      <c r="Q150" s="5123">
        <v>0</v>
      </c>
      <c r="R150" s="5123">
        <v>0</v>
      </c>
      <c r="S150" s="5123">
        <v>0</v>
      </c>
      <c r="T150" s="5123">
        <v>0</v>
      </c>
      <c r="U150" s="5122">
        <v>20</v>
      </c>
      <c r="V150" s="5123">
        <v>19.358000000000001</v>
      </c>
      <c r="W150" s="5123">
        <v>0</v>
      </c>
      <c r="X150" s="5123">
        <v>7.7949999999999999</v>
      </c>
      <c r="Y150" s="5123">
        <v>0</v>
      </c>
      <c r="Z150" s="5123">
        <v>0</v>
      </c>
      <c r="AA150" s="5123">
        <v>9.8510000000000009</v>
      </c>
      <c r="AB150" s="5123">
        <v>0</v>
      </c>
      <c r="AC150" s="5123">
        <v>0</v>
      </c>
      <c r="AD150" s="5123">
        <v>0</v>
      </c>
      <c r="AE150" s="5123">
        <v>0</v>
      </c>
      <c r="AF150" s="5123">
        <v>0</v>
      </c>
      <c r="AG150" s="5123">
        <v>0</v>
      </c>
      <c r="AH150" s="5123">
        <v>0</v>
      </c>
      <c r="AI150" s="5123">
        <v>3.8969999999999998</v>
      </c>
      <c r="AJ150" s="5123">
        <v>0</v>
      </c>
      <c r="AK150" s="5123">
        <v>0</v>
      </c>
      <c r="AL150" s="5123">
        <v>0</v>
      </c>
      <c r="AM150" s="5123">
        <v>0</v>
      </c>
      <c r="AN150" s="5124">
        <f t="shared" si="4"/>
        <v>60.901000000000003</v>
      </c>
      <c r="AO150" s="5125">
        <v>60.901000000000003</v>
      </c>
      <c r="AP150" s="5126">
        <f t="shared" si="5"/>
        <v>0</v>
      </c>
    </row>
    <row r="151" spans="1:42">
      <c r="A151" s="5121">
        <v>357</v>
      </c>
      <c r="B151" s="5122">
        <v>20</v>
      </c>
      <c r="C151" s="5123">
        <v>17.655999999999999</v>
      </c>
      <c r="D151" s="5123">
        <v>0</v>
      </c>
      <c r="E151" s="5123">
        <v>7.9969999999999999</v>
      </c>
      <c r="F151" s="5123">
        <v>0</v>
      </c>
      <c r="G151" s="5123">
        <v>0</v>
      </c>
      <c r="H151" s="5123">
        <v>0</v>
      </c>
      <c r="I151" s="5123">
        <v>0</v>
      </c>
      <c r="J151" s="5123">
        <v>0</v>
      </c>
      <c r="K151" s="5123">
        <v>0</v>
      </c>
      <c r="L151" s="5123">
        <v>0</v>
      </c>
      <c r="M151" s="5123">
        <v>0</v>
      </c>
      <c r="N151" s="5123">
        <v>0</v>
      </c>
      <c r="O151" s="5123">
        <v>0</v>
      </c>
      <c r="P151" s="5123">
        <v>0</v>
      </c>
      <c r="Q151" s="5123">
        <v>0</v>
      </c>
      <c r="R151" s="5123">
        <v>0</v>
      </c>
      <c r="S151" s="5123">
        <v>0</v>
      </c>
      <c r="T151" s="5123">
        <v>0</v>
      </c>
      <c r="U151" s="5122">
        <v>20</v>
      </c>
      <c r="V151" s="5123">
        <v>15.673999999999999</v>
      </c>
      <c r="W151" s="5123">
        <v>0</v>
      </c>
      <c r="X151" s="5123">
        <v>8</v>
      </c>
      <c r="Y151" s="5123">
        <v>0</v>
      </c>
      <c r="Z151" s="5123">
        <v>0</v>
      </c>
      <c r="AA151" s="5123">
        <v>15.093999999999999</v>
      </c>
      <c r="AB151" s="5123">
        <v>0</v>
      </c>
      <c r="AC151" s="5123">
        <v>0</v>
      </c>
      <c r="AD151" s="5123">
        <v>0</v>
      </c>
      <c r="AE151" s="5123">
        <v>0</v>
      </c>
      <c r="AF151" s="5123">
        <v>0</v>
      </c>
      <c r="AG151" s="5123">
        <v>0</v>
      </c>
      <c r="AH151" s="5123">
        <v>0</v>
      </c>
      <c r="AI151" s="5123">
        <v>0</v>
      </c>
      <c r="AJ151" s="5123">
        <v>0</v>
      </c>
      <c r="AK151" s="5123">
        <v>0</v>
      </c>
      <c r="AL151" s="5123">
        <v>0</v>
      </c>
      <c r="AM151" s="5123">
        <v>0</v>
      </c>
      <c r="AN151" s="5124">
        <f t="shared" si="4"/>
        <v>58.768000000000001</v>
      </c>
      <c r="AO151" s="5125">
        <v>58.768000000000001</v>
      </c>
      <c r="AP151" s="5126">
        <f t="shared" si="5"/>
        <v>0</v>
      </c>
    </row>
    <row r="152" spans="1:42">
      <c r="A152" s="5121">
        <v>358</v>
      </c>
      <c r="B152" s="5122">
        <v>20</v>
      </c>
      <c r="C152" s="5123">
        <v>21.135000000000002</v>
      </c>
      <c r="D152" s="5123">
        <v>0</v>
      </c>
      <c r="E152" s="5123">
        <v>7.9870000000000001</v>
      </c>
      <c r="F152" s="5123">
        <v>0</v>
      </c>
      <c r="G152" s="5123">
        <v>0</v>
      </c>
      <c r="H152" s="5123">
        <v>11.364000000000001</v>
      </c>
      <c r="I152" s="5123">
        <v>0</v>
      </c>
      <c r="J152" s="5123">
        <v>0</v>
      </c>
      <c r="K152" s="5123">
        <v>0</v>
      </c>
      <c r="L152" s="5123">
        <v>0</v>
      </c>
      <c r="M152" s="5123">
        <v>0</v>
      </c>
      <c r="N152" s="5123">
        <v>0</v>
      </c>
      <c r="O152" s="5123">
        <v>0</v>
      </c>
      <c r="P152" s="5123">
        <v>0</v>
      </c>
      <c r="Q152" s="5123">
        <v>0</v>
      </c>
      <c r="R152" s="5123">
        <v>0</v>
      </c>
      <c r="S152" s="5123">
        <v>0</v>
      </c>
      <c r="T152" s="5123">
        <v>0</v>
      </c>
      <c r="U152" s="5122">
        <v>20</v>
      </c>
      <c r="V152" s="5123">
        <v>24.140999999999998</v>
      </c>
      <c r="W152" s="5123">
        <v>0</v>
      </c>
      <c r="X152" s="5123">
        <v>7.9939999999999998</v>
      </c>
      <c r="Y152" s="5123">
        <v>0</v>
      </c>
      <c r="Z152" s="5123">
        <v>0</v>
      </c>
      <c r="AA152" s="5123">
        <v>10.09</v>
      </c>
      <c r="AB152" s="5123">
        <v>0</v>
      </c>
      <c r="AC152" s="5123">
        <v>0</v>
      </c>
      <c r="AD152" s="5123">
        <v>0</v>
      </c>
      <c r="AE152" s="5123">
        <v>0</v>
      </c>
      <c r="AF152" s="5123">
        <v>0</v>
      </c>
      <c r="AG152" s="5123">
        <v>0</v>
      </c>
      <c r="AH152" s="5123">
        <v>0</v>
      </c>
      <c r="AI152" s="5123">
        <v>0</v>
      </c>
      <c r="AJ152" s="5123">
        <v>0</v>
      </c>
      <c r="AK152" s="5123">
        <v>0</v>
      </c>
      <c r="AL152" s="5123">
        <v>0</v>
      </c>
      <c r="AM152" s="5123">
        <v>0</v>
      </c>
      <c r="AN152" s="5124">
        <f t="shared" si="4"/>
        <v>62.225000000000001</v>
      </c>
      <c r="AO152" s="5125">
        <v>62.225000000000001</v>
      </c>
      <c r="AP152" s="5126">
        <f t="shared" si="5"/>
        <v>0</v>
      </c>
    </row>
    <row r="153" spans="1:42">
      <c r="A153" s="5121">
        <v>359</v>
      </c>
      <c r="B153" s="5122">
        <v>20</v>
      </c>
      <c r="C153" s="5123">
        <v>22.501000000000001</v>
      </c>
      <c r="D153" s="5123">
        <v>0</v>
      </c>
      <c r="E153" s="5123">
        <v>3.9790000000000001</v>
      </c>
      <c r="F153" s="5123">
        <v>0</v>
      </c>
      <c r="G153" s="5123">
        <v>0</v>
      </c>
      <c r="H153" s="5123">
        <v>0</v>
      </c>
      <c r="I153" s="5123">
        <v>0</v>
      </c>
      <c r="J153" s="5123">
        <v>0</v>
      </c>
      <c r="K153" s="5123">
        <v>0</v>
      </c>
      <c r="L153" s="5123">
        <v>0</v>
      </c>
      <c r="M153" s="5123">
        <v>0</v>
      </c>
      <c r="N153" s="5123">
        <v>0</v>
      </c>
      <c r="O153" s="5123">
        <v>0</v>
      </c>
      <c r="P153" s="5123">
        <v>2.4870000000000001</v>
      </c>
      <c r="Q153" s="5123">
        <v>0</v>
      </c>
      <c r="R153" s="5123">
        <v>0</v>
      </c>
      <c r="S153" s="5123">
        <v>0</v>
      </c>
      <c r="T153" s="5123">
        <v>0</v>
      </c>
      <c r="U153" s="5122">
        <v>20</v>
      </c>
      <c r="V153" s="5123">
        <v>27.474</v>
      </c>
      <c r="W153" s="5123">
        <v>0</v>
      </c>
      <c r="X153" s="5123">
        <v>0</v>
      </c>
      <c r="Y153" s="5123">
        <v>0</v>
      </c>
      <c r="Z153" s="5123">
        <v>0</v>
      </c>
      <c r="AA153" s="5123">
        <v>0</v>
      </c>
      <c r="AB153" s="5123">
        <v>0</v>
      </c>
      <c r="AC153" s="5123">
        <v>0</v>
      </c>
      <c r="AD153" s="5123">
        <v>0</v>
      </c>
      <c r="AE153" s="5123">
        <v>0</v>
      </c>
      <c r="AF153" s="5123">
        <v>0</v>
      </c>
      <c r="AG153" s="5123">
        <v>0</v>
      </c>
      <c r="AH153" s="5123">
        <v>0</v>
      </c>
      <c r="AI153" s="5123">
        <v>2.5</v>
      </c>
      <c r="AJ153" s="5123">
        <v>0</v>
      </c>
      <c r="AK153" s="5123">
        <v>0</v>
      </c>
      <c r="AL153" s="5123">
        <v>0</v>
      </c>
      <c r="AM153" s="5123">
        <v>0</v>
      </c>
      <c r="AN153" s="5124">
        <f t="shared" si="4"/>
        <v>49.973999999999997</v>
      </c>
      <c r="AO153" s="5125">
        <v>49.973999999999997</v>
      </c>
      <c r="AP153" s="5126">
        <f t="shared" si="5"/>
        <v>0</v>
      </c>
    </row>
    <row r="154" spans="1:42">
      <c r="A154" s="5121">
        <v>360</v>
      </c>
      <c r="B154" s="5122">
        <v>20</v>
      </c>
      <c r="C154" s="5123">
        <v>20.207000000000001</v>
      </c>
      <c r="D154" s="5123">
        <v>0</v>
      </c>
      <c r="E154" s="5123">
        <v>8</v>
      </c>
      <c r="F154" s="5123">
        <v>0</v>
      </c>
      <c r="G154" s="5123">
        <v>0</v>
      </c>
      <c r="H154" s="5123">
        <v>14.666</v>
      </c>
      <c r="I154" s="5123">
        <v>0</v>
      </c>
      <c r="J154" s="5123">
        <v>0</v>
      </c>
      <c r="K154" s="5123">
        <v>0</v>
      </c>
      <c r="L154" s="5123">
        <v>0</v>
      </c>
      <c r="M154" s="5123">
        <v>0</v>
      </c>
      <c r="N154" s="5123">
        <v>0</v>
      </c>
      <c r="O154" s="5123">
        <v>0</v>
      </c>
      <c r="P154" s="5123">
        <v>1.5</v>
      </c>
      <c r="Q154" s="5123">
        <v>0</v>
      </c>
      <c r="R154" s="5123">
        <v>0</v>
      </c>
      <c r="S154" s="5123">
        <v>0</v>
      </c>
      <c r="T154" s="5123">
        <v>0</v>
      </c>
      <c r="U154" s="5122">
        <v>20</v>
      </c>
      <c r="V154" s="5123">
        <v>24.376999999999999</v>
      </c>
      <c r="W154" s="5123">
        <v>0</v>
      </c>
      <c r="X154" s="5123">
        <v>8</v>
      </c>
      <c r="Y154" s="5123">
        <v>0</v>
      </c>
      <c r="Z154" s="5123">
        <v>0</v>
      </c>
      <c r="AA154" s="5123">
        <v>16.582000000000001</v>
      </c>
      <c r="AB154" s="5123">
        <v>0</v>
      </c>
      <c r="AC154" s="5123">
        <v>0</v>
      </c>
      <c r="AD154" s="5123">
        <v>0</v>
      </c>
      <c r="AE154" s="5123">
        <v>0</v>
      </c>
      <c r="AF154" s="5123">
        <v>0</v>
      </c>
      <c r="AG154" s="5123">
        <v>0</v>
      </c>
      <c r="AH154" s="5123">
        <v>0</v>
      </c>
      <c r="AI154" s="5123">
        <v>2.899</v>
      </c>
      <c r="AJ154" s="5123">
        <v>0</v>
      </c>
      <c r="AK154" s="5123">
        <v>0</v>
      </c>
      <c r="AL154" s="5123">
        <v>0</v>
      </c>
      <c r="AM154" s="5123">
        <v>0</v>
      </c>
      <c r="AN154" s="5124">
        <f t="shared" si="4"/>
        <v>71.858000000000004</v>
      </c>
      <c r="AO154" s="5125">
        <v>71.858000000000004</v>
      </c>
      <c r="AP154" s="5126">
        <f t="shared" si="5"/>
        <v>0</v>
      </c>
    </row>
    <row r="155" spans="1:42">
      <c r="A155" s="5121">
        <v>361</v>
      </c>
      <c r="B155" s="5122">
        <v>20</v>
      </c>
      <c r="C155" s="5123">
        <v>19.376999999999999</v>
      </c>
      <c r="D155" s="5123">
        <v>0</v>
      </c>
      <c r="E155" s="5123">
        <v>6.3019999999999996</v>
      </c>
      <c r="F155" s="5123">
        <v>0</v>
      </c>
      <c r="G155" s="5123">
        <v>0</v>
      </c>
      <c r="H155" s="5123">
        <v>4.0730000000000004</v>
      </c>
      <c r="I155" s="5123">
        <v>0</v>
      </c>
      <c r="J155" s="5123">
        <v>0</v>
      </c>
      <c r="K155" s="5123">
        <v>0</v>
      </c>
      <c r="L155" s="5123">
        <v>0</v>
      </c>
      <c r="M155" s="5123">
        <v>0</v>
      </c>
      <c r="N155" s="5123">
        <v>0</v>
      </c>
      <c r="O155" s="5123">
        <v>0</v>
      </c>
      <c r="P155" s="5123">
        <v>0</v>
      </c>
      <c r="Q155" s="5123">
        <v>0</v>
      </c>
      <c r="R155" s="5123">
        <v>0</v>
      </c>
      <c r="S155" s="5123">
        <v>0</v>
      </c>
      <c r="T155" s="5123">
        <v>0</v>
      </c>
      <c r="U155" s="5122">
        <v>20</v>
      </c>
      <c r="V155" s="5123">
        <v>19.986999999999998</v>
      </c>
      <c r="W155" s="5123">
        <v>0</v>
      </c>
      <c r="X155" s="5123">
        <v>7.5449999999999999</v>
      </c>
      <c r="Y155" s="5123">
        <v>0</v>
      </c>
      <c r="Z155" s="5123">
        <v>0</v>
      </c>
      <c r="AA155" s="5123">
        <v>4.3040000000000003</v>
      </c>
      <c r="AB155" s="5123">
        <v>0</v>
      </c>
      <c r="AC155" s="5123">
        <v>0</v>
      </c>
      <c r="AD155" s="5123">
        <v>0</v>
      </c>
      <c r="AE155" s="5123">
        <v>0</v>
      </c>
      <c r="AF155" s="5123">
        <v>0</v>
      </c>
      <c r="AG155" s="5123">
        <v>0</v>
      </c>
      <c r="AH155" s="5123">
        <v>0</v>
      </c>
      <c r="AI155" s="5123">
        <v>0</v>
      </c>
      <c r="AJ155" s="5123">
        <v>0</v>
      </c>
      <c r="AK155" s="5123">
        <v>0</v>
      </c>
      <c r="AL155" s="5123">
        <v>0</v>
      </c>
      <c r="AM155" s="5123">
        <v>0</v>
      </c>
      <c r="AN155" s="5124">
        <f t="shared" si="4"/>
        <v>51.835999999999999</v>
      </c>
      <c r="AO155" s="5125">
        <v>51.835999999999999</v>
      </c>
      <c r="AP155" s="5126">
        <f t="shared" si="5"/>
        <v>0</v>
      </c>
    </row>
    <row r="156" spans="1:42">
      <c r="A156" s="5121">
        <v>362</v>
      </c>
      <c r="B156" s="5122">
        <v>20</v>
      </c>
      <c r="C156" s="5123">
        <v>16.183</v>
      </c>
      <c r="D156" s="5123">
        <v>0</v>
      </c>
      <c r="E156" s="5123">
        <v>8</v>
      </c>
      <c r="F156" s="5123">
        <v>0</v>
      </c>
      <c r="G156" s="5123">
        <v>0</v>
      </c>
      <c r="H156" s="5123">
        <v>5.4180000000000001</v>
      </c>
      <c r="I156" s="5123">
        <v>0</v>
      </c>
      <c r="J156" s="5123">
        <v>0</v>
      </c>
      <c r="K156" s="5123">
        <v>0</v>
      </c>
      <c r="L156" s="5123">
        <v>0</v>
      </c>
      <c r="M156" s="5123">
        <v>0</v>
      </c>
      <c r="N156" s="5123">
        <v>0</v>
      </c>
      <c r="O156" s="5123">
        <v>0</v>
      </c>
      <c r="P156" s="5123">
        <v>0</v>
      </c>
      <c r="Q156" s="5123">
        <v>0</v>
      </c>
      <c r="R156" s="5123">
        <v>0</v>
      </c>
      <c r="S156" s="5123">
        <v>0</v>
      </c>
      <c r="T156" s="5123">
        <v>0</v>
      </c>
      <c r="U156" s="5122">
        <v>20</v>
      </c>
      <c r="V156" s="5123">
        <v>13.331</v>
      </c>
      <c r="W156" s="5123">
        <v>0</v>
      </c>
      <c r="X156" s="5123">
        <v>8</v>
      </c>
      <c r="Y156" s="5123">
        <v>0</v>
      </c>
      <c r="Z156" s="5123">
        <v>0</v>
      </c>
      <c r="AA156" s="5123">
        <v>5.5490000000000004</v>
      </c>
      <c r="AB156" s="5123">
        <v>0</v>
      </c>
      <c r="AC156" s="5123">
        <v>0</v>
      </c>
      <c r="AD156" s="5123">
        <v>0</v>
      </c>
      <c r="AE156" s="5123">
        <v>0</v>
      </c>
      <c r="AF156" s="5123">
        <v>0</v>
      </c>
      <c r="AG156" s="5123">
        <v>0</v>
      </c>
      <c r="AH156" s="5123">
        <v>0</v>
      </c>
      <c r="AI156" s="5123">
        <v>0</v>
      </c>
      <c r="AJ156" s="5123">
        <v>0</v>
      </c>
      <c r="AK156" s="5123">
        <v>0</v>
      </c>
      <c r="AL156" s="5123">
        <v>0</v>
      </c>
      <c r="AM156" s="5123">
        <v>0</v>
      </c>
      <c r="AN156" s="5124">
        <f t="shared" si="4"/>
        <v>46.88</v>
      </c>
      <c r="AO156" s="5125">
        <v>46.88</v>
      </c>
      <c r="AP156" s="5126">
        <f t="shared" si="5"/>
        <v>0</v>
      </c>
    </row>
    <row r="157" spans="1:42">
      <c r="A157" s="5121">
        <v>363</v>
      </c>
      <c r="B157" s="5122">
        <v>20</v>
      </c>
      <c r="C157" s="5123">
        <v>12.164</v>
      </c>
      <c r="D157" s="5123">
        <v>0</v>
      </c>
      <c r="E157" s="5123">
        <v>8</v>
      </c>
      <c r="F157" s="5123">
        <v>0</v>
      </c>
      <c r="G157" s="5123">
        <v>0</v>
      </c>
      <c r="H157" s="5123">
        <v>0</v>
      </c>
      <c r="I157" s="5123">
        <v>0</v>
      </c>
      <c r="J157" s="5123">
        <v>0</v>
      </c>
      <c r="K157" s="5123">
        <v>0</v>
      </c>
      <c r="L157" s="5123">
        <v>0</v>
      </c>
      <c r="M157" s="5123">
        <v>0</v>
      </c>
      <c r="N157" s="5123">
        <v>0</v>
      </c>
      <c r="O157" s="5123">
        <v>0</v>
      </c>
      <c r="P157" s="5123">
        <v>3.4430000000000001</v>
      </c>
      <c r="Q157" s="5123">
        <v>0.84199999999999997</v>
      </c>
      <c r="R157" s="5123">
        <v>0</v>
      </c>
      <c r="S157" s="5123">
        <v>0</v>
      </c>
      <c r="T157" s="5123">
        <v>0</v>
      </c>
      <c r="U157" s="5122">
        <v>20</v>
      </c>
      <c r="V157" s="5123">
        <v>15.661</v>
      </c>
      <c r="W157" s="5123">
        <v>0</v>
      </c>
      <c r="X157" s="5123">
        <v>7.9980000000000002</v>
      </c>
      <c r="Y157" s="5123">
        <v>0</v>
      </c>
      <c r="Z157" s="5123">
        <v>0</v>
      </c>
      <c r="AA157" s="5123">
        <v>0</v>
      </c>
      <c r="AB157" s="5123">
        <v>0</v>
      </c>
      <c r="AC157" s="5123">
        <v>0</v>
      </c>
      <c r="AD157" s="5123">
        <v>0</v>
      </c>
      <c r="AE157" s="5123">
        <v>0</v>
      </c>
      <c r="AF157" s="5123">
        <v>0</v>
      </c>
      <c r="AG157" s="5123">
        <v>0</v>
      </c>
      <c r="AH157" s="5123">
        <v>0</v>
      </c>
      <c r="AI157" s="5123">
        <v>3.5990000000000002</v>
      </c>
      <c r="AJ157" s="5123">
        <v>0.84199999999999997</v>
      </c>
      <c r="AK157" s="5123">
        <v>0</v>
      </c>
      <c r="AL157" s="5123">
        <v>0</v>
      </c>
      <c r="AM157" s="5123">
        <v>0</v>
      </c>
      <c r="AN157" s="5124">
        <f t="shared" si="4"/>
        <v>48.1</v>
      </c>
      <c r="AO157" s="5125">
        <v>48.1</v>
      </c>
      <c r="AP157" s="5126">
        <f t="shared" si="5"/>
        <v>0</v>
      </c>
    </row>
    <row r="158" spans="1:42">
      <c r="A158" s="5121">
        <v>364</v>
      </c>
      <c r="B158" s="5122">
        <v>20</v>
      </c>
      <c r="C158" s="5123">
        <v>19.495000000000001</v>
      </c>
      <c r="D158" s="5123">
        <v>0</v>
      </c>
      <c r="E158" s="5123">
        <v>8</v>
      </c>
      <c r="F158" s="5123">
        <v>0</v>
      </c>
      <c r="G158" s="5123">
        <v>0</v>
      </c>
      <c r="H158" s="5123">
        <v>0</v>
      </c>
      <c r="I158" s="5123">
        <v>0</v>
      </c>
      <c r="J158" s="5123">
        <v>0</v>
      </c>
      <c r="K158" s="5123">
        <v>0</v>
      </c>
      <c r="L158" s="5123">
        <v>0</v>
      </c>
      <c r="M158" s="5123">
        <v>0</v>
      </c>
      <c r="N158" s="5123">
        <v>0</v>
      </c>
      <c r="O158" s="5123">
        <v>0</v>
      </c>
      <c r="P158" s="5123">
        <v>0</v>
      </c>
      <c r="Q158" s="5123">
        <v>0</v>
      </c>
      <c r="R158" s="5123">
        <v>0</v>
      </c>
      <c r="S158" s="5123">
        <v>0</v>
      </c>
      <c r="T158" s="5123">
        <v>0</v>
      </c>
      <c r="U158" s="5122">
        <v>20</v>
      </c>
      <c r="V158" s="5123">
        <v>19.22</v>
      </c>
      <c r="W158" s="5123">
        <v>0</v>
      </c>
      <c r="X158" s="5123">
        <v>7.9969999999999999</v>
      </c>
      <c r="Y158" s="5123">
        <v>0</v>
      </c>
      <c r="Z158" s="5123">
        <v>0</v>
      </c>
      <c r="AA158" s="5123">
        <v>0</v>
      </c>
      <c r="AB158" s="5123">
        <v>0</v>
      </c>
      <c r="AC158" s="5123">
        <v>0</v>
      </c>
      <c r="AD158" s="5123">
        <v>0</v>
      </c>
      <c r="AE158" s="5123">
        <v>0</v>
      </c>
      <c r="AF158" s="5123">
        <v>0</v>
      </c>
      <c r="AG158" s="5123">
        <v>0</v>
      </c>
      <c r="AH158" s="5123">
        <v>0</v>
      </c>
      <c r="AI158" s="5123">
        <v>0</v>
      </c>
      <c r="AJ158" s="5123">
        <v>0</v>
      </c>
      <c r="AK158" s="5123">
        <v>0</v>
      </c>
      <c r="AL158" s="5123">
        <v>0</v>
      </c>
      <c r="AM158" s="5123">
        <v>0</v>
      </c>
      <c r="AN158" s="5124">
        <f t="shared" si="4"/>
        <v>47.216999999999999</v>
      </c>
      <c r="AO158" s="5125">
        <v>47.216999999999999</v>
      </c>
      <c r="AP158" s="5126">
        <f t="shared" si="5"/>
        <v>0</v>
      </c>
    </row>
    <row r="159" spans="1:42">
      <c r="A159" s="5121">
        <v>365</v>
      </c>
      <c r="B159" s="5122">
        <v>20</v>
      </c>
      <c r="C159" s="5123">
        <v>16.838999999999999</v>
      </c>
      <c r="D159" s="5123">
        <v>0</v>
      </c>
      <c r="E159" s="5123">
        <v>6.7969999999999997</v>
      </c>
      <c r="F159" s="5123">
        <v>0</v>
      </c>
      <c r="G159" s="5123">
        <v>0</v>
      </c>
      <c r="H159" s="5123">
        <v>8.9320000000000004</v>
      </c>
      <c r="I159" s="5123">
        <v>0</v>
      </c>
      <c r="J159" s="5123">
        <v>0</v>
      </c>
      <c r="K159" s="5123">
        <v>0</v>
      </c>
      <c r="L159" s="5123">
        <v>0</v>
      </c>
      <c r="M159" s="5123">
        <v>0</v>
      </c>
      <c r="N159" s="5123">
        <v>0</v>
      </c>
      <c r="O159" s="5123">
        <v>0</v>
      </c>
      <c r="P159" s="5123">
        <v>0</v>
      </c>
      <c r="Q159" s="5123">
        <v>0</v>
      </c>
      <c r="R159" s="5123">
        <v>0</v>
      </c>
      <c r="S159" s="5123">
        <v>0</v>
      </c>
      <c r="T159" s="5123">
        <v>0</v>
      </c>
      <c r="U159" s="5122">
        <v>20</v>
      </c>
      <c r="V159" s="5123">
        <v>13.361000000000001</v>
      </c>
      <c r="W159" s="5123">
        <v>0</v>
      </c>
      <c r="X159" s="5123">
        <v>7.9989999999999997</v>
      </c>
      <c r="Y159" s="5123">
        <v>0</v>
      </c>
      <c r="Z159" s="5123">
        <v>0</v>
      </c>
      <c r="AA159" s="5123">
        <v>10.968999999999999</v>
      </c>
      <c r="AB159" s="5123">
        <v>0</v>
      </c>
      <c r="AC159" s="5123">
        <v>0</v>
      </c>
      <c r="AD159" s="5123">
        <v>0</v>
      </c>
      <c r="AE159" s="5123">
        <v>0</v>
      </c>
      <c r="AF159" s="5123">
        <v>0</v>
      </c>
      <c r="AG159" s="5123">
        <v>0</v>
      </c>
      <c r="AH159" s="5123">
        <v>0</v>
      </c>
      <c r="AI159" s="5123">
        <v>0</v>
      </c>
      <c r="AJ159" s="5123">
        <v>0</v>
      </c>
      <c r="AK159" s="5123">
        <v>0</v>
      </c>
      <c r="AL159" s="5123">
        <v>0</v>
      </c>
      <c r="AM159" s="5123">
        <v>0</v>
      </c>
      <c r="AN159" s="5124">
        <f t="shared" si="4"/>
        <v>52.329000000000001</v>
      </c>
      <c r="AO159" s="5125">
        <v>52.329000000000001</v>
      </c>
      <c r="AP159" s="5126">
        <f t="shared" si="5"/>
        <v>0</v>
      </c>
    </row>
    <row r="160" spans="1:42">
      <c r="A160" s="5121">
        <v>366</v>
      </c>
      <c r="B160" s="5122">
        <v>20</v>
      </c>
      <c r="C160" s="5123">
        <v>19.122</v>
      </c>
      <c r="D160" s="5123">
        <v>0</v>
      </c>
      <c r="E160" s="5123">
        <v>6.9859999999999998</v>
      </c>
      <c r="F160" s="5123">
        <v>0</v>
      </c>
      <c r="G160" s="5123">
        <v>0</v>
      </c>
      <c r="H160" s="5123">
        <v>0</v>
      </c>
      <c r="I160" s="5123">
        <v>0</v>
      </c>
      <c r="J160" s="5123">
        <v>0</v>
      </c>
      <c r="K160" s="5123">
        <v>0</v>
      </c>
      <c r="L160" s="5123">
        <v>0</v>
      </c>
      <c r="M160" s="5123">
        <v>0</v>
      </c>
      <c r="N160" s="5123">
        <v>0</v>
      </c>
      <c r="O160" s="5123">
        <v>0</v>
      </c>
      <c r="P160" s="5123">
        <v>0</v>
      </c>
      <c r="Q160" s="5123">
        <v>0</v>
      </c>
      <c r="R160" s="5123">
        <v>0</v>
      </c>
      <c r="S160" s="5123">
        <v>0</v>
      </c>
      <c r="T160" s="5123">
        <v>0</v>
      </c>
      <c r="U160" s="5122">
        <v>20</v>
      </c>
      <c r="V160" s="5123">
        <v>28.974</v>
      </c>
      <c r="W160" s="5123">
        <v>0</v>
      </c>
      <c r="X160" s="5123">
        <v>2</v>
      </c>
      <c r="Y160" s="5123">
        <v>0</v>
      </c>
      <c r="Z160" s="5123">
        <v>0</v>
      </c>
      <c r="AA160" s="5123">
        <v>0</v>
      </c>
      <c r="AB160" s="5123">
        <v>0</v>
      </c>
      <c r="AC160" s="5123">
        <v>0</v>
      </c>
      <c r="AD160" s="5123">
        <v>0</v>
      </c>
      <c r="AE160" s="5123">
        <v>0</v>
      </c>
      <c r="AF160" s="5123">
        <v>0</v>
      </c>
      <c r="AG160" s="5123">
        <v>0</v>
      </c>
      <c r="AH160" s="5123">
        <v>0</v>
      </c>
      <c r="AI160" s="5123">
        <v>0</v>
      </c>
      <c r="AJ160" s="5123">
        <v>0</v>
      </c>
      <c r="AK160" s="5123">
        <v>0</v>
      </c>
      <c r="AL160" s="5123">
        <v>0</v>
      </c>
      <c r="AM160" s="5123">
        <v>0</v>
      </c>
      <c r="AN160" s="5124">
        <f t="shared" si="4"/>
        <v>50.973999999999997</v>
      </c>
      <c r="AO160" s="5125">
        <v>50.973999999999997</v>
      </c>
      <c r="AP160" s="5126">
        <f t="shared" si="5"/>
        <v>0</v>
      </c>
    </row>
    <row r="161" spans="1:42">
      <c r="A161" s="5121">
        <v>367</v>
      </c>
      <c r="B161" s="5122">
        <v>20</v>
      </c>
      <c r="C161" s="5123">
        <v>17.766999999999999</v>
      </c>
      <c r="D161" s="5123">
        <v>0</v>
      </c>
      <c r="E161" s="5123">
        <v>7.9880000000000004</v>
      </c>
      <c r="F161" s="5123">
        <v>0</v>
      </c>
      <c r="G161" s="5123">
        <v>0</v>
      </c>
      <c r="H161" s="5123">
        <v>13.989000000000001</v>
      </c>
      <c r="I161" s="5123">
        <v>0</v>
      </c>
      <c r="J161" s="5123">
        <v>0</v>
      </c>
      <c r="K161" s="5123">
        <v>0</v>
      </c>
      <c r="L161" s="5123">
        <v>0</v>
      </c>
      <c r="M161" s="5123">
        <v>0</v>
      </c>
      <c r="N161" s="5123">
        <v>0</v>
      </c>
      <c r="O161" s="5123">
        <v>0</v>
      </c>
      <c r="P161" s="5123">
        <v>0</v>
      </c>
      <c r="Q161" s="5123">
        <v>0</v>
      </c>
      <c r="R161" s="5123">
        <v>0</v>
      </c>
      <c r="S161" s="5123">
        <v>0</v>
      </c>
      <c r="T161" s="5123">
        <v>0</v>
      </c>
      <c r="U161" s="5122">
        <v>20</v>
      </c>
      <c r="V161" s="5123">
        <v>20.420999999999999</v>
      </c>
      <c r="W161" s="5123">
        <v>0</v>
      </c>
      <c r="X161" s="5123">
        <v>7.9950000000000001</v>
      </c>
      <c r="Y161" s="5123">
        <v>0</v>
      </c>
      <c r="Z161" s="5123">
        <v>0</v>
      </c>
      <c r="AA161" s="5123">
        <v>11.141999999999999</v>
      </c>
      <c r="AB161" s="5123">
        <v>0</v>
      </c>
      <c r="AC161" s="5123">
        <v>0</v>
      </c>
      <c r="AD161" s="5123">
        <v>0</v>
      </c>
      <c r="AE161" s="5123">
        <v>0</v>
      </c>
      <c r="AF161" s="5123">
        <v>0</v>
      </c>
      <c r="AG161" s="5123">
        <v>0</v>
      </c>
      <c r="AH161" s="5123">
        <v>0</v>
      </c>
      <c r="AI161" s="5123">
        <v>0.997</v>
      </c>
      <c r="AJ161" s="5123">
        <v>0</v>
      </c>
      <c r="AK161" s="5123">
        <v>0</v>
      </c>
      <c r="AL161" s="5123">
        <v>0</v>
      </c>
      <c r="AM161" s="5123">
        <v>0</v>
      </c>
      <c r="AN161" s="5124">
        <f t="shared" si="4"/>
        <v>60.555</v>
      </c>
      <c r="AO161" s="5125">
        <v>60.555</v>
      </c>
      <c r="AP161" s="5126">
        <f t="shared" si="5"/>
        <v>0</v>
      </c>
    </row>
    <row r="162" spans="1:42">
      <c r="A162" s="5121">
        <v>368</v>
      </c>
      <c r="B162" s="5122">
        <v>20</v>
      </c>
      <c r="C162" s="5123">
        <v>14.952</v>
      </c>
      <c r="D162" s="5123">
        <v>0</v>
      </c>
      <c r="E162" s="5123">
        <v>8</v>
      </c>
      <c r="F162" s="5123">
        <v>0</v>
      </c>
      <c r="G162" s="5123">
        <v>0</v>
      </c>
      <c r="H162" s="5123">
        <v>11.128</v>
      </c>
      <c r="I162" s="5123">
        <v>0</v>
      </c>
      <c r="J162" s="5123">
        <v>0</v>
      </c>
      <c r="K162" s="5123">
        <v>0.21299999999999999</v>
      </c>
      <c r="L162" s="5123">
        <v>0</v>
      </c>
      <c r="M162" s="5123">
        <v>0</v>
      </c>
      <c r="N162" s="5123">
        <v>0</v>
      </c>
      <c r="O162" s="5123">
        <v>0</v>
      </c>
      <c r="P162" s="5123">
        <v>0</v>
      </c>
      <c r="Q162" s="5123">
        <v>0</v>
      </c>
      <c r="R162" s="5123">
        <v>0</v>
      </c>
      <c r="S162" s="5123">
        <v>0</v>
      </c>
      <c r="T162" s="5123">
        <v>0</v>
      </c>
      <c r="U162" s="5122">
        <v>20</v>
      </c>
      <c r="V162" s="5123">
        <v>21.606000000000002</v>
      </c>
      <c r="W162" s="5123">
        <v>0</v>
      </c>
      <c r="X162" s="5123">
        <v>8</v>
      </c>
      <c r="Y162" s="5123">
        <v>0</v>
      </c>
      <c r="Z162" s="5123">
        <v>0</v>
      </c>
      <c r="AA162" s="5123">
        <v>9.0340000000000007</v>
      </c>
      <c r="AB162" s="5123">
        <v>0</v>
      </c>
      <c r="AC162" s="5123">
        <v>0</v>
      </c>
      <c r="AD162" s="5123">
        <v>0</v>
      </c>
      <c r="AE162" s="5123">
        <v>0</v>
      </c>
      <c r="AF162" s="5123">
        <v>0</v>
      </c>
      <c r="AG162" s="5123">
        <v>0</v>
      </c>
      <c r="AH162" s="5123">
        <v>0</v>
      </c>
      <c r="AI162" s="5123">
        <v>0</v>
      </c>
      <c r="AJ162" s="5123">
        <v>0</v>
      </c>
      <c r="AK162" s="5123">
        <v>0</v>
      </c>
      <c r="AL162" s="5123">
        <v>0</v>
      </c>
      <c r="AM162" s="5123">
        <v>0</v>
      </c>
      <c r="AN162" s="5124">
        <f t="shared" si="4"/>
        <v>58.64</v>
      </c>
      <c r="AO162" s="5125">
        <v>58.64</v>
      </c>
      <c r="AP162" s="5126">
        <f t="shared" si="5"/>
        <v>0</v>
      </c>
    </row>
    <row r="163" spans="1:42">
      <c r="A163" s="5121">
        <v>369</v>
      </c>
      <c r="B163" s="5122">
        <v>20</v>
      </c>
      <c r="C163" s="5123">
        <v>25.097000000000001</v>
      </c>
      <c r="D163" s="5123">
        <v>0</v>
      </c>
      <c r="E163" s="5123">
        <v>7.97</v>
      </c>
      <c r="F163" s="5123">
        <v>0</v>
      </c>
      <c r="G163" s="5123">
        <v>0</v>
      </c>
      <c r="H163" s="5123">
        <v>0</v>
      </c>
      <c r="I163" s="5123">
        <v>0</v>
      </c>
      <c r="J163" s="5123">
        <v>0</v>
      </c>
      <c r="K163" s="5123">
        <v>0</v>
      </c>
      <c r="L163" s="5123">
        <v>0</v>
      </c>
      <c r="M163" s="5123">
        <v>0</v>
      </c>
      <c r="N163" s="5123">
        <v>0</v>
      </c>
      <c r="O163" s="5123">
        <v>0</v>
      </c>
      <c r="P163" s="5123">
        <v>0.99299999999999999</v>
      </c>
      <c r="Q163" s="5123">
        <v>0</v>
      </c>
      <c r="R163" s="5123">
        <v>0</v>
      </c>
      <c r="S163" s="5123">
        <v>0</v>
      </c>
      <c r="T163" s="5123">
        <v>0</v>
      </c>
      <c r="U163" s="5122">
        <v>20</v>
      </c>
      <c r="V163" s="5123">
        <v>29.067</v>
      </c>
      <c r="W163" s="5123">
        <v>0</v>
      </c>
      <c r="X163" s="5123">
        <v>7.992</v>
      </c>
      <c r="Y163" s="5123">
        <v>0</v>
      </c>
      <c r="Z163" s="5123">
        <v>0</v>
      </c>
      <c r="AA163" s="5123">
        <v>7.3959999999999999</v>
      </c>
      <c r="AB163" s="5123">
        <v>0</v>
      </c>
      <c r="AC163" s="5123">
        <v>0</v>
      </c>
      <c r="AD163" s="5123">
        <v>0</v>
      </c>
      <c r="AE163" s="5123">
        <v>0</v>
      </c>
      <c r="AF163" s="5123">
        <v>0</v>
      </c>
      <c r="AG163" s="5123">
        <v>0</v>
      </c>
      <c r="AH163" s="5123">
        <v>0</v>
      </c>
      <c r="AI163" s="5123">
        <v>0.99299999999999999</v>
      </c>
      <c r="AJ163" s="5123">
        <v>0</v>
      </c>
      <c r="AK163" s="5123">
        <v>0</v>
      </c>
      <c r="AL163" s="5123">
        <v>0</v>
      </c>
      <c r="AM163" s="5123">
        <v>0</v>
      </c>
      <c r="AN163" s="5124">
        <f t="shared" si="4"/>
        <v>65.447999999999993</v>
      </c>
      <c r="AO163" s="5125">
        <v>65.447999999999993</v>
      </c>
      <c r="AP163" s="5126">
        <f t="shared" si="5"/>
        <v>0</v>
      </c>
    </row>
    <row r="164" spans="1:42">
      <c r="A164" s="5121">
        <v>371</v>
      </c>
      <c r="B164" s="5122">
        <v>20</v>
      </c>
      <c r="C164" s="5123">
        <v>18.7</v>
      </c>
      <c r="D164" s="5123">
        <v>0</v>
      </c>
      <c r="E164" s="5123">
        <v>4.6029999999999998</v>
      </c>
      <c r="F164" s="5123">
        <v>0</v>
      </c>
      <c r="G164" s="5123">
        <v>0</v>
      </c>
      <c r="H164" s="5123">
        <v>13.968999999999999</v>
      </c>
      <c r="I164" s="5123">
        <v>0</v>
      </c>
      <c r="J164" s="5123">
        <v>0</v>
      </c>
      <c r="K164" s="5123">
        <v>0</v>
      </c>
      <c r="L164" s="5123">
        <v>0</v>
      </c>
      <c r="M164" s="5123">
        <v>0</v>
      </c>
      <c r="N164" s="5123">
        <v>0</v>
      </c>
      <c r="O164" s="5123">
        <v>0</v>
      </c>
      <c r="P164" s="5123">
        <v>3.5</v>
      </c>
      <c r="Q164" s="5123">
        <v>0.45</v>
      </c>
      <c r="R164" s="5123">
        <v>0</v>
      </c>
      <c r="S164" s="5123">
        <v>0</v>
      </c>
      <c r="T164" s="5123">
        <v>0</v>
      </c>
      <c r="U164" s="5122">
        <v>20</v>
      </c>
      <c r="V164" s="5123">
        <v>22.741</v>
      </c>
      <c r="W164" s="5123">
        <v>0</v>
      </c>
      <c r="X164" s="5123">
        <v>3.601</v>
      </c>
      <c r="Y164" s="5123">
        <v>0</v>
      </c>
      <c r="Z164" s="5123">
        <v>0</v>
      </c>
      <c r="AA164" s="5123">
        <v>13.962</v>
      </c>
      <c r="AB164" s="5123">
        <v>0</v>
      </c>
      <c r="AC164" s="5123">
        <v>0</v>
      </c>
      <c r="AD164" s="5123">
        <v>0</v>
      </c>
      <c r="AE164" s="5123">
        <v>0</v>
      </c>
      <c r="AF164" s="5123">
        <v>0</v>
      </c>
      <c r="AG164" s="5123">
        <v>0</v>
      </c>
      <c r="AH164" s="5123">
        <v>0</v>
      </c>
      <c r="AI164" s="5123">
        <v>3.4980000000000002</v>
      </c>
      <c r="AJ164" s="5123">
        <v>0.45</v>
      </c>
      <c r="AK164" s="5123">
        <v>0</v>
      </c>
      <c r="AL164" s="5123">
        <v>0</v>
      </c>
      <c r="AM164" s="5123">
        <v>0</v>
      </c>
      <c r="AN164" s="5124">
        <f t="shared" si="4"/>
        <v>64.251999999999995</v>
      </c>
      <c r="AO164" s="5125">
        <v>64.251999999999995</v>
      </c>
      <c r="AP164" s="5126">
        <f t="shared" si="5"/>
        <v>0</v>
      </c>
    </row>
    <row r="165" spans="1:42">
      <c r="A165" s="5121">
        <v>372</v>
      </c>
      <c r="B165" s="5122">
        <v>20</v>
      </c>
      <c r="C165" s="5123">
        <v>15.58</v>
      </c>
      <c r="D165" s="5123">
        <v>0</v>
      </c>
      <c r="E165" s="5123">
        <v>8</v>
      </c>
      <c r="F165" s="5123">
        <v>0</v>
      </c>
      <c r="G165" s="5123">
        <v>0</v>
      </c>
      <c r="H165" s="5123">
        <v>9.9190000000000005</v>
      </c>
      <c r="I165" s="5123">
        <v>0</v>
      </c>
      <c r="J165" s="5123">
        <v>0</v>
      </c>
      <c r="K165" s="5123">
        <v>0</v>
      </c>
      <c r="L165" s="5123">
        <v>0</v>
      </c>
      <c r="M165" s="5123">
        <v>0</v>
      </c>
      <c r="N165" s="5123">
        <v>0</v>
      </c>
      <c r="O165" s="5123">
        <v>0</v>
      </c>
      <c r="P165" s="5123">
        <v>0</v>
      </c>
      <c r="Q165" s="5123">
        <v>0</v>
      </c>
      <c r="R165" s="5123">
        <v>0</v>
      </c>
      <c r="S165" s="5123">
        <v>0</v>
      </c>
      <c r="T165" s="5123">
        <v>0</v>
      </c>
      <c r="U165" s="5122">
        <v>20</v>
      </c>
      <c r="V165" s="5123">
        <v>19.565000000000001</v>
      </c>
      <c r="W165" s="5123">
        <v>0</v>
      </c>
      <c r="X165" s="5123">
        <v>8</v>
      </c>
      <c r="Y165" s="5123">
        <v>0</v>
      </c>
      <c r="Z165" s="5123">
        <v>0</v>
      </c>
      <c r="AA165" s="5123">
        <v>10.257</v>
      </c>
      <c r="AB165" s="5123">
        <v>0</v>
      </c>
      <c r="AC165" s="5123">
        <v>0</v>
      </c>
      <c r="AD165" s="5123">
        <v>0</v>
      </c>
      <c r="AE165" s="5123">
        <v>0</v>
      </c>
      <c r="AF165" s="5123">
        <v>0</v>
      </c>
      <c r="AG165" s="5123">
        <v>0</v>
      </c>
      <c r="AH165" s="5123">
        <v>0</v>
      </c>
      <c r="AI165" s="5123">
        <v>0</v>
      </c>
      <c r="AJ165" s="5123">
        <v>0</v>
      </c>
      <c r="AK165" s="5123">
        <v>0</v>
      </c>
      <c r="AL165" s="5123">
        <v>0</v>
      </c>
      <c r="AM165" s="5123">
        <v>0</v>
      </c>
      <c r="AN165" s="5124">
        <f t="shared" si="4"/>
        <v>57.822000000000003</v>
      </c>
      <c r="AO165" s="5125">
        <v>57.822000000000003</v>
      </c>
      <c r="AP165" s="5126">
        <f t="shared" si="5"/>
        <v>0</v>
      </c>
    </row>
    <row r="166" spans="1:42">
      <c r="A166" s="5121">
        <v>373</v>
      </c>
      <c r="B166" s="5122">
        <v>20</v>
      </c>
      <c r="C166" s="5123">
        <v>12.193</v>
      </c>
      <c r="D166" s="5123">
        <v>0</v>
      </c>
      <c r="E166" s="5123">
        <v>8</v>
      </c>
      <c r="F166" s="5123">
        <v>0</v>
      </c>
      <c r="G166" s="5123">
        <v>0</v>
      </c>
      <c r="H166" s="5123">
        <v>12.039</v>
      </c>
      <c r="I166" s="5123">
        <v>0</v>
      </c>
      <c r="J166" s="5123">
        <v>0</v>
      </c>
      <c r="K166" s="5123">
        <v>0</v>
      </c>
      <c r="L166" s="5123">
        <v>0</v>
      </c>
      <c r="M166" s="5123">
        <v>0</v>
      </c>
      <c r="N166" s="5123">
        <v>0</v>
      </c>
      <c r="O166" s="5123">
        <v>0</v>
      </c>
      <c r="P166" s="5123">
        <v>6.6820000000000004</v>
      </c>
      <c r="Q166" s="5123">
        <v>1.5640000000000001</v>
      </c>
      <c r="R166" s="5123">
        <v>0</v>
      </c>
      <c r="S166" s="5123">
        <v>0</v>
      </c>
      <c r="T166" s="5123">
        <v>0</v>
      </c>
      <c r="U166" s="5122">
        <v>20</v>
      </c>
      <c r="V166" s="5123">
        <v>15.003</v>
      </c>
      <c r="W166" s="5123">
        <v>0</v>
      </c>
      <c r="X166" s="5123">
        <v>7.9969999999999999</v>
      </c>
      <c r="Y166" s="5123">
        <v>0</v>
      </c>
      <c r="Z166" s="5123">
        <v>0</v>
      </c>
      <c r="AA166" s="5123">
        <v>11.833</v>
      </c>
      <c r="AB166" s="5123">
        <v>0</v>
      </c>
      <c r="AC166" s="5123">
        <v>0</v>
      </c>
      <c r="AD166" s="5123">
        <v>0</v>
      </c>
      <c r="AE166" s="5123">
        <v>0</v>
      </c>
      <c r="AF166" s="5123">
        <v>0</v>
      </c>
      <c r="AG166" s="5123">
        <v>0</v>
      </c>
      <c r="AH166" s="5123">
        <v>0</v>
      </c>
      <c r="AI166" s="5123">
        <v>6.5890000000000004</v>
      </c>
      <c r="AJ166" s="5123">
        <v>1.639</v>
      </c>
      <c r="AK166" s="5123">
        <v>0</v>
      </c>
      <c r="AL166" s="5123">
        <v>0</v>
      </c>
      <c r="AM166" s="5123">
        <v>0</v>
      </c>
      <c r="AN166" s="5124">
        <f t="shared" si="4"/>
        <v>63.061</v>
      </c>
      <c r="AO166" s="5125">
        <v>63.061</v>
      </c>
      <c r="AP166" s="5126">
        <f t="shared" si="5"/>
        <v>0</v>
      </c>
    </row>
    <row r="167" spans="1:42">
      <c r="A167" s="5121">
        <v>374</v>
      </c>
      <c r="B167" s="5122">
        <v>20</v>
      </c>
      <c r="C167" s="5123">
        <v>10.132</v>
      </c>
      <c r="D167" s="5123">
        <v>0</v>
      </c>
      <c r="E167" s="5123">
        <v>5.9980000000000002</v>
      </c>
      <c r="F167" s="5123">
        <v>0</v>
      </c>
      <c r="G167" s="5123">
        <v>0</v>
      </c>
      <c r="H167" s="5123">
        <v>4.57</v>
      </c>
      <c r="I167" s="5123">
        <v>0</v>
      </c>
      <c r="J167" s="5123">
        <v>0</v>
      </c>
      <c r="K167" s="5123">
        <v>0</v>
      </c>
      <c r="L167" s="5123">
        <v>0</v>
      </c>
      <c r="M167" s="5123">
        <v>0</v>
      </c>
      <c r="N167" s="5123">
        <v>0</v>
      </c>
      <c r="O167" s="5123">
        <v>0</v>
      </c>
      <c r="P167" s="5123">
        <v>2.2639999999999998</v>
      </c>
      <c r="Q167" s="5123">
        <v>0.73599999999999999</v>
      </c>
      <c r="R167" s="5123">
        <v>0</v>
      </c>
      <c r="S167" s="5123">
        <v>0</v>
      </c>
      <c r="T167" s="5123">
        <v>0</v>
      </c>
      <c r="U167" s="5122">
        <v>20</v>
      </c>
      <c r="V167" s="5123">
        <v>13.13</v>
      </c>
      <c r="W167" s="5123">
        <v>0</v>
      </c>
      <c r="X167" s="5123">
        <v>7.8879999999999999</v>
      </c>
      <c r="Y167" s="5123">
        <v>0</v>
      </c>
      <c r="Z167" s="5123">
        <v>0</v>
      </c>
      <c r="AA167" s="5123">
        <v>7.4029999999999996</v>
      </c>
      <c r="AB167" s="5123">
        <v>0</v>
      </c>
      <c r="AC167" s="5123">
        <v>0</v>
      </c>
      <c r="AD167" s="5123">
        <v>0</v>
      </c>
      <c r="AE167" s="5123">
        <v>0</v>
      </c>
      <c r="AF167" s="5123">
        <v>0</v>
      </c>
      <c r="AG167" s="5123">
        <v>0</v>
      </c>
      <c r="AH167" s="5123">
        <v>0</v>
      </c>
      <c r="AI167" s="5123">
        <v>2.9460000000000002</v>
      </c>
      <c r="AJ167" s="5123">
        <v>0.65200000000000002</v>
      </c>
      <c r="AK167" s="5123">
        <v>0</v>
      </c>
      <c r="AL167" s="5123">
        <v>0</v>
      </c>
      <c r="AM167" s="5123">
        <v>0</v>
      </c>
      <c r="AN167" s="5124">
        <f t="shared" si="4"/>
        <v>52.018999999999998</v>
      </c>
      <c r="AO167" s="5125">
        <v>52.018999999999998</v>
      </c>
      <c r="AP167" s="5126">
        <f t="shared" si="5"/>
        <v>0</v>
      </c>
    </row>
    <row r="168" spans="1:42">
      <c r="A168" s="5121">
        <v>375</v>
      </c>
      <c r="B168" s="5122">
        <v>20</v>
      </c>
      <c r="C168" s="5123">
        <v>16.452000000000002</v>
      </c>
      <c r="D168" s="5123">
        <v>0</v>
      </c>
      <c r="E168" s="5123">
        <v>6.8609999999999998</v>
      </c>
      <c r="F168" s="5123">
        <v>0</v>
      </c>
      <c r="G168" s="5123">
        <v>0</v>
      </c>
      <c r="H168" s="5123">
        <v>23.045000000000002</v>
      </c>
      <c r="I168" s="5123">
        <v>0</v>
      </c>
      <c r="J168" s="5123">
        <v>0</v>
      </c>
      <c r="K168" s="5123">
        <v>0</v>
      </c>
      <c r="L168" s="5123">
        <v>0</v>
      </c>
      <c r="M168" s="5123">
        <v>0</v>
      </c>
      <c r="N168" s="5123">
        <v>0</v>
      </c>
      <c r="O168" s="5123">
        <v>0</v>
      </c>
      <c r="P168" s="5123">
        <v>0</v>
      </c>
      <c r="Q168" s="5123">
        <v>0</v>
      </c>
      <c r="R168" s="5123">
        <v>0</v>
      </c>
      <c r="S168" s="5123">
        <v>0</v>
      </c>
      <c r="T168" s="5123">
        <v>0</v>
      </c>
      <c r="U168" s="5122">
        <v>20</v>
      </c>
      <c r="V168" s="5123">
        <v>14.821999999999999</v>
      </c>
      <c r="W168" s="5123">
        <v>0</v>
      </c>
      <c r="X168" s="5123">
        <v>8</v>
      </c>
      <c r="Y168" s="5123">
        <v>0</v>
      </c>
      <c r="Z168" s="5123">
        <v>0</v>
      </c>
      <c r="AA168" s="5123">
        <v>22.798999999999999</v>
      </c>
      <c r="AB168" s="5123">
        <v>0</v>
      </c>
      <c r="AC168" s="5123">
        <v>0</v>
      </c>
      <c r="AD168" s="5123">
        <v>0</v>
      </c>
      <c r="AE168" s="5123">
        <v>0</v>
      </c>
      <c r="AF168" s="5123">
        <v>0</v>
      </c>
      <c r="AG168" s="5123">
        <v>0</v>
      </c>
      <c r="AH168" s="5123">
        <v>0</v>
      </c>
      <c r="AI168" s="5123">
        <v>0</v>
      </c>
      <c r="AJ168" s="5123">
        <v>0</v>
      </c>
      <c r="AK168" s="5123">
        <v>0</v>
      </c>
      <c r="AL168" s="5123">
        <v>0</v>
      </c>
      <c r="AM168" s="5123">
        <v>0</v>
      </c>
      <c r="AN168" s="5124">
        <f t="shared" si="4"/>
        <v>65.620999999999995</v>
      </c>
      <c r="AO168" s="5125">
        <v>65.620999999999995</v>
      </c>
      <c r="AP168" s="5126">
        <f t="shared" si="5"/>
        <v>0</v>
      </c>
    </row>
    <row r="169" spans="1:42">
      <c r="A169" s="5121">
        <v>376</v>
      </c>
      <c r="B169" s="5122">
        <v>20</v>
      </c>
      <c r="C169" s="5123">
        <v>16.065999999999999</v>
      </c>
      <c r="D169" s="5123">
        <v>0</v>
      </c>
      <c r="E169" s="5123">
        <v>6.6890000000000001</v>
      </c>
      <c r="F169" s="5123">
        <v>0</v>
      </c>
      <c r="G169" s="5123">
        <v>0</v>
      </c>
      <c r="H169" s="5123">
        <v>24.337</v>
      </c>
      <c r="I169" s="5123">
        <v>0</v>
      </c>
      <c r="J169" s="5123">
        <v>0</v>
      </c>
      <c r="K169" s="5123">
        <v>0</v>
      </c>
      <c r="L169" s="5123">
        <v>0</v>
      </c>
      <c r="M169" s="5123">
        <v>0</v>
      </c>
      <c r="N169" s="5123">
        <v>0</v>
      </c>
      <c r="O169" s="5123">
        <v>0</v>
      </c>
      <c r="P169" s="5123">
        <v>2.5760000000000001</v>
      </c>
      <c r="Q169" s="5123">
        <v>0</v>
      </c>
      <c r="R169" s="5123">
        <v>0</v>
      </c>
      <c r="S169" s="5123">
        <v>0</v>
      </c>
      <c r="T169" s="5123">
        <v>0</v>
      </c>
      <c r="U169" s="5122">
        <v>20</v>
      </c>
      <c r="V169" s="5123">
        <v>12.79</v>
      </c>
      <c r="W169" s="5123">
        <v>0</v>
      </c>
      <c r="X169" s="5123">
        <v>8</v>
      </c>
      <c r="Y169" s="5123">
        <v>0</v>
      </c>
      <c r="Z169" s="5123">
        <v>0</v>
      </c>
      <c r="AA169" s="5123">
        <v>25.963000000000001</v>
      </c>
      <c r="AB169" s="5123">
        <v>0</v>
      </c>
      <c r="AC169" s="5123">
        <v>0</v>
      </c>
      <c r="AD169" s="5123">
        <v>0</v>
      </c>
      <c r="AE169" s="5123">
        <v>0</v>
      </c>
      <c r="AF169" s="5123">
        <v>0</v>
      </c>
      <c r="AG169" s="5123">
        <v>0</v>
      </c>
      <c r="AH169" s="5123">
        <v>0</v>
      </c>
      <c r="AI169" s="5123">
        <v>2.5529999999999999</v>
      </c>
      <c r="AJ169" s="5123">
        <v>0</v>
      </c>
      <c r="AK169" s="5123">
        <v>0</v>
      </c>
      <c r="AL169" s="5123">
        <v>0</v>
      </c>
      <c r="AM169" s="5123">
        <v>0</v>
      </c>
      <c r="AN169" s="5124">
        <f t="shared" si="4"/>
        <v>69.305999999999997</v>
      </c>
      <c r="AO169" s="5125">
        <v>69.305999999999997</v>
      </c>
      <c r="AP169" s="5126">
        <f t="shared" si="5"/>
        <v>0</v>
      </c>
    </row>
    <row r="170" spans="1:42">
      <c r="A170" s="5121">
        <v>377</v>
      </c>
      <c r="B170" s="5122">
        <v>20</v>
      </c>
      <c r="C170" s="5123">
        <v>19.044</v>
      </c>
      <c r="D170" s="5123">
        <v>0</v>
      </c>
      <c r="E170" s="5123">
        <v>3.8650000000000002</v>
      </c>
      <c r="F170" s="5123">
        <v>0</v>
      </c>
      <c r="G170" s="5123">
        <v>0</v>
      </c>
      <c r="H170" s="5123">
        <v>0</v>
      </c>
      <c r="I170" s="5123">
        <v>0</v>
      </c>
      <c r="J170" s="5123">
        <v>0</v>
      </c>
      <c r="K170" s="5123">
        <v>0</v>
      </c>
      <c r="L170" s="5123">
        <v>0</v>
      </c>
      <c r="M170" s="5123">
        <v>0</v>
      </c>
      <c r="N170" s="5123">
        <v>0</v>
      </c>
      <c r="O170" s="5123">
        <v>0</v>
      </c>
      <c r="P170" s="5123">
        <v>0</v>
      </c>
      <c r="Q170" s="5123">
        <v>0</v>
      </c>
      <c r="R170" s="5123">
        <v>0</v>
      </c>
      <c r="S170" s="5123">
        <v>0</v>
      </c>
      <c r="T170" s="5123">
        <v>0</v>
      </c>
      <c r="U170" s="5122">
        <v>20</v>
      </c>
      <c r="V170" s="5123">
        <v>20.734000000000002</v>
      </c>
      <c r="W170" s="5123">
        <v>0</v>
      </c>
      <c r="X170" s="5123">
        <v>4</v>
      </c>
      <c r="Y170" s="5123">
        <v>0</v>
      </c>
      <c r="Z170" s="5123">
        <v>0</v>
      </c>
      <c r="AA170" s="5123">
        <v>0</v>
      </c>
      <c r="AB170" s="5123">
        <v>0</v>
      </c>
      <c r="AC170" s="5123">
        <v>0</v>
      </c>
      <c r="AD170" s="5123">
        <v>0</v>
      </c>
      <c r="AE170" s="5123">
        <v>0</v>
      </c>
      <c r="AF170" s="5123">
        <v>0</v>
      </c>
      <c r="AG170" s="5123">
        <v>0</v>
      </c>
      <c r="AH170" s="5123">
        <v>0</v>
      </c>
      <c r="AI170" s="5123">
        <v>0</v>
      </c>
      <c r="AJ170" s="5123">
        <v>0</v>
      </c>
      <c r="AK170" s="5123">
        <v>0</v>
      </c>
      <c r="AL170" s="5123">
        <v>0</v>
      </c>
      <c r="AM170" s="5123">
        <v>0</v>
      </c>
      <c r="AN170" s="5124">
        <f t="shared" si="4"/>
        <v>44.734000000000002</v>
      </c>
      <c r="AO170" s="5125">
        <v>44.734000000000002</v>
      </c>
      <c r="AP170" s="5126">
        <f t="shared" si="5"/>
        <v>0</v>
      </c>
    </row>
    <row r="171" spans="1:42">
      <c r="A171" s="5121">
        <v>378</v>
      </c>
      <c r="B171" s="5122">
        <v>20</v>
      </c>
      <c r="C171" s="5123">
        <v>15.611000000000001</v>
      </c>
      <c r="D171" s="5123">
        <v>0</v>
      </c>
      <c r="E171" s="5123">
        <v>7.9989999999999997</v>
      </c>
      <c r="F171" s="5123">
        <v>0</v>
      </c>
      <c r="G171" s="5123">
        <v>0</v>
      </c>
      <c r="H171" s="5123">
        <v>4.43</v>
      </c>
      <c r="I171" s="5123">
        <v>0</v>
      </c>
      <c r="J171" s="5123">
        <v>0</v>
      </c>
      <c r="K171" s="5123">
        <v>0</v>
      </c>
      <c r="L171" s="5123">
        <v>0</v>
      </c>
      <c r="M171" s="5123">
        <v>0</v>
      </c>
      <c r="N171" s="5123">
        <v>0</v>
      </c>
      <c r="O171" s="5123">
        <v>0</v>
      </c>
      <c r="P171" s="5123">
        <v>0</v>
      </c>
      <c r="Q171" s="5123">
        <v>0</v>
      </c>
      <c r="R171" s="5123">
        <v>0</v>
      </c>
      <c r="S171" s="5123">
        <v>0</v>
      </c>
      <c r="T171" s="5123">
        <v>0</v>
      </c>
      <c r="U171" s="5122">
        <v>20</v>
      </c>
      <c r="V171" s="5123">
        <v>16.521999999999998</v>
      </c>
      <c r="W171" s="5123">
        <v>0</v>
      </c>
      <c r="X171" s="5123">
        <v>7.9980000000000002</v>
      </c>
      <c r="Y171" s="5123">
        <v>0</v>
      </c>
      <c r="Z171" s="5123">
        <v>0</v>
      </c>
      <c r="AA171" s="5123">
        <v>4.0789999999999997</v>
      </c>
      <c r="AB171" s="5123">
        <v>0</v>
      </c>
      <c r="AC171" s="5123">
        <v>0</v>
      </c>
      <c r="AD171" s="5123">
        <v>0</v>
      </c>
      <c r="AE171" s="5123">
        <v>0</v>
      </c>
      <c r="AF171" s="5123">
        <v>0</v>
      </c>
      <c r="AG171" s="5123">
        <v>0</v>
      </c>
      <c r="AH171" s="5123">
        <v>0</v>
      </c>
      <c r="AI171" s="5123">
        <v>0</v>
      </c>
      <c r="AJ171" s="5123">
        <v>0</v>
      </c>
      <c r="AK171" s="5123">
        <v>0</v>
      </c>
      <c r="AL171" s="5123">
        <v>0</v>
      </c>
      <c r="AM171" s="5123">
        <v>0</v>
      </c>
      <c r="AN171" s="5124">
        <f t="shared" si="4"/>
        <v>48.598999999999997</v>
      </c>
      <c r="AO171" s="5125">
        <v>48.598999999999997</v>
      </c>
      <c r="AP171" s="5126">
        <f t="shared" si="5"/>
        <v>0</v>
      </c>
    </row>
    <row r="172" spans="1:42">
      <c r="A172" s="5121">
        <v>379</v>
      </c>
      <c r="B172" s="5122">
        <v>20</v>
      </c>
      <c r="C172" s="5123">
        <v>15.021000000000001</v>
      </c>
      <c r="D172" s="5123">
        <v>0</v>
      </c>
      <c r="E172" s="5123">
        <v>5.4530000000000003</v>
      </c>
      <c r="F172" s="5123">
        <v>0</v>
      </c>
      <c r="G172" s="5123">
        <v>0</v>
      </c>
      <c r="H172" s="5123">
        <v>3.9169999999999998</v>
      </c>
      <c r="I172" s="5123">
        <v>0</v>
      </c>
      <c r="J172" s="5123">
        <v>0</v>
      </c>
      <c r="K172" s="5123">
        <v>0</v>
      </c>
      <c r="L172" s="5123">
        <v>0</v>
      </c>
      <c r="M172" s="5123">
        <v>0</v>
      </c>
      <c r="N172" s="5123">
        <v>0</v>
      </c>
      <c r="O172" s="5123">
        <v>0</v>
      </c>
      <c r="P172" s="5123">
        <v>0</v>
      </c>
      <c r="Q172" s="5123">
        <v>0</v>
      </c>
      <c r="R172" s="5123">
        <v>0</v>
      </c>
      <c r="S172" s="5123">
        <v>0</v>
      </c>
      <c r="T172" s="5123">
        <v>0</v>
      </c>
      <c r="U172" s="5122">
        <v>20</v>
      </c>
      <c r="V172" s="5123">
        <v>16.645</v>
      </c>
      <c r="W172" s="5123">
        <v>0</v>
      </c>
      <c r="X172" s="5123">
        <v>0.38500000000000001</v>
      </c>
      <c r="Y172" s="5123">
        <v>0</v>
      </c>
      <c r="Z172" s="5123">
        <v>0</v>
      </c>
      <c r="AA172" s="5123">
        <v>6.484</v>
      </c>
      <c r="AB172" s="5123">
        <v>0</v>
      </c>
      <c r="AC172" s="5123">
        <v>0</v>
      </c>
      <c r="AD172" s="5123">
        <v>0</v>
      </c>
      <c r="AE172" s="5123">
        <v>0</v>
      </c>
      <c r="AF172" s="5123">
        <v>0</v>
      </c>
      <c r="AG172" s="5123">
        <v>0</v>
      </c>
      <c r="AH172" s="5123">
        <v>0</v>
      </c>
      <c r="AI172" s="5123">
        <v>0</v>
      </c>
      <c r="AJ172" s="5123">
        <v>0</v>
      </c>
      <c r="AK172" s="5123">
        <v>0</v>
      </c>
      <c r="AL172" s="5123">
        <v>0</v>
      </c>
      <c r="AM172" s="5123">
        <v>0</v>
      </c>
      <c r="AN172" s="5124">
        <f t="shared" si="4"/>
        <v>43.514000000000003</v>
      </c>
      <c r="AO172" s="5125">
        <v>43.514000000000003</v>
      </c>
      <c r="AP172" s="5126">
        <f t="shared" si="5"/>
        <v>0</v>
      </c>
    </row>
    <row r="173" spans="1:42">
      <c r="A173" s="5121">
        <v>380</v>
      </c>
      <c r="B173" s="5122">
        <v>20</v>
      </c>
      <c r="C173" s="5123">
        <v>17.332000000000001</v>
      </c>
      <c r="D173" s="5123">
        <v>0</v>
      </c>
      <c r="E173" s="5123">
        <v>8</v>
      </c>
      <c r="F173" s="5123">
        <v>0</v>
      </c>
      <c r="G173" s="5123">
        <v>0</v>
      </c>
      <c r="H173" s="5123">
        <v>0</v>
      </c>
      <c r="I173" s="5123">
        <v>0</v>
      </c>
      <c r="J173" s="5123">
        <v>0</v>
      </c>
      <c r="K173" s="5123">
        <v>0</v>
      </c>
      <c r="L173" s="5123">
        <v>0</v>
      </c>
      <c r="M173" s="5123">
        <v>0</v>
      </c>
      <c r="N173" s="5123">
        <v>0</v>
      </c>
      <c r="O173" s="5123">
        <v>0</v>
      </c>
      <c r="P173" s="5123">
        <v>0</v>
      </c>
      <c r="Q173" s="5123">
        <v>0</v>
      </c>
      <c r="R173" s="5123">
        <v>0</v>
      </c>
      <c r="S173" s="5123">
        <v>0</v>
      </c>
      <c r="T173" s="5123">
        <v>0</v>
      </c>
      <c r="U173" s="5122">
        <v>20</v>
      </c>
      <c r="V173" s="5123">
        <v>17.279</v>
      </c>
      <c r="W173" s="5123">
        <v>0</v>
      </c>
      <c r="X173" s="5123">
        <v>7.9989999999999997</v>
      </c>
      <c r="Y173" s="5123">
        <v>0</v>
      </c>
      <c r="Z173" s="5123">
        <v>0</v>
      </c>
      <c r="AA173" s="5123">
        <v>0</v>
      </c>
      <c r="AB173" s="5123">
        <v>0</v>
      </c>
      <c r="AC173" s="5123">
        <v>0</v>
      </c>
      <c r="AD173" s="5123">
        <v>0</v>
      </c>
      <c r="AE173" s="5123">
        <v>0</v>
      </c>
      <c r="AF173" s="5123">
        <v>0</v>
      </c>
      <c r="AG173" s="5123">
        <v>0</v>
      </c>
      <c r="AH173" s="5123">
        <v>0</v>
      </c>
      <c r="AI173" s="5123">
        <v>0</v>
      </c>
      <c r="AJ173" s="5123">
        <v>0</v>
      </c>
      <c r="AK173" s="5123">
        <v>0</v>
      </c>
      <c r="AL173" s="5123">
        <v>0</v>
      </c>
      <c r="AM173" s="5123">
        <v>0</v>
      </c>
      <c r="AN173" s="5124">
        <f t="shared" si="4"/>
        <v>45.277999999999999</v>
      </c>
      <c r="AO173" s="5125">
        <v>45.277999999999999</v>
      </c>
      <c r="AP173" s="5126">
        <f t="shared" si="5"/>
        <v>0</v>
      </c>
    </row>
    <row r="174" spans="1:42">
      <c r="A174" s="5121">
        <v>381</v>
      </c>
      <c r="B174" s="5122">
        <v>20</v>
      </c>
      <c r="C174" s="5123">
        <v>19.146000000000001</v>
      </c>
      <c r="D174" s="5123">
        <v>0</v>
      </c>
      <c r="E174" s="5123">
        <v>0</v>
      </c>
      <c r="F174" s="5123">
        <v>0</v>
      </c>
      <c r="G174" s="5123">
        <v>0</v>
      </c>
      <c r="H174" s="5123">
        <v>8.5890000000000004</v>
      </c>
      <c r="I174" s="5123">
        <v>0</v>
      </c>
      <c r="J174" s="5123">
        <v>0</v>
      </c>
      <c r="K174" s="5123">
        <v>0</v>
      </c>
      <c r="L174" s="5123">
        <v>0</v>
      </c>
      <c r="M174" s="5123">
        <v>0</v>
      </c>
      <c r="N174" s="5123">
        <v>0</v>
      </c>
      <c r="O174" s="5123">
        <v>0</v>
      </c>
      <c r="P174" s="5123">
        <v>3.7330000000000001</v>
      </c>
      <c r="Q174" s="5123">
        <v>0</v>
      </c>
      <c r="R174" s="5123">
        <v>0</v>
      </c>
      <c r="S174" s="5123">
        <v>0</v>
      </c>
      <c r="T174" s="5123">
        <v>0</v>
      </c>
      <c r="U174" s="5122">
        <v>20</v>
      </c>
      <c r="V174" s="5123">
        <v>20.100999999999999</v>
      </c>
      <c r="W174" s="5123">
        <v>0</v>
      </c>
      <c r="X174" s="5123">
        <v>2.0169999999999999</v>
      </c>
      <c r="Y174" s="5123">
        <v>0</v>
      </c>
      <c r="Z174" s="5123">
        <v>0</v>
      </c>
      <c r="AA174" s="5123">
        <v>7.8810000000000002</v>
      </c>
      <c r="AB174" s="5123">
        <v>0</v>
      </c>
      <c r="AC174" s="5123">
        <v>0</v>
      </c>
      <c r="AD174" s="5123">
        <v>0</v>
      </c>
      <c r="AE174" s="5123">
        <v>0</v>
      </c>
      <c r="AF174" s="5123">
        <v>0</v>
      </c>
      <c r="AG174" s="5123">
        <v>0</v>
      </c>
      <c r="AH174" s="5123">
        <v>0</v>
      </c>
      <c r="AI174" s="5123">
        <v>3.75</v>
      </c>
      <c r="AJ174" s="5123">
        <v>0</v>
      </c>
      <c r="AK174" s="5123">
        <v>0</v>
      </c>
      <c r="AL174" s="5123">
        <v>0</v>
      </c>
      <c r="AM174" s="5123">
        <v>0</v>
      </c>
      <c r="AN174" s="5124">
        <f t="shared" si="4"/>
        <v>53.749000000000002</v>
      </c>
      <c r="AO174" s="5125">
        <v>53.749000000000002</v>
      </c>
      <c r="AP174" s="5126">
        <f t="shared" si="5"/>
        <v>0</v>
      </c>
    </row>
    <row r="175" spans="1:42">
      <c r="A175" s="5121">
        <v>382</v>
      </c>
      <c r="B175" s="5122">
        <v>20</v>
      </c>
      <c r="C175" s="5123">
        <v>16.632999999999999</v>
      </c>
      <c r="D175" s="5123">
        <v>0</v>
      </c>
      <c r="E175" s="5123">
        <v>5</v>
      </c>
      <c r="F175" s="5123">
        <v>0</v>
      </c>
      <c r="G175" s="5123">
        <v>0</v>
      </c>
      <c r="H175" s="5123">
        <v>7.6150000000000002</v>
      </c>
      <c r="I175" s="5123">
        <v>0</v>
      </c>
      <c r="J175" s="5123">
        <v>0</v>
      </c>
      <c r="K175" s="5123">
        <v>0</v>
      </c>
      <c r="L175" s="5123">
        <v>0</v>
      </c>
      <c r="M175" s="5123">
        <v>0</v>
      </c>
      <c r="N175" s="5123">
        <v>0</v>
      </c>
      <c r="O175" s="5123">
        <v>0</v>
      </c>
      <c r="P175" s="5123">
        <v>0</v>
      </c>
      <c r="Q175" s="5123">
        <v>0</v>
      </c>
      <c r="R175" s="5123">
        <v>0</v>
      </c>
      <c r="S175" s="5123">
        <v>0</v>
      </c>
      <c r="T175" s="5123">
        <v>0</v>
      </c>
      <c r="U175" s="5122">
        <v>20</v>
      </c>
      <c r="V175" s="5123">
        <v>14.798</v>
      </c>
      <c r="W175" s="5123">
        <v>0</v>
      </c>
      <c r="X175" s="5123">
        <v>8</v>
      </c>
      <c r="Y175" s="5123">
        <v>0</v>
      </c>
      <c r="Z175" s="5123">
        <v>0</v>
      </c>
      <c r="AA175" s="5123">
        <v>6.9589999999999996</v>
      </c>
      <c r="AB175" s="5123">
        <v>0</v>
      </c>
      <c r="AC175" s="5123">
        <v>0</v>
      </c>
      <c r="AD175" s="5123">
        <v>0</v>
      </c>
      <c r="AE175" s="5123">
        <v>0</v>
      </c>
      <c r="AF175" s="5123">
        <v>0</v>
      </c>
      <c r="AG175" s="5123">
        <v>0</v>
      </c>
      <c r="AH175" s="5123">
        <v>0</v>
      </c>
      <c r="AI175" s="5123">
        <v>0</v>
      </c>
      <c r="AJ175" s="5123">
        <v>0</v>
      </c>
      <c r="AK175" s="5123">
        <v>0</v>
      </c>
      <c r="AL175" s="5123">
        <v>0</v>
      </c>
      <c r="AM175" s="5123">
        <v>0</v>
      </c>
      <c r="AN175" s="5124">
        <f t="shared" si="4"/>
        <v>49.756999999999998</v>
      </c>
      <c r="AO175" s="5125">
        <v>49.756999999999998</v>
      </c>
      <c r="AP175" s="5126">
        <f t="shared" si="5"/>
        <v>0</v>
      </c>
    </row>
    <row r="176" spans="1:42">
      <c r="A176" s="5121">
        <v>383</v>
      </c>
      <c r="B176" s="5122">
        <v>20</v>
      </c>
      <c r="C176" s="5123">
        <v>15.16</v>
      </c>
      <c r="D176" s="5123">
        <v>0.42</v>
      </c>
      <c r="E176" s="5123">
        <v>7.0030000000000001</v>
      </c>
      <c r="F176" s="5123">
        <v>0</v>
      </c>
      <c r="G176" s="5123">
        <v>0</v>
      </c>
      <c r="H176" s="5123">
        <v>9.8040000000000003</v>
      </c>
      <c r="I176" s="5123">
        <v>0</v>
      </c>
      <c r="J176" s="5123">
        <v>0</v>
      </c>
      <c r="K176" s="5123">
        <v>0.12</v>
      </c>
      <c r="L176" s="5123">
        <v>0</v>
      </c>
      <c r="M176" s="5123">
        <v>0</v>
      </c>
      <c r="N176" s="5123">
        <v>0</v>
      </c>
      <c r="O176" s="5123">
        <v>0</v>
      </c>
      <c r="P176" s="5123">
        <v>0</v>
      </c>
      <c r="Q176" s="5123">
        <v>0</v>
      </c>
      <c r="R176" s="5123">
        <v>0</v>
      </c>
      <c r="S176" s="5123">
        <v>0</v>
      </c>
      <c r="T176" s="5123">
        <v>0</v>
      </c>
      <c r="U176" s="5122">
        <v>20</v>
      </c>
      <c r="V176" s="5123">
        <v>17.428999999999998</v>
      </c>
      <c r="W176" s="5123">
        <v>0.42</v>
      </c>
      <c r="X176" s="5123">
        <v>8</v>
      </c>
      <c r="Y176" s="5123">
        <v>0</v>
      </c>
      <c r="Z176" s="5123">
        <v>0</v>
      </c>
      <c r="AA176" s="5123">
        <v>10.010999999999999</v>
      </c>
      <c r="AB176" s="5123">
        <v>0</v>
      </c>
      <c r="AC176" s="5123">
        <v>0</v>
      </c>
      <c r="AD176" s="5123">
        <v>0.1</v>
      </c>
      <c r="AE176" s="5123">
        <v>0</v>
      </c>
      <c r="AF176" s="5123">
        <v>0</v>
      </c>
      <c r="AG176" s="5123">
        <v>0</v>
      </c>
      <c r="AH176" s="5123">
        <v>0</v>
      </c>
      <c r="AI176" s="5123">
        <v>0</v>
      </c>
      <c r="AJ176" s="5123">
        <v>0</v>
      </c>
      <c r="AK176" s="5123">
        <v>0</v>
      </c>
      <c r="AL176" s="5123">
        <v>0</v>
      </c>
      <c r="AM176" s="5123">
        <v>0</v>
      </c>
      <c r="AN176" s="5124">
        <f t="shared" si="4"/>
        <v>55.96</v>
      </c>
      <c r="AO176" s="5125">
        <v>55.96</v>
      </c>
      <c r="AP176" s="5126">
        <f t="shared" si="5"/>
        <v>0</v>
      </c>
    </row>
    <row r="177" spans="1:42">
      <c r="A177" s="5121">
        <v>384</v>
      </c>
      <c r="B177" s="5122">
        <v>20</v>
      </c>
      <c r="C177" s="5123">
        <v>23.617000000000001</v>
      </c>
      <c r="D177" s="5123">
        <v>0</v>
      </c>
      <c r="E177" s="5123">
        <v>3.8290000000000002</v>
      </c>
      <c r="F177" s="5123">
        <v>0</v>
      </c>
      <c r="G177" s="5123">
        <v>0</v>
      </c>
      <c r="H177" s="5123">
        <v>8.4130000000000003</v>
      </c>
      <c r="I177" s="5123">
        <v>0</v>
      </c>
      <c r="J177" s="5123">
        <v>0</v>
      </c>
      <c r="K177" s="5123">
        <v>0</v>
      </c>
      <c r="L177" s="5123">
        <v>0</v>
      </c>
      <c r="M177" s="5123">
        <v>0</v>
      </c>
      <c r="N177" s="5123">
        <v>0</v>
      </c>
      <c r="O177" s="5123">
        <v>0</v>
      </c>
      <c r="P177" s="5123">
        <v>0</v>
      </c>
      <c r="Q177" s="5123">
        <v>0</v>
      </c>
      <c r="R177" s="5123">
        <v>0</v>
      </c>
      <c r="S177" s="5123">
        <v>0</v>
      </c>
      <c r="T177" s="5123">
        <v>0</v>
      </c>
      <c r="U177" s="5122">
        <v>20</v>
      </c>
      <c r="V177" s="5123">
        <v>27.817</v>
      </c>
      <c r="W177" s="5123">
        <v>0</v>
      </c>
      <c r="X177" s="5123">
        <v>3.9990000000000001</v>
      </c>
      <c r="Y177" s="5123">
        <v>0</v>
      </c>
      <c r="Z177" s="5123">
        <v>0</v>
      </c>
      <c r="AA177" s="5123">
        <v>8.0079999999999991</v>
      </c>
      <c r="AB177" s="5123">
        <v>0</v>
      </c>
      <c r="AC177" s="5123">
        <v>0</v>
      </c>
      <c r="AD177" s="5123">
        <v>0</v>
      </c>
      <c r="AE177" s="5123">
        <v>0</v>
      </c>
      <c r="AF177" s="5123">
        <v>0</v>
      </c>
      <c r="AG177" s="5123">
        <v>0</v>
      </c>
      <c r="AH177" s="5123">
        <v>0</v>
      </c>
      <c r="AI177" s="5123">
        <v>0</v>
      </c>
      <c r="AJ177" s="5123">
        <v>0</v>
      </c>
      <c r="AK177" s="5123">
        <v>0</v>
      </c>
      <c r="AL177" s="5123">
        <v>0</v>
      </c>
      <c r="AM177" s="5123">
        <v>0</v>
      </c>
      <c r="AN177" s="5124">
        <f t="shared" si="4"/>
        <v>59.823999999999998</v>
      </c>
      <c r="AO177" s="5125">
        <v>59.823999999999998</v>
      </c>
      <c r="AP177" s="5126">
        <f t="shared" si="5"/>
        <v>0</v>
      </c>
    </row>
    <row r="178" spans="1:42">
      <c r="A178" s="5121">
        <v>385</v>
      </c>
      <c r="B178" s="5122">
        <v>20</v>
      </c>
      <c r="C178" s="5123">
        <v>11.512</v>
      </c>
      <c r="D178" s="5123">
        <v>0</v>
      </c>
      <c r="E178" s="5123">
        <v>8</v>
      </c>
      <c r="F178" s="5123">
        <v>0</v>
      </c>
      <c r="G178" s="5123">
        <v>0</v>
      </c>
      <c r="H178" s="5123">
        <v>24.405999999999999</v>
      </c>
      <c r="I178" s="5123">
        <v>0</v>
      </c>
      <c r="J178" s="5123">
        <v>0</v>
      </c>
      <c r="K178" s="5123">
        <v>0</v>
      </c>
      <c r="L178" s="5123">
        <v>0</v>
      </c>
      <c r="M178" s="5123">
        <v>0</v>
      </c>
      <c r="N178" s="5123">
        <v>0</v>
      </c>
      <c r="O178" s="5123">
        <v>0</v>
      </c>
      <c r="P178" s="5123">
        <v>0</v>
      </c>
      <c r="Q178" s="5123">
        <v>0</v>
      </c>
      <c r="R178" s="5123">
        <v>0</v>
      </c>
      <c r="S178" s="5123">
        <v>0</v>
      </c>
      <c r="T178" s="5123">
        <v>0</v>
      </c>
      <c r="U178" s="5122">
        <v>20</v>
      </c>
      <c r="V178" s="5123">
        <v>11.279</v>
      </c>
      <c r="W178" s="5123">
        <v>0</v>
      </c>
      <c r="X178" s="5123">
        <v>8</v>
      </c>
      <c r="Y178" s="5123">
        <v>0</v>
      </c>
      <c r="Z178" s="5123">
        <v>0</v>
      </c>
      <c r="AA178" s="5123">
        <v>26.01</v>
      </c>
      <c r="AB178" s="5123">
        <v>0</v>
      </c>
      <c r="AC178" s="5123">
        <v>0</v>
      </c>
      <c r="AD178" s="5123">
        <v>0</v>
      </c>
      <c r="AE178" s="5123">
        <v>0</v>
      </c>
      <c r="AF178" s="5123">
        <v>0</v>
      </c>
      <c r="AG178" s="5123">
        <v>0</v>
      </c>
      <c r="AH178" s="5123">
        <v>0</v>
      </c>
      <c r="AI178" s="5123">
        <v>0</v>
      </c>
      <c r="AJ178" s="5123">
        <v>0</v>
      </c>
      <c r="AK178" s="5123">
        <v>0</v>
      </c>
      <c r="AL178" s="5123">
        <v>0</v>
      </c>
      <c r="AM178" s="5123">
        <v>0</v>
      </c>
      <c r="AN178" s="5124">
        <f t="shared" si="4"/>
        <v>65.289000000000001</v>
      </c>
      <c r="AO178" s="5125">
        <v>65.289000000000001</v>
      </c>
      <c r="AP178" s="5126">
        <f t="shared" si="5"/>
        <v>0</v>
      </c>
    </row>
    <row r="179" spans="1:42">
      <c r="A179" s="5121">
        <v>386</v>
      </c>
      <c r="B179" s="5122">
        <v>20</v>
      </c>
      <c r="C179" s="5123">
        <v>21.616</v>
      </c>
      <c r="D179" s="5123">
        <v>0</v>
      </c>
      <c r="E179" s="5123">
        <v>3.948</v>
      </c>
      <c r="F179" s="5123">
        <v>0</v>
      </c>
      <c r="G179" s="5123">
        <v>0</v>
      </c>
      <c r="H179" s="5123">
        <v>0</v>
      </c>
      <c r="I179" s="5123">
        <v>0</v>
      </c>
      <c r="J179" s="5123">
        <v>0</v>
      </c>
      <c r="K179" s="5123">
        <v>0</v>
      </c>
      <c r="L179" s="5123">
        <v>0</v>
      </c>
      <c r="M179" s="5123">
        <v>0</v>
      </c>
      <c r="N179" s="5123">
        <v>0</v>
      </c>
      <c r="O179" s="5123">
        <v>0</v>
      </c>
      <c r="P179" s="5123">
        <v>0</v>
      </c>
      <c r="Q179" s="5123">
        <v>0</v>
      </c>
      <c r="R179" s="5123">
        <v>0</v>
      </c>
      <c r="S179" s="5123">
        <v>0</v>
      </c>
      <c r="T179" s="5123">
        <v>0</v>
      </c>
      <c r="U179" s="5122">
        <v>20</v>
      </c>
      <c r="V179" s="5123">
        <v>24.550999999999998</v>
      </c>
      <c r="W179" s="5123">
        <v>0</v>
      </c>
      <c r="X179" s="5123">
        <v>3.9980000000000002</v>
      </c>
      <c r="Y179" s="5123">
        <v>0</v>
      </c>
      <c r="Z179" s="5123">
        <v>0</v>
      </c>
      <c r="AA179" s="5123">
        <v>0</v>
      </c>
      <c r="AB179" s="5123">
        <v>0</v>
      </c>
      <c r="AC179" s="5123">
        <v>0</v>
      </c>
      <c r="AD179" s="5123">
        <v>0</v>
      </c>
      <c r="AE179" s="5123">
        <v>0</v>
      </c>
      <c r="AF179" s="5123">
        <v>0</v>
      </c>
      <c r="AG179" s="5123">
        <v>0</v>
      </c>
      <c r="AH179" s="5123">
        <v>0</v>
      </c>
      <c r="AI179" s="5123">
        <v>0.996</v>
      </c>
      <c r="AJ179" s="5123">
        <v>0</v>
      </c>
      <c r="AK179" s="5123">
        <v>0</v>
      </c>
      <c r="AL179" s="5123">
        <v>0</v>
      </c>
      <c r="AM179" s="5123">
        <v>0</v>
      </c>
      <c r="AN179" s="5124">
        <f t="shared" si="4"/>
        <v>49.545000000000002</v>
      </c>
      <c r="AO179" s="5125">
        <v>49.545000000000002</v>
      </c>
      <c r="AP179" s="5126">
        <f t="shared" si="5"/>
        <v>0</v>
      </c>
    </row>
    <row r="180" spans="1:42">
      <c r="A180" s="5121">
        <v>387</v>
      </c>
      <c r="B180" s="5122">
        <v>20</v>
      </c>
      <c r="C180" s="5127">
        <v>22.166</v>
      </c>
      <c r="D180" s="5123">
        <v>0</v>
      </c>
      <c r="E180" s="5123">
        <v>0</v>
      </c>
      <c r="F180" s="5123">
        <v>0</v>
      </c>
      <c r="G180" s="5123">
        <v>0</v>
      </c>
      <c r="H180" s="5123">
        <v>0</v>
      </c>
      <c r="I180" s="5123">
        <v>0</v>
      </c>
      <c r="J180" s="5123">
        <v>0</v>
      </c>
      <c r="K180" s="5123">
        <v>0</v>
      </c>
      <c r="L180" s="5123">
        <v>0</v>
      </c>
      <c r="M180" s="5123">
        <v>0</v>
      </c>
      <c r="N180" s="5123">
        <v>0</v>
      </c>
      <c r="O180" s="5123">
        <v>0</v>
      </c>
      <c r="P180" s="5123">
        <v>0</v>
      </c>
      <c r="Q180" s="5123">
        <v>0</v>
      </c>
      <c r="R180" s="5123">
        <v>0</v>
      </c>
      <c r="S180" s="5123">
        <v>0</v>
      </c>
      <c r="T180" s="5123">
        <v>0</v>
      </c>
      <c r="U180" s="5122">
        <v>20</v>
      </c>
      <c r="V180" s="5123">
        <v>15.581</v>
      </c>
      <c r="W180" s="5123">
        <v>0</v>
      </c>
      <c r="X180" s="5123">
        <v>0</v>
      </c>
      <c r="Y180" s="5123">
        <v>0</v>
      </c>
      <c r="Z180" s="5123">
        <v>0</v>
      </c>
      <c r="AA180" s="5123">
        <v>0</v>
      </c>
      <c r="AB180" s="5123">
        <v>0</v>
      </c>
      <c r="AC180" s="5123">
        <v>0</v>
      </c>
      <c r="AD180" s="5123">
        <v>0</v>
      </c>
      <c r="AE180" s="5123">
        <v>0</v>
      </c>
      <c r="AF180" s="5123">
        <v>0</v>
      </c>
      <c r="AG180" s="5123">
        <v>0</v>
      </c>
      <c r="AH180" s="5123">
        <v>0</v>
      </c>
      <c r="AI180" s="5123">
        <v>0</v>
      </c>
      <c r="AJ180" s="5123">
        <v>0</v>
      </c>
      <c r="AK180" s="5123">
        <v>0</v>
      </c>
      <c r="AL180" s="5123">
        <v>0</v>
      </c>
      <c r="AM180" s="5123">
        <v>0</v>
      </c>
      <c r="AN180" s="5124">
        <f t="shared" si="4"/>
        <v>35.581000000000003</v>
      </c>
      <c r="AO180" s="5125">
        <v>35.581000000000003</v>
      </c>
      <c r="AP180" s="5126">
        <f t="shared" si="5"/>
        <v>0</v>
      </c>
    </row>
    <row r="181" spans="1:42">
      <c r="A181" s="5121">
        <v>388</v>
      </c>
      <c r="B181" s="5122">
        <v>20</v>
      </c>
      <c r="C181" s="5123">
        <v>21.228000000000002</v>
      </c>
      <c r="D181" s="5123">
        <v>0</v>
      </c>
      <c r="E181" s="5123">
        <v>8</v>
      </c>
      <c r="F181" s="5123">
        <v>0</v>
      </c>
      <c r="G181" s="5123">
        <v>0</v>
      </c>
      <c r="H181" s="5123">
        <v>0</v>
      </c>
      <c r="I181" s="5123">
        <v>0</v>
      </c>
      <c r="J181" s="5123">
        <v>0</v>
      </c>
      <c r="K181" s="5123">
        <v>0</v>
      </c>
      <c r="L181" s="5123">
        <v>0</v>
      </c>
      <c r="M181" s="5123">
        <v>0</v>
      </c>
      <c r="N181" s="5123">
        <v>0</v>
      </c>
      <c r="O181" s="5123">
        <v>0</v>
      </c>
      <c r="P181" s="5123">
        <v>4</v>
      </c>
      <c r="Q181" s="5123">
        <v>0.76100000000000001</v>
      </c>
      <c r="R181" s="5123">
        <v>0</v>
      </c>
      <c r="S181" s="5123">
        <v>0</v>
      </c>
      <c r="T181" s="5123">
        <v>0</v>
      </c>
      <c r="U181" s="5122">
        <v>20</v>
      </c>
      <c r="V181" s="5123">
        <v>21.242000000000001</v>
      </c>
      <c r="W181" s="5123">
        <v>0</v>
      </c>
      <c r="X181" s="5123">
        <v>8</v>
      </c>
      <c r="Y181" s="5123">
        <v>0</v>
      </c>
      <c r="Z181" s="5123">
        <v>0</v>
      </c>
      <c r="AA181" s="5123">
        <v>0</v>
      </c>
      <c r="AB181" s="5123">
        <v>0</v>
      </c>
      <c r="AC181" s="5123">
        <v>0</v>
      </c>
      <c r="AD181" s="5123">
        <v>0</v>
      </c>
      <c r="AE181" s="5123">
        <v>0</v>
      </c>
      <c r="AF181" s="5123">
        <v>0</v>
      </c>
      <c r="AG181" s="5123">
        <v>0</v>
      </c>
      <c r="AH181" s="5123">
        <v>0</v>
      </c>
      <c r="AI181" s="5123">
        <v>4</v>
      </c>
      <c r="AJ181" s="5123">
        <v>0.84299999999999997</v>
      </c>
      <c r="AK181" s="5123">
        <v>0</v>
      </c>
      <c r="AL181" s="5123">
        <v>0</v>
      </c>
      <c r="AM181" s="5123">
        <v>0</v>
      </c>
      <c r="AN181" s="5124">
        <f t="shared" si="4"/>
        <v>54.085000000000001</v>
      </c>
      <c r="AO181" s="5125">
        <v>54.085000000000001</v>
      </c>
      <c r="AP181" s="5126">
        <f t="shared" si="5"/>
        <v>0</v>
      </c>
    </row>
    <row r="182" spans="1:42">
      <c r="A182" s="5121">
        <v>389</v>
      </c>
      <c r="B182" s="5122">
        <v>20</v>
      </c>
      <c r="C182" s="5123">
        <v>17.187000000000001</v>
      </c>
      <c r="D182" s="5123">
        <v>0</v>
      </c>
      <c r="E182" s="5123">
        <v>7.9690000000000003</v>
      </c>
      <c r="F182" s="5123">
        <v>0</v>
      </c>
      <c r="G182" s="5123">
        <v>0</v>
      </c>
      <c r="H182" s="5123">
        <v>12.772</v>
      </c>
      <c r="I182" s="5123">
        <v>0</v>
      </c>
      <c r="J182" s="5123">
        <v>0</v>
      </c>
      <c r="K182" s="5123">
        <v>0</v>
      </c>
      <c r="L182" s="5123">
        <v>0</v>
      </c>
      <c r="M182" s="5123">
        <v>0</v>
      </c>
      <c r="N182" s="5123">
        <v>0</v>
      </c>
      <c r="O182" s="5123">
        <v>0</v>
      </c>
      <c r="P182" s="5123">
        <v>3.1480000000000001</v>
      </c>
      <c r="Q182" s="5123">
        <v>0</v>
      </c>
      <c r="R182" s="5123">
        <v>0</v>
      </c>
      <c r="S182" s="5123">
        <v>0</v>
      </c>
      <c r="T182" s="5123">
        <v>0</v>
      </c>
      <c r="U182" s="5122">
        <v>20</v>
      </c>
      <c r="V182" s="5123">
        <v>20.963999999999999</v>
      </c>
      <c r="W182" s="5123">
        <v>0</v>
      </c>
      <c r="X182" s="5123">
        <v>5.484</v>
      </c>
      <c r="Y182" s="5123">
        <v>0</v>
      </c>
      <c r="Z182" s="5123">
        <v>0</v>
      </c>
      <c r="AA182" s="5123">
        <v>11.313000000000001</v>
      </c>
      <c r="AB182" s="5123">
        <v>0</v>
      </c>
      <c r="AC182" s="5123">
        <v>0</v>
      </c>
      <c r="AD182" s="5123">
        <v>0</v>
      </c>
      <c r="AE182" s="5123">
        <v>0</v>
      </c>
      <c r="AF182" s="5123">
        <v>0</v>
      </c>
      <c r="AG182" s="5123">
        <v>0</v>
      </c>
      <c r="AH182" s="5123">
        <v>0</v>
      </c>
      <c r="AI182" s="5123">
        <v>2.9550000000000001</v>
      </c>
      <c r="AJ182" s="5123">
        <v>0</v>
      </c>
      <c r="AK182" s="5123">
        <v>0</v>
      </c>
      <c r="AL182" s="5123">
        <v>0</v>
      </c>
      <c r="AM182" s="5123">
        <v>0</v>
      </c>
      <c r="AN182" s="5124">
        <f t="shared" si="4"/>
        <v>60.716000000000001</v>
      </c>
      <c r="AO182" s="5125">
        <v>60.716000000000001</v>
      </c>
      <c r="AP182" s="5126">
        <f t="shared" si="5"/>
        <v>0</v>
      </c>
    </row>
    <row r="183" spans="1:42">
      <c r="A183" s="5121">
        <v>390</v>
      </c>
      <c r="B183" s="5122">
        <v>20</v>
      </c>
      <c r="C183" s="5123">
        <v>31.106000000000002</v>
      </c>
      <c r="D183" s="5123">
        <v>0</v>
      </c>
      <c r="E183" s="5123">
        <v>0.98899999999999999</v>
      </c>
      <c r="F183" s="5123">
        <v>0</v>
      </c>
      <c r="G183" s="5123">
        <v>0</v>
      </c>
      <c r="H183" s="5123">
        <v>0</v>
      </c>
      <c r="I183" s="5123">
        <v>0</v>
      </c>
      <c r="J183" s="5123">
        <v>0</v>
      </c>
      <c r="K183" s="5123">
        <v>0</v>
      </c>
      <c r="L183" s="5123">
        <v>0</v>
      </c>
      <c r="M183" s="5123">
        <v>0</v>
      </c>
      <c r="N183" s="5123">
        <v>0</v>
      </c>
      <c r="O183" s="5123">
        <v>0</v>
      </c>
      <c r="P183" s="5123">
        <v>0.495</v>
      </c>
      <c r="Q183" s="5123">
        <v>0</v>
      </c>
      <c r="R183" s="5123">
        <v>0</v>
      </c>
      <c r="S183" s="5123">
        <v>0</v>
      </c>
      <c r="T183" s="5123">
        <v>0</v>
      </c>
      <c r="U183" s="5122">
        <v>20</v>
      </c>
      <c r="V183" s="5123">
        <v>28.585000000000001</v>
      </c>
      <c r="W183" s="5123">
        <v>0</v>
      </c>
      <c r="X183" s="5123">
        <v>1</v>
      </c>
      <c r="Y183" s="5123">
        <v>0</v>
      </c>
      <c r="Z183" s="5123">
        <v>0</v>
      </c>
      <c r="AA183" s="5123">
        <v>0</v>
      </c>
      <c r="AB183" s="5123">
        <v>0</v>
      </c>
      <c r="AC183" s="5123">
        <v>0</v>
      </c>
      <c r="AD183" s="5123">
        <v>0</v>
      </c>
      <c r="AE183" s="5123">
        <v>0</v>
      </c>
      <c r="AF183" s="5123">
        <v>0</v>
      </c>
      <c r="AG183" s="5123">
        <v>0</v>
      </c>
      <c r="AH183" s="5123">
        <v>0</v>
      </c>
      <c r="AI183" s="5123">
        <v>0.5</v>
      </c>
      <c r="AJ183" s="5123">
        <v>0</v>
      </c>
      <c r="AK183" s="5123">
        <v>0</v>
      </c>
      <c r="AL183" s="5123">
        <v>0</v>
      </c>
      <c r="AM183" s="5123">
        <v>0</v>
      </c>
      <c r="AN183" s="5124">
        <f t="shared" si="4"/>
        <v>50.085000000000001</v>
      </c>
      <c r="AO183" s="5125">
        <v>50.085000000000001</v>
      </c>
      <c r="AP183" s="5126">
        <f t="shared" si="5"/>
        <v>0</v>
      </c>
    </row>
    <row r="184" spans="1:42">
      <c r="A184" s="5121">
        <v>392</v>
      </c>
      <c r="B184" s="5122">
        <v>20</v>
      </c>
      <c r="C184" s="5127">
        <v>20.635999999999999</v>
      </c>
      <c r="D184" s="5123">
        <v>0</v>
      </c>
      <c r="E184" s="5123">
        <v>8</v>
      </c>
      <c r="F184" s="5123">
        <v>0</v>
      </c>
      <c r="G184" s="5123">
        <v>0</v>
      </c>
      <c r="H184" s="5123">
        <v>0</v>
      </c>
      <c r="I184" s="5123">
        <v>0</v>
      </c>
      <c r="J184" s="5123">
        <v>0</v>
      </c>
      <c r="K184" s="5123">
        <v>0</v>
      </c>
      <c r="L184" s="5123">
        <v>0</v>
      </c>
      <c r="M184" s="5123">
        <v>0</v>
      </c>
      <c r="N184" s="5123">
        <v>0</v>
      </c>
      <c r="O184" s="5123">
        <v>0</v>
      </c>
      <c r="P184" s="5123">
        <v>0</v>
      </c>
      <c r="Q184" s="5123">
        <v>0</v>
      </c>
      <c r="R184" s="5123">
        <v>0</v>
      </c>
      <c r="S184" s="5123">
        <v>0</v>
      </c>
      <c r="T184" s="5123">
        <v>0</v>
      </c>
      <c r="U184" s="5122">
        <v>20</v>
      </c>
      <c r="V184" s="5123">
        <v>23.254999999999999</v>
      </c>
      <c r="W184" s="5123">
        <v>0</v>
      </c>
      <c r="X184" s="5123">
        <v>8</v>
      </c>
      <c r="Y184" s="5123">
        <v>0</v>
      </c>
      <c r="Z184" s="5123">
        <v>0</v>
      </c>
      <c r="AA184" s="5123">
        <v>0</v>
      </c>
      <c r="AB184" s="5123">
        <v>0</v>
      </c>
      <c r="AC184" s="5123">
        <v>0</v>
      </c>
      <c r="AD184" s="5123">
        <v>0</v>
      </c>
      <c r="AE184" s="5123">
        <v>0</v>
      </c>
      <c r="AF184" s="5123">
        <v>0</v>
      </c>
      <c r="AG184" s="5123">
        <v>0</v>
      </c>
      <c r="AH184" s="5123">
        <v>0</v>
      </c>
      <c r="AI184" s="5123">
        <v>0</v>
      </c>
      <c r="AJ184" s="5123">
        <v>0</v>
      </c>
      <c r="AK184" s="5123">
        <v>0</v>
      </c>
      <c r="AL184" s="5123">
        <v>0</v>
      </c>
      <c r="AM184" s="5123">
        <v>0</v>
      </c>
      <c r="AN184" s="5124">
        <f t="shared" si="4"/>
        <v>51.255000000000003</v>
      </c>
      <c r="AO184" s="5125">
        <v>51.255000000000003</v>
      </c>
      <c r="AP184" s="5126">
        <f t="shared" si="5"/>
        <v>0</v>
      </c>
    </row>
    <row r="185" spans="1:42">
      <c r="A185" s="5121">
        <v>393</v>
      </c>
      <c r="B185" s="5122">
        <v>20</v>
      </c>
      <c r="C185" s="5123">
        <v>21.16</v>
      </c>
      <c r="D185" s="5123">
        <v>0</v>
      </c>
      <c r="E185" s="5123">
        <v>5.9749999999999996</v>
      </c>
      <c r="F185" s="5123">
        <v>0</v>
      </c>
      <c r="G185" s="5123">
        <v>0</v>
      </c>
      <c r="H185" s="5123">
        <v>0</v>
      </c>
      <c r="I185" s="5123">
        <v>0</v>
      </c>
      <c r="J185" s="5123">
        <v>0</v>
      </c>
      <c r="K185" s="5123">
        <v>0</v>
      </c>
      <c r="L185" s="5123">
        <v>0</v>
      </c>
      <c r="M185" s="5123">
        <v>0</v>
      </c>
      <c r="N185" s="5123">
        <v>0</v>
      </c>
      <c r="O185" s="5123">
        <v>0</v>
      </c>
      <c r="P185" s="5123">
        <v>0.996</v>
      </c>
      <c r="Q185" s="5123">
        <v>0</v>
      </c>
      <c r="R185" s="5123">
        <v>0</v>
      </c>
      <c r="S185" s="5123">
        <v>0</v>
      </c>
      <c r="T185" s="5123">
        <v>0</v>
      </c>
      <c r="U185" s="5122">
        <v>20</v>
      </c>
      <c r="V185" s="5123">
        <v>19.838000000000001</v>
      </c>
      <c r="W185" s="5123">
        <v>0</v>
      </c>
      <c r="X185" s="5123">
        <v>7.8449999999999998</v>
      </c>
      <c r="Y185" s="5123">
        <v>0</v>
      </c>
      <c r="Z185" s="5123">
        <v>0</v>
      </c>
      <c r="AA185" s="5123">
        <v>0</v>
      </c>
      <c r="AB185" s="5123">
        <v>0</v>
      </c>
      <c r="AC185" s="5123">
        <v>0</v>
      </c>
      <c r="AD185" s="5123">
        <v>0</v>
      </c>
      <c r="AE185" s="5123">
        <v>0</v>
      </c>
      <c r="AF185" s="5123">
        <v>0</v>
      </c>
      <c r="AG185" s="5123">
        <v>0</v>
      </c>
      <c r="AH185" s="5123">
        <v>0</v>
      </c>
      <c r="AI185" s="5123">
        <v>0.98099999999999998</v>
      </c>
      <c r="AJ185" s="5123">
        <v>0</v>
      </c>
      <c r="AK185" s="5123">
        <v>0</v>
      </c>
      <c r="AL185" s="5123">
        <v>0</v>
      </c>
      <c r="AM185" s="5123">
        <v>0</v>
      </c>
      <c r="AN185" s="5124">
        <f t="shared" si="4"/>
        <v>48.664000000000001</v>
      </c>
      <c r="AO185" s="5125">
        <v>48.664000000000001</v>
      </c>
      <c r="AP185" s="5126">
        <f t="shared" si="5"/>
        <v>0</v>
      </c>
    </row>
    <row r="186" spans="1:42">
      <c r="A186" s="5121">
        <v>394</v>
      </c>
      <c r="B186" s="5122">
        <v>20</v>
      </c>
      <c r="C186" s="5123">
        <v>11.987</v>
      </c>
      <c r="D186" s="5123">
        <v>0</v>
      </c>
      <c r="E186" s="5123">
        <v>8</v>
      </c>
      <c r="F186" s="5123">
        <v>0</v>
      </c>
      <c r="G186" s="5123">
        <v>0</v>
      </c>
      <c r="H186" s="5123">
        <v>18.402999999999999</v>
      </c>
      <c r="I186" s="5123">
        <v>0</v>
      </c>
      <c r="J186" s="5123">
        <v>0</v>
      </c>
      <c r="K186" s="5123">
        <v>0</v>
      </c>
      <c r="L186" s="5123">
        <v>0</v>
      </c>
      <c r="M186" s="5123">
        <v>0</v>
      </c>
      <c r="N186" s="5123">
        <v>0</v>
      </c>
      <c r="O186" s="5123">
        <v>0</v>
      </c>
      <c r="P186" s="5123">
        <v>3.831</v>
      </c>
      <c r="Q186" s="5123">
        <v>1.0009999999999999</v>
      </c>
      <c r="R186" s="5123">
        <v>0</v>
      </c>
      <c r="S186" s="5123">
        <v>0</v>
      </c>
      <c r="T186" s="5123">
        <v>0</v>
      </c>
      <c r="U186" s="5122">
        <v>20</v>
      </c>
      <c r="V186" s="5123">
        <v>16.931000000000001</v>
      </c>
      <c r="W186" s="5123">
        <v>0</v>
      </c>
      <c r="X186" s="5123">
        <v>7.9969999999999999</v>
      </c>
      <c r="Y186" s="5123">
        <v>0</v>
      </c>
      <c r="Z186" s="5123">
        <v>0</v>
      </c>
      <c r="AA186" s="5123">
        <v>13.45</v>
      </c>
      <c r="AB186" s="5123">
        <v>0</v>
      </c>
      <c r="AC186" s="5123">
        <v>0</v>
      </c>
      <c r="AD186" s="5123">
        <v>0</v>
      </c>
      <c r="AE186" s="5123">
        <v>0</v>
      </c>
      <c r="AF186" s="5123">
        <v>0</v>
      </c>
      <c r="AG186" s="5123">
        <v>0</v>
      </c>
      <c r="AH186" s="5123">
        <v>0</v>
      </c>
      <c r="AI186" s="5123">
        <v>3.8290000000000002</v>
      </c>
      <c r="AJ186" s="5123">
        <v>0.64300000000000002</v>
      </c>
      <c r="AK186" s="5123">
        <v>0</v>
      </c>
      <c r="AL186" s="5123">
        <v>0</v>
      </c>
      <c r="AM186" s="5123">
        <v>0</v>
      </c>
      <c r="AN186" s="5124">
        <f t="shared" si="4"/>
        <v>62.85</v>
      </c>
      <c r="AO186" s="5125">
        <v>62.85</v>
      </c>
      <c r="AP186" s="5126">
        <f t="shared" si="5"/>
        <v>0</v>
      </c>
    </row>
    <row r="187" spans="1:42">
      <c r="A187" s="5121">
        <v>395</v>
      </c>
      <c r="B187" s="5122">
        <v>20</v>
      </c>
      <c r="C187" s="5123">
        <v>20.279</v>
      </c>
      <c r="D187" s="5123">
        <v>0</v>
      </c>
      <c r="E187" s="5123">
        <v>4.8840000000000003</v>
      </c>
      <c r="F187" s="5123">
        <v>0</v>
      </c>
      <c r="G187" s="5123">
        <v>0</v>
      </c>
      <c r="H187" s="5123">
        <v>0</v>
      </c>
      <c r="I187" s="5123">
        <v>0</v>
      </c>
      <c r="J187" s="5123">
        <v>0</v>
      </c>
      <c r="K187" s="5123">
        <v>0</v>
      </c>
      <c r="L187" s="5123">
        <v>0</v>
      </c>
      <c r="M187" s="5123">
        <v>0</v>
      </c>
      <c r="N187" s="5123">
        <v>0</v>
      </c>
      <c r="O187" s="5123">
        <v>0</v>
      </c>
      <c r="P187" s="5123">
        <v>0</v>
      </c>
      <c r="Q187" s="5123">
        <v>0</v>
      </c>
      <c r="R187" s="5123">
        <v>0</v>
      </c>
      <c r="S187" s="5123">
        <v>0</v>
      </c>
      <c r="T187" s="5123">
        <v>0</v>
      </c>
      <c r="U187" s="5122">
        <v>20</v>
      </c>
      <c r="V187" s="5123">
        <v>23.434000000000001</v>
      </c>
      <c r="W187" s="5123">
        <v>0</v>
      </c>
      <c r="X187" s="5123">
        <v>4.5010000000000003</v>
      </c>
      <c r="Y187" s="5123">
        <v>0</v>
      </c>
      <c r="Z187" s="5123">
        <v>0</v>
      </c>
      <c r="AA187" s="5123">
        <v>0</v>
      </c>
      <c r="AB187" s="5123">
        <v>0</v>
      </c>
      <c r="AC187" s="5123">
        <v>0</v>
      </c>
      <c r="AD187" s="5123">
        <v>0</v>
      </c>
      <c r="AE187" s="5123">
        <v>0</v>
      </c>
      <c r="AF187" s="5123">
        <v>0</v>
      </c>
      <c r="AG187" s="5123">
        <v>0</v>
      </c>
      <c r="AH187" s="5123">
        <v>0</v>
      </c>
      <c r="AI187" s="5123">
        <v>0</v>
      </c>
      <c r="AJ187" s="5123">
        <v>0</v>
      </c>
      <c r="AK187" s="5123">
        <v>0</v>
      </c>
      <c r="AL187" s="5123">
        <v>0</v>
      </c>
      <c r="AM187" s="5123">
        <v>0</v>
      </c>
      <c r="AN187" s="5124">
        <f t="shared" si="4"/>
        <v>47.935000000000002</v>
      </c>
      <c r="AO187" s="5125">
        <v>47.935000000000002</v>
      </c>
      <c r="AP187" s="5126">
        <f t="shared" si="5"/>
        <v>0</v>
      </c>
    </row>
    <row r="188" spans="1:42">
      <c r="A188" s="5121">
        <v>396</v>
      </c>
      <c r="B188" s="5122">
        <v>20</v>
      </c>
      <c r="C188" s="5123">
        <v>13.157999999999999</v>
      </c>
      <c r="D188" s="5123">
        <v>0</v>
      </c>
      <c r="E188" s="5123">
        <v>8</v>
      </c>
      <c r="F188" s="5123">
        <v>0</v>
      </c>
      <c r="G188" s="5123">
        <v>0</v>
      </c>
      <c r="H188" s="5123">
        <v>20.486999999999998</v>
      </c>
      <c r="I188" s="5123">
        <v>0</v>
      </c>
      <c r="J188" s="5123">
        <v>0</v>
      </c>
      <c r="K188" s="5123">
        <v>0</v>
      </c>
      <c r="L188" s="5123">
        <v>0</v>
      </c>
      <c r="M188" s="5123">
        <v>0</v>
      </c>
      <c r="N188" s="5123">
        <v>0</v>
      </c>
      <c r="O188" s="5123">
        <v>0</v>
      </c>
      <c r="P188" s="5123">
        <v>1</v>
      </c>
      <c r="Q188" s="5123">
        <v>0</v>
      </c>
      <c r="R188" s="5123">
        <v>0</v>
      </c>
      <c r="S188" s="5123">
        <v>0</v>
      </c>
      <c r="T188" s="5123">
        <v>0</v>
      </c>
      <c r="U188" s="5122">
        <v>20</v>
      </c>
      <c r="V188" s="5123">
        <v>25.138999999999999</v>
      </c>
      <c r="W188" s="5123">
        <v>0</v>
      </c>
      <c r="X188" s="5123">
        <v>7.9939999999999998</v>
      </c>
      <c r="Y188" s="5123">
        <v>0</v>
      </c>
      <c r="Z188" s="5123">
        <v>0</v>
      </c>
      <c r="AA188" s="5123">
        <v>11.576000000000001</v>
      </c>
      <c r="AB188" s="5123">
        <v>0</v>
      </c>
      <c r="AC188" s="5123">
        <v>0</v>
      </c>
      <c r="AD188" s="5123">
        <v>0</v>
      </c>
      <c r="AE188" s="5123">
        <v>0</v>
      </c>
      <c r="AF188" s="5123">
        <v>0</v>
      </c>
      <c r="AG188" s="5123">
        <v>0</v>
      </c>
      <c r="AH188" s="5123">
        <v>0</v>
      </c>
      <c r="AI188" s="5123">
        <v>0.999</v>
      </c>
      <c r="AJ188" s="5123">
        <v>0</v>
      </c>
      <c r="AK188" s="5123">
        <v>0</v>
      </c>
      <c r="AL188" s="5123">
        <v>0</v>
      </c>
      <c r="AM188" s="5123">
        <v>0</v>
      </c>
      <c r="AN188" s="5124">
        <f t="shared" si="4"/>
        <v>65.707999999999998</v>
      </c>
      <c r="AO188" s="5125">
        <v>65.707999999999998</v>
      </c>
      <c r="AP188" s="5126">
        <f t="shared" si="5"/>
        <v>0</v>
      </c>
    </row>
    <row r="189" spans="1:42">
      <c r="A189" s="5121">
        <v>397</v>
      </c>
      <c r="B189" s="5122">
        <v>20</v>
      </c>
      <c r="C189" s="5123">
        <v>14.734999999999999</v>
      </c>
      <c r="D189" s="5123">
        <v>0</v>
      </c>
      <c r="E189" s="5123">
        <v>4.9960000000000004</v>
      </c>
      <c r="F189" s="5123">
        <v>0</v>
      </c>
      <c r="G189" s="5123">
        <v>0</v>
      </c>
      <c r="H189" s="5123">
        <v>4.9889999999999999</v>
      </c>
      <c r="I189" s="5123">
        <v>0</v>
      </c>
      <c r="J189" s="5123">
        <v>0</v>
      </c>
      <c r="K189" s="5123">
        <v>0</v>
      </c>
      <c r="L189" s="5123">
        <v>0</v>
      </c>
      <c r="M189" s="5123">
        <v>0</v>
      </c>
      <c r="N189" s="5123">
        <v>0</v>
      </c>
      <c r="O189" s="5123">
        <v>0</v>
      </c>
      <c r="P189" s="5123">
        <v>0</v>
      </c>
      <c r="Q189" s="5123">
        <v>0</v>
      </c>
      <c r="R189" s="5123">
        <v>0</v>
      </c>
      <c r="S189" s="5123">
        <v>0</v>
      </c>
      <c r="T189" s="5123">
        <v>0</v>
      </c>
      <c r="U189" s="5122">
        <v>20</v>
      </c>
      <c r="V189" s="5123">
        <v>13.215999999999999</v>
      </c>
      <c r="W189" s="5123">
        <v>0</v>
      </c>
      <c r="X189" s="5123">
        <v>5.9550000000000001</v>
      </c>
      <c r="Y189" s="5123">
        <v>0</v>
      </c>
      <c r="Z189" s="5123">
        <v>0</v>
      </c>
      <c r="AA189" s="5123">
        <v>5.3639999999999999</v>
      </c>
      <c r="AB189" s="5123">
        <v>0</v>
      </c>
      <c r="AC189" s="5123">
        <v>0</v>
      </c>
      <c r="AD189" s="5123">
        <v>0</v>
      </c>
      <c r="AE189" s="5123">
        <v>0</v>
      </c>
      <c r="AF189" s="5123">
        <v>0</v>
      </c>
      <c r="AG189" s="5123">
        <v>0</v>
      </c>
      <c r="AH189" s="5123">
        <v>0</v>
      </c>
      <c r="AI189" s="5123">
        <v>0</v>
      </c>
      <c r="AJ189" s="5123">
        <v>0</v>
      </c>
      <c r="AK189" s="5123">
        <v>0</v>
      </c>
      <c r="AL189" s="5123">
        <v>0</v>
      </c>
      <c r="AM189" s="5123">
        <v>0</v>
      </c>
      <c r="AN189" s="5124">
        <f t="shared" si="4"/>
        <v>44.534999999999997</v>
      </c>
      <c r="AO189" s="5125">
        <v>44.534999999999997</v>
      </c>
      <c r="AP189" s="5126">
        <f t="shared" si="5"/>
        <v>0</v>
      </c>
    </row>
    <row r="190" spans="1:42">
      <c r="A190" s="5121">
        <v>398</v>
      </c>
      <c r="B190" s="5122">
        <v>20</v>
      </c>
      <c r="C190" s="5123">
        <v>22.393000000000001</v>
      </c>
      <c r="D190" s="5123">
        <v>0</v>
      </c>
      <c r="E190" s="5123">
        <v>8</v>
      </c>
      <c r="F190" s="5123">
        <v>0</v>
      </c>
      <c r="G190" s="5123">
        <v>0</v>
      </c>
      <c r="H190" s="5123">
        <v>14.185</v>
      </c>
      <c r="I190" s="5123">
        <v>0</v>
      </c>
      <c r="J190" s="5123">
        <v>0</v>
      </c>
      <c r="K190" s="5123">
        <v>0</v>
      </c>
      <c r="L190" s="5123">
        <v>0</v>
      </c>
      <c r="M190" s="5123">
        <v>0</v>
      </c>
      <c r="N190" s="5123">
        <v>0</v>
      </c>
      <c r="O190" s="5123">
        <v>0</v>
      </c>
      <c r="P190" s="5123">
        <v>1.5389999999999999</v>
      </c>
      <c r="Q190" s="5123">
        <v>0</v>
      </c>
      <c r="R190" s="5123">
        <v>0</v>
      </c>
      <c r="S190" s="5123">
        <v>0</v>
      </c>
      <c r="T190" s="5123">
        <v>0</v>
      </c>
      <c r="U190" s="5122">
        <v>20</v>
      </c>
      <c r="V190" s="5123">
        <v>31.542000000000002</v>
      </c>
      <c r="W190" s="5123">
        <v>0</v>
      </c>
      <c r="X190" s="5123">
        <v>5.9980000000000002</v>
      </c>
      <c r="Y190" s="5123">
        <v>0</v>
      </c>
      <c r="Z190" s="5123">
        <v>0</v>
      </c>
      <c r="AA190" s="5123">
        <v>7.0000000000000007E-2</v>
      </c>
      <c r="AB190" s="5123">
        <v>0</v>
      </c>
      <c r="AC190" s="5123">
        <v>0</v>
      </c>
      <c r="AD190" s="5123">
        <v>0</v>
      </c>
      <c r="AE190" s="5123">
        <v>0</v>
      </c>
      <c r="AF190" s="5123">
        <v>0</v>
      </c>
      <c r="AG190" s="5123">
        <v>0</v>
      </c>
      <c r="AH190" s="5123">
        <v>0</v>
      </c>
      <c r="AI190" s="5123">
        <v>1.8560000000000001</v>
      </c>
      <c r="AJ190" s="5123">
        <v>0</v>
      </c>
      <c r="AK190" s="5123">
        <v>0</v>
      </c>
      <c r="AL190" s="5123">
        <v>0</v>
      </c>
      <c r="AM190" s="5123">
        <v>0</v>
      </c>
      <c r="AN190" s="5124">
        <f t="shared" si="4"/>
        <v>59.466000000000001</v>
      </c>
      <c r="AO190" s="5125">
        <v>59.466000000000001</v>
      </c>
      <c r="AP190" s="5126">
        <f t="shared" si="5"/>
        <v>0</v>
      </c>
    </row>
    <row r="191" spans="1:42">
      <c r="A191" s="5121">
        <v>399</v>
      </c>
      <c r="B191" s="5122">
        <v>20</v>
      </c>
      <c r="C191" s="5123">
        <v>13.061</v>
      </c>
      <c r="D191" s="5123">
        <v>0</v>
      </c>
      <c r="E191" s="5123">
        <v>7.3529999999999998</v>
      </c>
      <c r="F191" s="5123">
        <v>0</v>
      </c>
      <c r="G191" s="5123">
        <v>0</v>
      </c>
      <c r="H191" s="5123">
        <v>0</v>
      </c>
      <c r="I191" s="5123">
        <v>0</v>
      </c>
      <c r="J191" s="5123">
        <v>0</v>
      </c>
      <c r="K191" s="5123">
        <v>0</v>
      </c>
      <c r="L191" s="5123">
        <v>0</v>
      </c>
      <c r="M191" s="5123">
        <v>0</v>
      </c>
      <c r="N191" s="5123">
        <v>0</v>
      </c>
      <c r="O191" s="5123">
        <v>0</v>
      </c>
      <c r="P191" s="5123">
        <v>0</v>
      </c>
      <c r="Q191" s="5123">
        <v>0</v>
      </c>
      <c r="R191" s="5123">
        <v>0</v>
      </c>
      <c r="S191" s="5123">
        <v>0</v>
      </c>
      <c r="T191" s="5123">
        <v>0</v>
      </c>
      <c r="U191" s="5122">
        <v>20</v>
      </c>
      <c r="V191" s="5123">
        <v>16.78</v>
      </c>
      <c r="W191" s="5123">
        <v>0</v>
      </c>
      <c r="X191" s="5123">
        <v>8</v>
      </c>
      <c r="Y191" s="5123">
        <v>0</v>
      </c>
      <c r="Z191" s="5123">
        <v>0</v>
      </c>
      <c r="AA191" s="5123">
        <v>0</v>
      </c>
      <c r="AB191" s="5123">
        <v>0</v>
      </c>
      <c r="AC191" s="5123">
        <v>0</v>
      </c>
      <c r="AD191" s="5123">
        <v>0</v>
      </c>
      <c r="AE191" s="5123">
        <v>0</v>
      </c>
      <c r="AF191" s="5123">
        <v>0</v>
      </c>
      <c r="AG191" s="5123">
        <v>0</v>
      </c>
      <c r="AH191" s="5123">
        <v>0</v>
      </c>
      <c r="AI191" s="5123">
        <v>0</v>
      </c>
      <c r="AJ191" s="5123">
        <v>0</v>
      </c>
      <c r="AK191" s="5123">
        <v>0</v>
      </c>
      <c r="AL191" s="5123">
        <v>0</v>
      </c>
      <c r="AM191" s="5123">
        <v>0</v>
      </c>
      <c r="AN191" s="5124">
        <f t="shared" si="4"/>
        <v>44.78</v>
      </c>
      <c r="AO191" s="5125">
        <v>44.78</v>
      </c>
      <c r="AP191" s="5126">
        <f t="shared" si="5"/>
        <v>0</v>
      </c>
    </row>
    <row r="192" spans="1:42">
      <c r="A192" s="5121">
        <v>400</v>
      </c>
      <c r="B192" s="5122">
        <v>20</v>
      </c>
      <c r="C192" s="5123">
        <v>17.408000000000001</v>
      </c>
      <c r="D192" s="5123">
        <v>0</v>
      </c>
      <c r="E192" s="5123">
        <v>7.9960000000000004</v>
      </c>
      <c r="F192" s="5123">
        <v>0</v>
      </c>
      <c r="G192" s="5123">
        <v>0</v>
      </c>
      <c r="H192" s="5123">
        <v>10.23</v>
      </c>
      <c r="I192" s="5123">
        <v>0</v>
      </c>
      <c r="J192" s="5123">
        <v>0</v>
      </c>
      <c r="K192" s="5123">
        <v>0</v>
      </c>
      <c r="L192" s="5123">
        <v>0</v>
      </c>
      <c r="M192" s="5123">
        <v>0</v>
      </c>
      <c r="N192" s="5123">
        <v>0</v>
      </c>
      <c r="O192" s="5123">
        <v>0</v>
      </c>
      <c r="P192" s="5123">
        <v>0</v>
      </c>
      <c r="Q192" s="5123">
        <v>0</v>
      </c>
      <c r="R192" s="5123">
        <v>0</v>
      </c>
      <c r="S192" s="5123">
        <v>0</v>
      </c>
      <c r="T192" s="5123">
        <v>0</v>
      </c>
      <c r="U192" s="5122">
        <v>20</v>
      </c>
      <c r="V192" s="5123">
        <v>18.754999999999999</v>
      </c>
      <c r="W192" s="5123">
        <v>0</v>
      </c>
      <c r="X192" s="5123">
        <v>7.9889999999999999</v>
      </c>
      <c r="Y192" s="5123">
        <v>0</v>
      </c>
      <c r="Z192" s="5123">
        <v>0</v>
      </c>
      <c r="AA192" s="5123">
        <v>0</v>
      </c>
      <c r="AB192" s="5123">
        <v>0</v>
      </c>
      <c r="AC192" s="5123">
        <v>0</v>
      </c>
      <c r="AD192" s="5123">
        <v>0</v>
      </c>
      <c r="AE192" s="5123">
        <v>0</v>
      </c>
      <c r="AF192" s="5123">
        <v>0</v>
      </c>
      <c r="AG192" s="5123">
        <v>0</v>
      </c>
      <c r="AH192" s="5123">
        <v>0</v>
      </c>
      <c r="AI192" s="5123">
        <v>0</v>
      </c>
      <c r="AJ192" s="5123">
        <v>0</v>
      </c>
      <c r="AK192" s="5123">
        <v>0</v>
      </c>
      <c r="AL192" s="5123">
        <v>0</v>
      </c>
      <c r="AM192" s="5123">
        <v>0</v>
      </c>
      <c r="AN192" s="5124">
        <f t="shared" si="4"/>
        <v>46.744</v>
      </c>
      <c r="AO192" s="5125">
        <v>46.744</v>
      </c>
      <c r="AP192" s="5126">
        <f t="shared" si="5"/>
        <v>0</v>
      </c>
    </row>
    <row r="193" spans="1:42">
      <c r="A193" s="5121">
        <v>401</v>
      </c>
      <c r="B193" s="5122">
        <v>20</v>
      </c>
      <c r="C193" s="5123">
        <v>20.893999999999998</v>
      </c>
      <c r="D193" s="5123">
        <v>0</v>
      </c>
      <c r="E193" s="5123">
        <v>6.9850000000000003</v>
      </c>
      <c r="F193" s="5123">
        <v>0</v>
      </c>
      <c r="G193" s="5123">
        <v>0</v>
      </c>
      <c r="H193" s="5123">
        <v>0</v>
      </c>
      <c r="I193" s="5123">
        <v>0</v>
      </c>
      <c r="J193" s="5123">
        <v>0</v>
      </c>
      <c r="K193" s="5123">
        <v>0</v>
      </c>
      <c r="L193" s="5123">
        <v>0</v>
      </c>
      <c r="M193" s="5123">
        <v>0</v>
      </c>
      <c r="N193" s="5123">
        <v>0</v>
      </c>
      <c r="O193" s="5123">
        <v>0</v>
      </c>
      <c r="P193" s="5123">
        <v>0</v>
      </c>
      <c r="Q193" s="5123">
        <v>0</v>
      </c>
      <c r="R193" s="5123">
        <v>0</v>
      </c>
      <c r="S193" s="5123">
        <v>0</v>
      </c>
      <c r="T193" s="5123">
        <v>0</v>
      </c>
      <c r="U193" s="5122">
        <v>20</v>
      </c>
      <c r="V193" s="5123">
        <v>25.248999999999999</v>
      </c>
      <c r="W193" s="5123">
        <v>0</v>
      </c>
      <c r="X193" s="5123">
        <v>3.597</v>
      </c>
      <c r="Y193" s="5123">
        <v>0</v>
      </c>
      <c r="Z193" s="5123">
        <v>0</v>
      </c>
      <c r="AA193" s="5123">
        <v>0</v>
      </c>
      <c r="AB193" s="5123">
        <v>0</v>
      </c>
      <c r="AC193" s="5123">
        <v>0</v>
      </c>
      <c r="AD193" s="5123">
        <v>0</v>
      </c>
      <c r="AE193" s="5123">
        <v>0</v>
      </c>
      <c r="AF193" s="5123">
        <v>0</v>
      </c>
      <c r="AG193" s="5123">
        <v>0</v>
      </c>
      <c r="AH193" s="5123">
        <v>0</v>
      </c>
      <c r="AI193" s="5123">
        <v>0</v>
      </c>
      <c r="AJ193" s="5123">
        <v>0</v>
      </c>
      <c r="AK193" s="5123">
        <v>0</v>
      </c>
      <c r="AL193" s="5123">
        <v>0</v>
      </c>
      <c r="AM193" s="5123">
        <v>0</v>
      </c>
      <c r="AN193" s="5124">
        <f t="shared" si="4"/>
        <v>48.845999999999997</v>
      </c>
      <c r="AO193" s="5125">
        <v>48.845999999999997</v>
      </c>
      <c r="AP193" s="5126">
        <f t="shared" si="5"/>
        <v>0</v>
      </c>
    </row>
    <row r="194" spans="1:42">
      <c r="A194" s="5121">
        <v>402</v>
      </c>
      <c r="B194" s="5122">
        <v>20</v>
      </c>
      <c r="C194" s="5123">
        <v>12.663</v>
      </c>
      <c r="D194" s="5123">
        <v>0</v>
      </c>
      <c r="E194" s="5123">
        <v>5.9980000000000002</v>
      </c>
      <c r="F194" s="5123">
        <v>0</v>
      </c>
      <c r="G194" s="5123">
        <v>0</v>
      </c>
      <c r="H194" s="5123">
        <v>25.295999999999999</v>
      </c>
      <c r="I194" s="5123">
        <v>0</v>
      </c>
      <c r="J194" s="5123">
        <v>0</v>
      </c>
      <c r="K194" s="5123">
        <v>0.128</v>
      </c>
      <c r="L194" s="5123">
        <v>0</v>
      </c>
      <c r="M194" s="5123">
        <v>0</v>
      </c>
      <c r="N194" s="5123">
        <v>0</v>
      </c>
      <c r="O194" s="5123">
        <v>0</v>
      </c>
      <c r="P194" s="5123">
        <v>0</v>
      </c>
      <c r="Q194" s="5123">
        <v>0</v>
      </c>
      <c r="R194" s="5123">
        <v>0</v>
      </c>
      <c r="S194" s="5123">
        <v>0</v>
      </c>
      <c r="T194" s="5123">
        <v>0</v>
      </c>
      <c r="U194" s="5122">
        <v>20</v>
      </c>
      <c r="V194" s="5123">
        <v>14.223000000000001</v>
      </c>
      <c r="W194" s="5123">
        <v>0</v>
      </c>
      <c r="X194" s="5123">
        <v>7.8780000000000001</v>
      </c>
      <c r="Y194" s="5123">
        <v>0</v>
      </c>
      <c r="Z194" s="5123">
        <v>0</v>
      </c>
      <c r="AA194" s="5123">
        <v>21.312000000000001</v>
      </c>
      <c r="AB194" s="5123">
        <v>0</v>
      </c>
      <c r="AC194" s="5123">
        <v>0</v>
      </c>
      <c r="AD194" s="5123">
        <v>0</v>
      </c>
      <c r="AE194" s="5123">
        <v>0</v>
      </c>
      <c r="AF194" s="5123">
        <v>0</v>
      </c>
      <c r="AG194" s="5123">
        <v>0</v>
      </c>
      <c r="AH194" s="5123">
        <v>0</v>
      </c>
      <c r="AI194" s="5123">
        <v>0</v>
      </c>
      <c r="AJ194" s="5123">
        <v>0</v>
      </c>
      <c r="AK194" s="5123">
        <v>0</v>
      </c>
      <c r="AL194" s="5123">
        <v>0</v>
      </c>
      <c r="AM194" s="5123">
        <v>0</v>
      </c>
      <c r="AN194" s="5124">
        <f t="shared" si="4"/>
        <v>63.412999999999997</v>
      </c>
      <c r="AO194" s="5125">
        <v>63.412999999999997</v>
      </c>
      <c r="AP194" s="5126">
        <f t="shared" si="5"/>
        <v>0</v>
      </c>
    </row>
    <row r="195" spans="1:42">
      <c r="A195" s="5121">
        <v>403</v>
      </c>
      <c r="B195" s="5122">
        <v>20</v>
      </c>
      <c r="C195" s="5123">
        <v>20.92</v>
      </c>
      <c r="D195" s="5123">
        <v>0</v>
      </c>
      <c r="E195" s="5123">
        <v>3.0459999999999998</v>
      </c>
      <c r="F195" s="5123">
        <v>0</v>
      </c>
      <c r="G195" s="5123">
        <v>0</v>
      </c>
      <c r="H195" s="5123">
        <v>0</v>
      </c>
      <c r="I195" s="5123">
        <v>0</v>
      </c>
      <c r="J195" s="5123">
        <v>0</v>
      </c>
      <c r="K195" s="5123">
        <v>0</v>
      </c>
      <c r="L195" s="5123">
        <v>0</v>
      </c>
      <c r="M195" s="5123">
        <v>0</v>
      </c>
      <c r="N195" s="5123">
        <v>0</v>
      </c>
      <c r="O195" s="5123">
        <v>0</v>
      </c>
      <c r="P195" s="5123">
        <v>0</v>
      </c>
      <c r="Q195" s="5123">
        <v>0</v>
      </c>
      <c r="R195" s="5123">
        <v>0</v>
      </c>
      <c r="S195" s="5123">
        <v>0</v>
      </c>
      <c r="T195" s="5123">
        <v>0</v>
      </c>
      <c r="U195" s="5122">
        <v>20</v>
      </c>
      <c r="V195" s="5123">
        <v>26.363</v>
      </c>
      <c r="W195" s="5123">
        <v>0</v>
      </c>
      <c r="X195" s="5123">
        <v>3.5009999999999999</v>
      </c>
      <c r="Y195" s="5123">
        <v>0</v>
      </c>
      <c r="Z195" s="5123">
        <v>0</v>
      </c>
      <c r="AA195" s="5123">
        <v>0</v>
      </c>
      <c r="AB195" s="5123">
        <v>0</v>
      </c>
      <c r="AC195" s="5123">
        <v>0</v>
      </c>
      <c r="AD195" s="5123">
        <v>0</v>
      </c>
      <c r="AE195" s="5123">
        <v>0</v>
      </c>
      <c r="AF195" s="5123">
        <v>0</v>
      </c>
      <c r="AG195" s="5123">
        <v>0</v>
      </c>
      <c r="AH195" s="5123">
        <v>0</v>
      </c>
      <c r="AI195" s="5123">
        <v>0</v>
      </c>
      <c r="AJ195" s="5123">
        <v>0</v>
      </c>
      <c r="AK195" s="5123">
        <v>0</v>
      </c>
      <c r="AL195" s="5123">
        <v>0</v>
      </c>
      <c r="AM195" s="5123">
        <v>0</v>
      </c>
      <c r="AN195" s="5124">
        <f t="shared" si="4"/>
        <v>49.863999999999997</v>
      </c>
      <c r="AO195" s="5125">
        <v>49.863999999999997</v>
      </c>
      <c r="AP195" s="5126">
        <f t="shared" si="5"/>
        <v>0</v>
      </c>
    </row>
    <row r="196" spans="1:42">
      <c r="A196" s="5121">
        <v>404</v>
      </c>
      <c r="B196" s="5122">
        <v>20</v>
      </c>
      <c r="C196" s="5123">
        <v>16.015999999999998</v>
      </c>
      <c r="D196" s="5123">
        <v>0</v>
      </c>
      <c r="E196" s="5123">
        <v>5.9969999999999999</v>
      </c>
      <c r="F196" s="5123">
        <v>0</v>
      </c>
      <c r="G196" s="5123">
        <v>0</v>
      </c>
      <c r="H196" s="5123">
        <v>0</v>
      </c>
      <c r="I196" s="5123">
        <v>0</v>
      </c>
      <c r="J196" s="5123">
        <v>0</v>
      </c>
      <c r="K196" s="5123">
        <v>0</v>
      </c>
      <c r="L196" s="5123">
        <v>0</v>
      </c>
      <c r="M196" s="5123">
        <v>0</v>
      </c>
      <c r="N196" s="5123">
        <v>0</v>
      </c>
      <c r="O196" s="5123">
        <v>0</v>
      </c>
      <c r="P196" s="5123">
        <v>0</v>
      </c>
      <c r="Q196" s="5123">
        <v>0</v>
      </c>
      <c r="R196" s="5123">
        <v>0</v>
      </c>
      <c r="S196" s="5123">
        <v>0</v>
      </c>
      <c r="T196" s="5123">
        <v>0</v>
      </c>
      <c r="U196" s="5122">
        <v>20</v>
      </c>
      <c r="V196" s="5123">
        <v>23.206</v>
      </c>
      <c r="W196" s="5123">
        <v>0</v>
      </c>
      <c r="X196" s="5123">
        <v>2.9990000000000001</v>
      </c>
      <c r="Y196" s="5123">
        <v>0</v>
      </c>
      <c r="Z196" s="5123">
        <v>0</v>
      </c>
      <c r="AA196" s="5123">
        <v>12.96</v>
      </c>
      <c r="AB196" s="5123">
        <v>0</v>
      </c>
      <c r="AC196" s="5123">
        <v>0</v>
      </c>
      <c r="AD196" s="5123">
        <v>0</v>
      </c>
      <c r="AE196" s="5123">
        <v>0</v>
      </c>
      <c r="AF196" s="5123">
        <v>0</v>
      </c>
      <c r="AG196" s="5123">
        <v>0</v>
      </c>
      <c r="AH196" s="5123">
        <v>0</v>
      </c>
      <c r="AI196" s="5123">
        <v>0</v>
      </c>
      <c r="AJ196" s="5123">
        <v>0</v>
      </c>
      <c r="AK196" s="5123">
        <v>0</v>
      </c>
      <c r="AL196" s="5123">
        <v>0</v>
      </c>
      <c r="AM196" s="5123">
        <v>0</v>
      </c>
      <c r="AN196" s="5124">
        <f t="shared" ref="AN196:AN259" si="6">SUM(U196:AM196)</f>
        <v>59.164999999999999</v>
      </c>
      <c r="AO196" s="5125">
        <v>59.164999999999999</v>
      </c>
      <c r="AP196" s="5126">
        <f t="shared" ref="AP196:AP259" si="7">AN196-AO196</f>
        <v>0</v>
      </c>
    </row>
    <row r="197" spans="1:42">
      <c r="A197" s="5121">
        <v>405</v>
      </c>
      <c r="B197" s="5122">
        <v>20</v>
      </c>
      <c r="C197" s="5123">
        <v>16.952000000000002</v>
      </c>
      <c r="D197" s="5123">
        <v>0</v>
      </c>
      <c r="E197" s="5123">
        <v>3.633</v>
      </c>
      <c r="F197" s="5123">
        <v>0</v>
      </c>
      <c r="G197" s="5123">
        <v>0</v>
      </c>
      <c r="H197" s="5123">
        <v>13.186999999999999</v>
      </c>
      <c r="I197" s="5123">
        <v>0</v>
      </c>
      <c r="J197" s="5123">
        <v>0</v>
      </c>
      <c r="K197" s="5123">
        <v>0</v>
      </c>
      <c r="L197" s="5123">
        <v>0</v>
      </c>
      <c r="M197" s="5123">
        <v>0</v>
      </c>
      <c r="N197" s="5123">
        <v>0</v>
      </c>
      <c r="O197" s="5123">
        <v>0</v>
      </c>
      <c r="P197" s="5123">
        <v>1E-3</v>
      </c>
      <c r="Q197" s="5123">
        <v>0.90800000000000003</v>
      </c>
      <c r="R197" s="5123">
        <v>0</v>
      </c>
      <c r="S197" s="5123">
        <v>0</v>
      </c>
      <c r="T197" s="5123">
        <v>0</v>
      </c>
      <c r="U197" s="5122">
        <v>20</v>
      </c>
      <c r="V197" s="5123">
        <v>16.001999999999999</v>
      </c>
      <c r="W197" s="5123">
        <v>0</v>
      </c>
      <c r="X197" s="5123">
        <v>5.8360000000000003</v>
      </c>
      <c r="Y197" s="5123">
        <v>0</v>
      </c>
      <c r="Z197" s="5123">
        <v>0</v>
      </c>
      <c r="AA197" s="5123">
        <v>14.028</v>
      </c>
      <c r="AB197" s="5123">
        <v>0</v>
      </c>
      <c r="AC197" s="5123">
        <v>0</v>
      </c>
      <c r="AD197" s="5123">
        <v>0</v>
      </c>
      <c r="AE197" s="5123">
        <v>0</v>
      </c>
      <c r="AF197" s="5123">
        <v>0</v>
      </c>
      <c r="AG197" s="5123">
        <v>0</v>
      </c>
      <c r="AH197" s="5123">
        <v>0</v>
      </c>
      <c r="AI197" s="5123">
        <v>7.0430000000000001</v>
      </c>
      <c r="AJ197" s="5123">
        <v>1.006</v>
      </c>
      <c r="AK197" s="5123">
        <v>0</v>
      </c>
      <c r="AL197" s="5123">
        <v>0</v>
      </c>
      <c r="AM197" s="5123">
        <v>0</v>
      </c>
      <c r="AN197" s="5124">
        <f t="shared" si="6"/>
        <v>63.914999999999999</v>
      </c>
      <c r="AO197" s="5125">
        <v>63.914999999999999</v>
      </c>
      <c r="AP197" s="5126">
        <f t="shared" si="7"/>
        <v>0</v>
      </c>
    </row>
    <row r="198" spans="1:42">
      <c r="A198" s="5121">
        <v>407</v>
      </c>
      <c r="B198" s="5122">
        <v>20</v>
      </c>
      <c r="C198" s="5123">
        <v>20.09</v>
      </c>
      <c r="D198" s="5123">
        <v>0</v>
      </c>
      <c r="E198" s="5123">
        <v>8</v>
      </c>
      <c r="F198" s="5123">
        <v>0</v>
      </c>
      <c r="G198" s="5123">
        <v>0</v>
      </c>
      <c r="H198" s="5123">
        <v>0</v>
      </c>
      <c r="I198" s="5123">
        <v>0</v>
      </c>
      <c r="J198" s="5123">
        <v>0</v>
      </c>
      <c r="K198" s="5123">
        <v>0</v>
      </c>
      <c r="L198" s="5123">
        <v>0</v>
      </c>
      <c r="M198" s="5123">
        <v>0</v>
      </c>
      <c r="N198" s="5123">
        <v>0</v>
      </c>
      <c r="O198" s="5123">
        <v>0</v>
      </c>
      <c r="P198" s="5123">
        <v>0</v>
      </c>
      <c r="Q198" s="5123">
        <v>0</v>
      </c>
      <c r="R198" s="5123">
        <v>0</v>
      </c>
      <c r="S198" s="5123">
        <v>0</v>
      </c>
      <c r="T198" s="5123">
        <v>0</v>
      </c>
      <c r="U198" s="5122">
        <v>20</v>
      </c>
      <c r="V198" s="5123">
        <v>22.335999999999999</v>
      </c>
      <c r="W198" s="5123">
        <v>0</v>
      </c>
      <c r="X198" s="5123">
        <v>7.992</v>
      </c>
      <c r="Y198" s="5123">
        <v>0</v>
      </c>
      <c r="Z198" s="5123">
        <v>0</v>
      </c>
      <c r="AA198" s="5123">
        <v>0</v>
      </c>
      <c r="AB198" s="5123">
        <v>0</v>
      </c>
      <c r="AC198" s="5123">
        <v>0</v>
      </c>
      <c r="AD198" s="5123">
        <v>0</v>
      </c>
      <c r="AE198" s="5123">
        <v>0</v>
      </c>
      <c r="AF198" s="5123">
        <v>0</v>
      </c>
      <c r="AG198" s="5123">
        <v>0</v>
      </c>
      <c r="AH198" s="5123">
        <v>0</v>
      </c>
      <c r="AI198" s="5123">
        <v>0</v>
      </c>
      <c r="AJ198" s="5123">
        <v>0</v>
      </c>
      <c r="AK198" s="5123">
        <v>0</v>
      </c>
      <c r="AL198" s="5123">
        <v>0</v>
      </c>
      <c r="AM198" s="5123">
        <v>0</v>
      </c>
      <c r="AN198" s="5124">
        <f t="shared" si="6"/>
        <v>50.328000000000003</v>
      </c>
      <c r="AO198" s="5125">
        <v>50.328000000000003</v>
      </c>
      <c r="AP198" s="5126">
        <f t="shared" si="7"/>
        <v>0</v>
      </c>
    </row>
    <row r="199" spans="1:42">
      <c r="A199" s="5121">
        <v>408</v>
      </c>
      <c r="B199" s="5122">
        <v>20</v>
      </c>
      <c r="C199" s="5123">
        <v>19.398</v>
      </c>
      <c r="D199" s="5123">
        <v>0</v>
      </c>
      <c r="E199" s="5123">
        <v>0</v>
      </c>
      <c r="F199" s="5123">
        <v>0</v>
      </c>
      <c r="G199" s="5123">
        <v>0</v>
      </c>
      <c r="H199" s="5123">
        <v>12.920999999999999</v>
      </c>
      <c r="I199" s="5123">
        <v>0</v>
      </c>
      <c r="J199" s="5123">
        <v>0</v>
      </c>
      <c r="K199" s="5123">
        <v>0</v>
      </c>
      <c r="L199" s="5123">
        <v>0</v>
      </c>
      <c r="M199" s="5123">
        <v>0</v>
      </c>
      <c r="N199" s="5123">
        <v>0</v>
      </c>
      <c r="O199" s="5123">
        <v>0</v>
      </c>
      <c r="P199" s="5123">
        <v>0</v>
      </c>
      <c r="Q199" s="5123">
        <v>0</v>
      </c>
      <c r="R199" s="5123">
        <v>0</v>
      </c>
      <c r="S199" s="5123">
        <v>0</v>
      </c>
      <c r="T199" s="5123">
        <v>0</v>
      </c>
      <c r="U199" s="5122">
        <v>20</v>
      </c>
      <c r="V199" s="5123">
        <v>23.187999999999999</v>
      </c>
      <c r="W199" s="5123">
        <v>0</v>
      </c>
      <c r="X199" s="5123">
        <v>0</v>
      </c>
      <c r="Y199" s="5123">
        <v>0</v>
      </c>
      <c r="Z199" s="5123">
        <v>0</v>
      </c>
      <c r="AA199" s="5123">
        <v>9.2240000000000002</v>
      </c>
      <c r="AB199" s="5123">
        <v>0</v>
      </c>
      <c r="AC199" s="5123">
        <v>0</v>
      </c>
      <c r="AD199" s="5123">
        <v>0</v>
      </c>
      <c r="AE199" s="5123">
        <v>0</v>
      </c>
      <c r="AF199" s="5123">
        <v>0</v>
      </c>
      <c r="AG199" s="5123">
        <v>0</v>
      </c>
      <c r="AH199" s="5123">
        <v>0</v>
      </c>
      <c r="AI199" s="5123">
        <v>0</v>
      </c>
      <c r="AJ199" s="5123">
        <v>0</v>
      </c>
      <c r="AK199" s="5123">
        <v>0</v>
      </c>
      <c r="AL199" s="5123">
        <v>0</v>
      </c>
      <c r="AM199" s="5123">
        <v>0</v>
      </c>
      <c r="AN199" s="5124">
        <f t="shared" si="6"/>
        <v>52.411999999999999</v>
      </c>
      <c r="AO199" s="5125">
        <v>52.411999999999999</v>
      </c>
      <c r="AP199" s="5126">
        <f t="shared" si="7"/>
        <v>0</v>
      </c>
    </row>
    <row r="200" spans="1:42">
      <c r="A200" s="5121">
        <v>409</v>
      </c>
      <c r="B200" s="5122">
        <v>20</v>
      </c>
      <c r="C200" s="5123">
        <v>18.620999999999999</v>
      </c>
      <c r="D200" s="5123">
        <v>0</v>
      </c>
      <c r="E200" s="5123">
        <v>3.9910000000000001</v>
      </c>
      <c r="F200" s="5123">
        <v>0</v>
      </c>
      <c r="G200" s="5123">
        <v>0</v>
      </c>
      <c r="H200" s="5123">
        <v>14.417</v>
      </c>
      <c r="I200" s="5123">
        <v>0</v>
      </c>
      <c r="J200" s="5123">
        <v>0</v>
      </c>
      <c r="K200" s="5123">
        <v>0</v>
      </c>
      <c r="L200" s="5123">
        <v>0</v>
      </c>
      <c r="M200" s="5123">
        <v>0</v>
      </c>
      <c r="N200" s="5123">
        <v>0</v>
      </c>
      <c r="O200" s="5123">
        <v>0</v>
      </c>
      <c r="P200" s="5123">
        <v>2.569</v>
      </c>
      <c r="Q200" s="5123">
        <v>0.77500000000000002</v>
      </c>
      <c r="R200" s="5123">
        <v>0</v>
      </c>
      <c r="S200" s="5123">
        <v>0</v>
      </c>
      <c r="T200" s="5123">
        <v>0</v>
      </c>
      <c r="U200" s="5122">
        <v>20</v>
      </c>
      <c r="V200" s="5123">
        <v>18.744</v>
      </c>
      <c r="W200" s="5123">
        <v>0</v>
      </c>
      <c r="X200" s="5123">
        <v>5</v>
      </c>
      <c r="Y200" s="5123">
        <v>0</v>
      </c>
      <c r="Z200" s="5123">
        <v>0</v>
      </c>
      <c r="AA200" s="5123">
        <v>13.194000000000001</v>
      </c>
      <c r="AB200" s="5123">
        <v>0</v>
      </c>
      <c r="AC200" s="5123">
        <v>0</v>
      </c>
      <c r="AD200" s="5123">
        <v>0</v>
      </c>
      <c r="AE200" s="5123">
        <v>0</v>
      </c>
      <c r="AF200" s="5123">
        <v>0</v>
      </c>
      <c r="AG200" s="5123">
        <v>0</v>
      </c>
      <c r="AH200" s="5123">
        <v>0</v>
      </c>
      <c r="AI200" s="5123">
        <v>2.8719999999999999</v>
      </c>
      <c r="AJ200" s="5123">
        <v>0.747</v>
      </c>
      <c r="AK200" s="5123">
        <v>0</v>
      </c>
      <c r="AL200" s="5123">
        <v>0</v>
      </c>
      <c r="AM200" s="5123">
        <v>0</v>
      </c>
      <c r="AN200" s="5124">
        <f t="shared" si="6"/>
        <v>60.557000000000002</v>
      </c>
      <c r="AO200" s="5125">
        <v>60.557000000000002</v>
      </c>
      <c r="AP200" s="5126">
        <f t="shared" si="7"/>
        <v>0</v>
      </c>
    </row>
    <row r="201" spans="1:42">
      <c r="A201" s="5121">
        <v>410</v>
      </c>
      <c r="B201" s="5122">
        <v>20</v>
      </c>
      <c r="C201" s="5123">
        <v>21.779</v>
      </c>
      <c r="D201" s="5123">
        <v>0</v>
      </c>
      <c r="E201" s="5123">
        <v>7.9390000000000001</v>
      </c>
      <c r="F201" s="5123">
        <v>0</v>
      </c>
      <c r="G201" s="5123">
        <v>0</v>
      </c>
      <c r="H201" s="5123">
        <v>10.516</v>
      </c>
      <c r="I201" s="5123">
        <v>0</v>
      </c>
      <c r="J201" s="5123">
        <v>0</v>
      </c>
      <c r="K201" s="5123">
        <v>0</v>
      </c>
      <c r="L201" s="5123">
        <v>0</v>
      </c>
      <c r="M201" s="5123">
        <v>0</v>
      </c>
      <c r="N201" s="5123">
        <v>0</v>
      </c>
      <c r="O201" s="5123">
        <v>0</v>
      </c>
      <c r="P201" s="5123">
        <v>0</v>
      </c>
      <c r="Q201" s="5123">
        <v>0</v>
      </c>
      <c r="R201" s="5123">
        <v>0</v>
      </c>
      <c r="S201" s="5123">
        <v>0</v>
      </c>
      <c r="T201" s="5123">
        <v>0</v>
      </c>
      <c r="U201" s="5122">
        <v>20</v>
      </c>
      <c r="V201" s="5123">
        <v>24.521999999999998</v>
      </c>
      <c r="W201" s="5123">
        <v>0</v>
      </c>
      <c r="X201" s="5123">
        <v>7.9660000000000002</v>
      </c>
      <c r="Y201" s="5123">
        <v>0</v>
      </c>
      <c r="Z201" s="5123">
        <v>0</v>
      </c>
      <c r="AA201" s="5123">
        <v>10.552</v>
      </c>
      <c r="AB201" s="5123">
        <v>0</v>
      </c>
      <c r="AC201" s="5123">
        <v>0</v>
      </c>
      <c r="AD201" s="5123">
        <v>0</v>
      </c>
      <c r="AE201" s="5123">
        <v>0</v>
      </c>
      <c r="AF201" s="5123">
        <v>0</v>
      </c>
      <c r="AG201" s="5123">
        <v>0</v>
      </c>
      <c r="AH201" s="5123">
        <v>0</v>
      </c>
      <c r="AI201" s="5123">
        <v>0</v>
      </c>
      <c r="AJ201" s="5123">
        <v>0</v>
      </c>
      <c r="AK201" s="5123">
        <v>0</v>
      </c>
      <c r="AL201" s="5123">
        <v>0</v>
      </c>
      <c r="AM201" s="5123">
        <v>0</v>
      </c>
      <c r="AN201" s="5124">
        <f t="shared" si="6"/>
        <v>63.04</v>
      </c>
      <c r="AO201" s="5125">
        <v>63.04</v>
      </c>
      <c r="AP201" s="5126">
        <f t="shared" si="7"/>
        <v>0</v>
      </c>
    </row>
    <row r="202" spans="1:42">
      <c r="A202" s="5121">
        <v>411</v>
      </c>
      <c r="B202" s="5122">
        <v>20</v>
      </c>
      <c r="C202" s="5123">
        <v>18.239999999999998</v>
      </c>
      <c r="D202" s="5123">
        <v>0</v>
      </c>
      <c r="E202" s="5123">
        <v>3.9990000000000001</v>
      </c>
      <c r="F202" s="5123">
        <v>0</v>
      </c>
      <c r="G202" s="5123">
        <v>0</v>
      </c>
      <c r="H202" s="5123">
        <v>11.372999999999999</v>
      </c>
      <c r="I202" s="5123">
        <v>0</v>
      </c>
      <c r="J202" s="5123">
        <v>0</v>
      </c>
      <c r="K202" s="5123">
        <v>0</v>
      </c>
      <c r="L202" s="5123">
        <v>0</v>
      </c>
      <c r="M202" s="5123">
        <v>0</v>
      </c>
      <c r="N202" s="5123">
        <v>0</v>
      </c>
      <c r="O202" s="5123">
        <v>0</v>
      </c>
      <c r="P202" s="5123">
        <v>1.5589999999999999</v>
      </c>
      <c r="Q202" s="5123">
        <v>0</v>
      </c>
      <c r="R202" s="5123">
        <v>0</v>
      </c>
      <c r="S202" s="5123">
        <v>0</v>
      </c>
      <c r="T202" s="5123">
        <v>0</v>
      </c>
      <c r="U202" s="5122">
        <v>20</v>
      </c>
      <c r="V202" s="5123">
        <v>25.225999999999999</v>
      </c>
      <c r="W202" s="5123">
        <v>0</v>
      </c>
      <c r="X202" s="5123">
        <v>4</v>
      </c>
      <c r="Y202" s="5123">
        <v>0</v>
      </c>
      <c r="Z202" s="5123">
        <v>0</v>
      </c>
      <c r="AA202" s="5123">
        <v>9.8089999999999993</v>
      </c>
      <c r="AB202" s="5123">
        <v>0</v>
      </c>
      <c r="AC202" s="5123">
        <v>0</v>
      </c>
      <c r="AD202" s="5123">
        <v>0</v>
      </c>
      <c r="AE202" s="5123">
        <v>0</v>
      </c>
      <c r="AF202" s="5123">
        <v>0</v>
      </c>
      <c r="AG202" s="5123">
        <v>0</v>
      </c>
      <c r="AH202" s="5123">
        <v>0</v>
      </c>
      <c r="AI202" s="5123">
        <v>1.284</v>
      </c>
      <c r="AJ202" s="5123">
        <v>0</v>
      </c>
      <c r="AK202" s="5123">
        <v>0</v>
      </c>
      <c r="AL202" s="5123">
        <v>0</v>
      </c>
      <c r="AM202" s="5123">
        <v>0</v>
      </c>
      <c r="AN202" s="5124">
        <f t="shared" si="6"/>
        <v>60.319000000000003</v>
      </c>
      <c r="AO202" s="5125">
        <v>60.319000000000003</v>
      </c>
      <c r="AP202" s="5126">
        <f t="shared" si="7"/>
        <v>0</v>
      </c>
    </row>
    <row r="203" spans="1:42">
      <c r="A203" s="5121">
        <v>412</v>
      </c>
      <c r="B203" s="5122">
        <v>20</v>
      </c>
      <c r="C203" s="5123">
        <v>16.882999999999999</v>
      </c>
      <c r="D203" s="5123">
        <v>0</v>
      </c>
      <c r="E203" s="5123">
        <v>6.9870000000000001</v>
      </c>
      <c r="F203" s="5123">
        <v>0</v>
      </c>
      <c r="G203" s="5123">
        <v>0</v>
      </c>
      <c r="H203" s="5123">
        <v>0</v>
      </c>
      <c r="I203" s="5123">
        <v>0</v>
      </c>
      <c r="J203" s="5123">
        <v>0</v>
      </c>
      <c r="K203" s="5123">
        <v>0</v>
      </c>
      <c r="L203" s="5123">
        <v>0</v>
      </c>
      <c r="M203" s="5123">
        <v>0</v>
      </c>
      <c r="N203" s="5123">
        <v>0</v>
      </c>
      <c r="O203" s="5123">
        <v>0</v>
      </c>
      <c r="P203" s="5123">
        <v>0</v>
      </c>
      <c r="Q203" s="5123">
        <v>0</v>
      </c>
      <c r="R203" s="5123">
        <v>0</v>
      </c>
      <c r="S203" s="5123">
        <v>0</v>
      </c>
      <c r="T203" s="5123">
        <v>0</v>
      </c>
      <c r="U203" s="5122">
        <v>20</v>
      </c>
      <c r="V203" s="5123">
        <v>17.907</v>
      </c>
      <c r="W203" s="5123">
        <v>0</v>
      </c>
      <c r="X203" s="5123">
        <v>6.9939999999999998</v>
      </c>
      <c r="Y203" s="5123">
        <v>0</v>
      </c>
      <c r="Z203" s="5123">
        <v>0</v>
      </c>
      <c r="AA203" s="5123">
        <v>0</v>
      </c>
      <c r="AB203" s="5123">
        <v>0</v>
      </c>
      <c r="AC203" s="5123">
        <v>0</v>
      </c>
      <c r="AD203" s="5123">
        <v>0</v>
      </c>
      <c r="AE203" s="5123">
        <v>0</v>
      </c>
      <c r="AF203" s="5123">
        <v>0</v>
      </c>
      <c r="AG203" s="5123">
        <v>0</v>
      </c>
      <c r="AH203" s="5123">
        <v>0</v>
      </c>
      <c r="AI203" s="5123">
        <v>0</v>
      </c>
      <c r="AJ203" s="5123">
        <v>0</v>
      </c>
      <c r="AK203" s="5123">
        <v>0</v>
      </c>
      <c r="AL203" s="5123">
        <v>0</v>
      </c>
      <c r="AM203" s="5123">
        <v>0</v>
      </c>
      <c r="AN203" s="5124">
        <f t="shared" si="6"/>
        <v>44.901000000000003</v>
      </c>
      <c r="AO203" s="5125">
        <v>44.901000000000003</v>
      </c>
      <c r="AP203" s="5126">
        <f t="shared" si="7"/>
        <v>0</v>
      </c>
    </row>
    <row r="204" spans="1:42">
      <c r="A204" s="5121">
        <v>413</v>
      </c>
      <c r="B204" s="5122">
        <v>20</v>
      </c>
      <c r="C204" s="5123">
        <v>17.891999999999999</v>
      </c>
      <c r="D204" s="5123">
        <v>0</v>
      </c>
      <c r="E204" s="5123">
        <v>4.9530000000000003</v>
      </c>
      <c r="F204" s="5123">
        <v>0</v>
      </c>
      <c r="G204" s="5123">
        <v>0</v>
      </c>
      <c r="H204" s="5123">
        <v>12.49</v>
      </c>
      <c r="I204" s="5123">
        <v>0</v>
      </c>
      <c r="J204" s="5123">
        <v>0</v>
      </c>
      <c r="K204" s="5123">
        <v>0</v>
      </c>
      <c r="L204" s="5123">
        <v>0</v>
      </c>
      <c r="M204" s="5123">
        <v>0</v>
      </c>
      <c r="N204" s="5123">
        <v>0</v>
      </c>
      <c r="O204" s="5123">
        <v>0</v>
      </c>
      <c r="P204" s="5123">
        <v>3.0009999999999999</v>
      </c>
      <c r="Q204" s="5123">
        <v>0.84599999999999997</v>
      </c>
      <c r="R204" s="5123">
        <v>0</v>
      </c>
      <c r="S204" s="5123">
        <v>0</v>
      </c>
      <c r="T204" s="5123">
        <v>0</v>
      </c>
      <c r="U204" s="5122">
        <v>20</v>
      </c>
      <c r="V204" s="5123">
        <v>11.739000000000001</v>
      </c>
      <c r="W204" s="5123">
        <v>0</v>
      </c>
      <c r="X204" s="5123">
        <v>7.9989999999999997</v>
      </c>
      <c r="Y204" s="5123">
        <v>0</v>
      </c>
      <c r="Z204" s="5123">
        <v>0</v>
      </c>
      <c r="AA204" s="5123">
        <v>14.776999999999999</v>
      </c>
      <c r="AB204" s="5123">
        <v>0</v>
      </c>
      <c r="AC204" s="5123">
        <v>0</v>
      </c>
      <c r="AD204" s="5123">
        <v>0</v>
      </c>
      <c r="AE204" s="5123">
        <v>0</v>
      </c>
      <c r="AF204" s="5123">
        <v>0</v>
      </c>
      <c r="AG204" s="5123">
        <v>0</v>
      </c>
      <c r="AH204" s="5123">
        <v>0</v>
      </c>
      <c r="AI204" s="5123">
        <v>5</v>
      </c>
      <c r="AJ204" s="5123">
        <v>1.0620000000000001</v>
      </c>
      <c r="AK204" s="5123">
        <v>0</v>
      </c>
      <c r="AL204" s="5123">
        <v>0</v>
      </c>
      <c r="AM204" s="5123">
        <v>0</v>
      </c>
      <c r="AN204" s="5124">
        <f t="shared" si="6"/>
        <v>60.576999999999998</v>
      </c>
      <c r="AO204" s="5125">
        <v>60.576999999999998</v>
      </c>
      <c r="AP204" s="5126">
        <f t="shared" si="7"/>
        <v>0</v>
      </c>
    </row>
    <row r="205" spans="1:42">
      <c r="A205" s="5121">
        <v>415</v>
      </c>
      <c r="B205" s="5122">
        <v>20</v>
      </c>
      <c r="C205" s="5123">
        <v>18.905999999999999</v>
      </c>
      <c r="D205" s="5123">
        <v>0</v>
      </c>
      <c r="E205" s="5123">
        <v>6.0179999999999998</v>
      </c>
      <c r="F205" s="5123">
        <v>0</v>
      </c>
      <c r="G205" s="5123">
        <v>0</v>
      </c>
      <c r="H205" s="5123">
        <v>6.8330000000000002</v>
      </c>
      <c r="I205" s="5123">
        <v>0</v>
      </c>
      <c r="J205" s="5123">
        <v>0</v>
      </c>
      <c r="K205" s="5123">
        <v>0</v>
      </c>
      <c r="L205" s="5123">
        <v>0</v>
      </c>
      <c r="M205" s="5123">
        <v>0</v>
      </c>
      <c r="N205" s="5123">
        <v>0</v>
      </c>
      <c r="O205" s="5123">
        <v>0</v>
      </c>
      <c r="P205" s="5123">
        <v>0</v>
      </c>
      <c r="Q205" s="5123">
        <v>0</v>
      </c>
      <c r="R205" s="5123">
        <v>0</v>
      </c>
      <c r="S205" s="5123">
        <v>0</v>
      </c>
      <c r="T205" s="5123">
        <v>0</v>
      </c>
      <c r="U205" s="5122">
        <v>20</v>
      </c>
      <c r="V205" s="5123">
        <v>19.18</v>
      </c>
      <c r="W205" s="5123">
        <v>0</v>
      </c>
      <c r="X205" s="5123">
        <v>6</v>
      </c>
      <c r="Y205" s="5123">
        <v>0</v>
      </c>
      <c r="Z205" s="5123">
        <v>0</v>
      </c>
      <c r="AA205" s="5123">
        <v>14.933</v>
      </c>
      <c r="AB205" s="5123">
        <v>0</v>
      </c>
      <c r="AC205" s="5123">
        <v>0</v>
      </c>
      <c r="AD205" s="5123">
        <v>0</v>
      </c>
      <c r="AE205" s="5123">
        <v>0</v>
      </c>
      <c r="AF205" s="5123">
        <v>0</v>
      </c>
      <c r="AG205" s="5123">
        <v>0</v>
      </c>
      <c r="AH205" s="5123">
        <v>0</v>
      </c>
      <c r="AI205" s="5123">
        <v>0</v>
      </c>
      <c r="AJ205" s="5123">
        <v>0</v>
      </c>
      <c r="AK205" s="5123">
        <v>0</v>
      </c>
      <c r="AL205" s="5123">
        <v>0</v>
      </c>
      <c r="AM205" s="5123">
        <v>0</v>
      </c>
      <c r="AN205" s="5124">
        <f t="shared" si="6"/>
        <v>60.113</v>
      </c>
      <c r="AO205" s="5125">
        <v>60.113</v>
      </c>
      <c r="AP205" s="5126">
        <f t="shared" si="7"/>
        <v>0</v>
      </c>
    </row>
    <row r="206" spans="1:42">
      <c r="A206" s="5121">
        <v>416</v>
      </c>
      <c r="B206" s="5122">
        <v>20</v>
      </c>
      <c r="C206" s="5123">
        <v>14.733000000000001</v>
      </c>
      <c r="D206" s="5123">
        <v>0</v>
      </c>
      <c r="E206" s="5123">
        <v>8</v>
      </c>
      <c r="F206" s="5123">
        <v>0</v>
      </c>
      <c r="G206" s="5123">
        <v>0</v>
      </c>
      <c r="H206" s="5123">
        <v>22.436</v>
      </c>
      <c r="I206" s="5123">
        <v>0</v>
      </c>
      <c r="J206" s="5123">
        <v>0</v>
      </c>
      <c r="K206" s="5123">
        <v>0</v>
      </c>
      <c r="L206" s="5123">
        <v>0</v>
      </c>
      <c r="M206" s="5123">
        <v>0</v>
      </c>
      <c r="N206" s="5123">
        <v>0</v>
      </c>
      <c r="O206" s="5123">
        <v>0</v>
      </c>
      <c r="P206" s="5123">
        <v>0</v>
      </c>
      <c r="Q206" s="5123">
        <v>0</v>
      </c>
      <c r="R206" s="5123">
        <v>0</v>
      </c>
      <c r="S206" s="5123">
        <v>0</v>
      </c>
      <c r="T206" s="5123">
        <v>0</v>
      </c>
      <c r="U206" s="5122">
        <v>20</v>
      </c>
      <c r="V206" s="5123">
        <v>18.068000000000001</v>
      </c>
      <c r="W206" s="5123">
        <v>0</v>
      </c>
      <c r="X206" s="5123">
        <v>6.81</v>
      </c>
      <c r="Y206" s="5123">
        <v>0</v>
      </c>
      <c r="Z206" s="5123">
        <v>0</v>
      </c>
      <c r="AA206" s="5123">
        <v>21.126000000000001</v>
      </c>
      <c r="AB206" s="5123">
        <v>0</v>
      </c>
      <c r="AC206" s="5123">
        <v>0</v>
      </c>
      <c r="AD206" s="5123">
        <v>0</v>
      </c>
      <c r="AE206" s="5123">
        <v>0</v>
      </c>
      <c r="AF206" s="5123">
        <v>0</v>
      </c>
      <c r="AG206" s="5123">
        <v>0</v>
      </c>
      <c r="AH206" s="5123">
        <v>0</v>
      </c>
      <c r="AI206" s="5123">
        <v>0</v>
      </c>
      <c r="AJ206" s="5123">
        <v>0</v>
      </c>
      <c r="AK206" s="5123">
        <v>0</v>
      </c>
      <c r="AL206" s="5123">
        <v>0</v>
      </c>
      <c r="AM206" s="5123">
        <v>0</v>
      </c>
      <c r="AN206" s="5124">
        <f t="shared" si="6"/>
        <v>66.004000000000005</v>
      </c>
      <c r="AO206" s="5125">
        <v>66.004000000000005</v>
      </c>
      <c r="AP206" s="5126">
        <f t="shared" si="7"/>
        <v>0</v>
      </c>
    </row>
    <row r="207" spans="1:42">
      <c r="A207" s="5121">
        <v>417</v>
      </c>
      <c r="B207" s="5122">
        <v>20</v>
      </c>
      <c r="C207" s="5123">
        <v>19.074000000000002</v>
      </c>
      <c r="D207" s="5123">
        <v>0</v>
      </c>
      <c r="E207" s="5123">
        <v>5.9790000000000001</v>
      </c>
      <c r="F207" s="5123">
        <v>0</v>
      </c>
      <c r="G207" s="5123">
        <v>0</v>
      </c>
      <c r="H207" s="5123">
        <v>9.343</v>
      </c>
      <c r="I207" s="5123">
        <v>0</v>
      </c>
      <c r="J207" s="5123">
        <v>0</v>
      </c>
      <c r="K207" s="5123">
        <v>0</v>
      </c>
      <c r="L207" s="5123">
        <v>0</v>
      </c>
      <c r="M207" s="5123">
        <v>0</v>
      </c>
      <c r="N207" s="5123">
        <v>0</v>
      </c>
      <c r="O207" s="5123">
        <v>0</v>
      </c>
      <c r="P207" s="5123">
        <v>0</v>
      </c>
      <c r="Q207" s="5123">
        <v>0</v>
      </c>
      <c r="R207" s="5123">
        <v>0</v>
      </c>
      <c r="S207" s="5123">
        <v>0</v>
      </c>
      <c r="T207" s="5123">
        <v>0</v>
      </c>
      <c r="U207" s="5122">
        <v>20</v>
      </c>
      <c r="V207" s="5123">
        <v>20.074000000000002</v>
      </c>
      <c r="W207" s="5123">
        <v>0</v>
      </c>
      <c r="X207" s="5123">
        <v>5.9790000000000001</v>
      </c>
      <c r="Y207" s="5123">
        <v>0</v>
      </c>
      <c r="Z207" s="5123">
        <v>0</v>
      </c>
      <c r="AA207" s="5123">
        <v>9.3409999999999993</v>
      </c>
      <c r="AB207" s="5123">
        <v>0</v>
      </c>
      <c r="AC207" s="5123">
        <v>0</v>
      </c>
      <c r="AD207" s="5123">
        <v>0</v>
      </c>
      <c r="AE207" s="5123">
        <v>0</v>
      </c>
      <c r="AF207" s="5123">
        <v>0</v>
      </c>
      <c r="AG207" s="5123">
        <v>0</v>
      </c>
      <c r="AH207" s="5123">
        <v>0</v>
      </c>
      <c r="AI207" s="5123">
        <v>0</v>
      </c>
      <c r="AJ207" s="5123">
        <v>0</v>
      </c>
      <c r="AK207" s="5123">
        <v>0</v>
      </c>
      <c r="AL207" s="5123">
        <v>0</v>
      </c>
      <c r="AM207" s="5123">
        <v>0</v>
      </c>
      <c r="AN207" s="5124">
        <f t="shared" si="6"/>
        <v>55.393999999999998</v>
      </c>
      <c r="AO207" s="5125">
        <v>55.393999999999998</v>
      </c>
      <c r="AP207" s="5126">
        <f t="shared" si="7"/>
        <v>0</v>
      </c>
    </row>
    <row r="208" spans="1:42">
      <c r="A208" s="5121">
        <v>418</v>
      </c>
      <c r="B208" s="5122">
        <v>20</v>
      </c>
      <c r="C208" s="5123">
        <v>14.445</v>
      </c>
      <c r="D208" s="5123">
        <v>0</v>
      </c>
      <c r="E208" s="5123">
        <v>8</v>
      </c>
      <c r="F208" s="5123">
        <v>0</v>
      </c>
      <c r="G208" s="5123">
        <v>0</v>
      </c>
      <c r="H208" s="5123">
        <v>8.4619999999999997</v>
      </c>
      <c r="I208" s="5123">
        <v>0</v>
      </c>
      <c r="J208" s="5123">
        <v>0</v>
      </c>
      <c r="K208" s="5123">
        <v>9.2999999999999999E-2</v>
      </c>
      <c r="L208" s="5123">
        <v>0</v>
      </c>
      <c r="M208" s="5123">
        <v>0</v>
      </c>
      <c r="N208" s="5123">
        <v>0</v>
      </c>
      <c r="O208" s="5123">
        <v>0</v>
      </c>
      <c r="P208" s="5123">
        <v>6</v>
      </c>
      <c r="Q208" s="5123">
        <v>0</v>
      </c>
      <c r="R208" s="5123">
        <v>0</v>
      </c>
      <c r="S208" s="5123">
        <v>0</v>
      </c>
      <c r="T208" s="5123">
        <v>0</v>
      </c>
      <c r="U208" s="5122">
        <v>20</v>
      </c>
      <c r="V208" s="5123">
        <v>16.733000000000001</v>
      </c>
      <c r="W208" s="5123">
        <v>0</v>
      </c>
      <c r="X208" s="5123">
        <v>8</v>
      </c>
      <c r="Y208" s="5123">
        <v>0</v>
      </c>
      <c r="Z208" s="5123">
        <v>0</v>
      </c>
      <c r="AA208" s="5123">
        <v>6.0540000000000003</v>
      </c>
      <c r="AB208" s="5123">
        <v>0</v>
      </c>
      <c r="AC208" s="5123">
        <v>0</v>
      </c>
      <c r="AD208" s="5123">
        <v>0</v>
      </c>
      <c r="AE208" s="5123">
        <v>0</v>
      </c>
      <c r="AF208" s="5123">
        <v>0</v>
      </c>
      <c r="AG208" s="5123">
        <v>0</v>
      </c>
      <c r="AH208" s="5123">
        <v>0</v>
      </c>
      <c r="AI208" s="5123">
        <v>6</v>
      </c>
      <c r="AJ208" s="5123">
        <v>0</v>
      </c>
      <c r="AK208" s="5123">
        <v>0</v>
      </c>
      <c r="AL208" s="5123">
        <v>0</v>
      </c>
      <c r="AM208" s="5123">
        <v>0</v>
      </c>
      <c r="AN208" s="5124">
        <f t="shared" si="6"/>
        <v>56.786999999999999</v>
      </c>
      <c r="AO208" s="5125">
        <v>56.786999999999999</v>
      </c>
      <c r="AP208" s="5126">
        <f t="shared" si="7"/>
        <v>0</v>
      </c>
    </row>
    <row r="209" spans="1:42">
      <c r="A209" s="5121">
        <v>419</v>
      </c>
      <c r="B209" s="5122">
        <v>20</v>
      </c>
      <c r="C209" s="5123">
        <v>22.62</v>
      </c>
      <c r="D209" s="5123">
        <v>0</v>
      </c>
      <c r="E209" s="5123">
        <v>5</v>
      </c>
      <c r="F209" s="5123">
        <v>0</v>
      </c>
      <c r="G209" s="5123">
        <v>0</v>
      </c>
      <c r="H209" s="5123">
        <v>14.741</v>
      </c>
      <c r="I209" s="5123">
        <v>0</v>
      </c>
      <c r="J209" s="5123">
        <v>0</v>
      </c>
      <c r="K209" s="5123">
        <v>0</v>
      </c>
      <c r="L209" s="5123">
        <v>0</v>
      </c>
      <c r="M209" s="5123">
        <v>0</v>
      </c>
      <c r="N209" s="5123">
        <v>0</v>
      </c>
      <c r="O209" s="5123">
        <v>0</v>
      </c>
      <c r="P209" s="5123">
        <v>0</v>
      </c>
      <c r="Q209" s="5123">
        <v>0</v>
      </c>
      <c r="R209" s="5123">
        <v>0</v>
      </c>
      <c r="S209" s="5123">
        <v>0</v>
      </c>
      <c r="T209" s="5123">
        <v>0</v>
      </c>
      <c r="U209" s="5122">
        <v>20</v>
      </c>
      <c r="V209" s="5123">
        <v>25.347000000000001</v>
      </c>
      <c r="W209" s="5123">
        <v>0</v>
      </c>
      <c r="X209" s="5123">
        <v>6.0039999999999996</v>
      </c>
      <c r="Y209" s="5123">
        <v>0</v>
      </c>
      <c r="Z209" s="5123">
        <v>0</v>
      </c>
      <c r="AA209" s="5123">
        <v>12.032999999999999</v>
      </c>
      <c r="AB209" s="5123">
        <v>0</v>
      </c>
      <c r="AC209" s="5123">
        <v>0</v>
      </c>
      <c r="AD209" s="5123">
        <v>0</v>
      </c>
      <c r="AE209" s="5123">
        <v>0</v>
      </c>
      <c r="AF209" s="5123">
        <v>0</v>
      </c>
      <c r="AG209" s="5123">
        <v>0</v>
      </c>
      <c r="AH209" s="5123">
        <v>0</v>
      </c>
      <c r="AI209" s="5123">
        <v>0</v>
      </c>
      <c r="AJ209" s="5123">
        <v>0</v>
      </c>
      <c r="AK209" s="5123">
        <v>0</v>
      </c>
      <c r="AL209" s="5123">
        <v>0</v>
      </c>
      <c r="AM209" s="5123">
        <v>0</v>
      </c>
      <c r="AN209" s="5124">
        <f t="shared" si="6"/>
        <v>63.384</v>
      </c>
      <c r="AO209" s="5125">
        <v>63.384</v>
      </c>
      <c r="AP209" s="5126">
        <f t="shared" si="7"/>
        <v>0</v>
      </c>
    </row>
    <row r="210" spans="1:42">
      <c r="A210" s="5121">
        <v>420</v>
      </c>
      <c r="B210" s="5122">
        <v>20</v>
      </c>
      <c r="C210" s="5123">
        <v>18.215</v>
      </c>
      <c r="D210" s="5123">
        <v>0</v>
      </c>
      <c r="E210" s="5123">
        <v>3.9990000000000001</v>
      </c>
      <c r="F210" s="5123">
        <v>0</v>
      </c>
      <c r="G210" s="5123">
        <v>0</v>
      </c>
      <c r="H210" s="5123">
        <v>6.8639999999999999</v>
      </c>
      <c r="I210" s="5123">
        <v>0</v>
      </c>
      <c r="J210" s="5123">
        <v>0</v>
      </c>
      <c r="K210" s="5123">
        <v>0</v>
      </c>
      <c r="L210" s="5123">
        <v>0</v>
      </c>
      <c r="M210" s="5123">
        <v>0</v>
      </c>
      <c r="N210" s="5123">
        <v>0</v>
      </c>
      <c r="O210" s="5123">
        <v>0</v>
      </c>
      <c r="P210" s="5123">
        <v>0</v>
      </c>
      <c r="Q210" s="5123">
        <v>0</v>
      </c>
      <c r="R210" s="5123">
        <v>0</v>
      </c>
      <c r="S210" s="5123">
        <v>0</v>
      </c>
      <c r="T210" s="5123">
        <v>0</v>
      </c>
      <c r="U210" s="5122">
        <v>20</v>
      </c>
      <c r="V210" s="5123">
        <v>21.521999999999998</v>
      </c>
      <c r="W210" s="5123">
        <v>0</v>
      </c>
      <c r="X210" s="5123">
        <v>3.9969999999999999</v>
      </c>
      <c r="Y210" s="5123">
        <v>0</v>
      </c>
      <c r="Z210" s="5123">
        <v>0</v>
      </c>
      <c r="AA210" s="5123">
        <v>4.8970000000000002</v>
      </c>
      <c r="AB210" s="5123">
        <v>0</v>
      </c>
      <c r="AC210" s="5123">
        <v>0</v>
      </c>
      <c r="AD210" s="5123">
        <v>0</v>
      </c>
      <c r="AE210" s="5123">
        <v>0</v>
      </c>
      <c r="AF210" s="5123">
        <v>0</v>
      </c>
      <c r="AG210" s="5123">
        <v>0</v>
      </c>
      <c r="AH210" s="5123">
        <v>0</v>
      </c>
      <c r="AI210" s="5123">
        <v>0</v>
      </c>
      <c r="AJ210" s="5123">
        <v>0</v>
      </c>
      <c r="AK210" s="5123">
        <v>0</v>
      </c>
      <c r="AL210" s="5123">
        <v>0</v>
      </c>
      <c r="AM210" s="5123">
        <v>0</v>
      </c>
      <c r="AN210" s="5124">
        <f t="shared" si="6"/>
        <v>50.415999999999997</v>
      </c>
      <c r="AO210" s="5125">
        <v>50.415999999999997</v>
      </c>
      <c r="AP210" s="5126">
        <f t="shared" si="7"/>
        <v>0</v>
      </c>
    </row>
    <row r="211" spans="1:42">
      <c r="A211" s="5121">
        <v>421</v>
      </c>
      <c r="B211" s="5122">
        <v>20</v>
      </c>
      <c r="C211" s="5123">
        <v>16.373000000000001</v>
      </c>
      <c r="D211" s="5123">
        <v>0</v>
      </c>
      <c r="E211" s="5123">
        <v>3.0030000000000001</v>
      </c>
      <c r="F211" s="5123">
        <v>0</v>
      </c>
      <c r="G211" s="5123">
        <v>0</v>
      </c>
      <c r="H211" s="5123">
        <v>0</v>
      </c>
      <c r="I211" s="5123">
        <v>0</v>
      </c>
      <c r="J211" s="5123">
        <v>0</v>
      </c>
      <c r="K211" s="5123">
        <v>0</v>
      </c>
      <c r="L211" s="5123">
        <v>0</v>
      </c>
      <c r="M211" s="5123">
        <v>0</v>
      </c>
      <c r="N211" s="5123">
        <v>0</v>
      </c>
      <c r="O211" s="5123">
        <v>0</v>
      </c>
      <c r="P211" s="5123">
        <v>2</v>
      </c>
      <c r="Q211" s="5123">
        <v>0</v>
      </c>
      <c r="R211" s="5123">
        <v>0</v>
      </c>
      <c r="S211" s="5123">
        <v>0</v>
      </c>
      <c r="T211" s="5123">
        <v>0</v>
      </c>
      <c r="U211" s="5122">
        <v>20</v>
      </c>
      <c r="V211" s="5123">
        <v>20.422000000000001</v>
      </c>
      <c r="W211" s="5123">
        <v>0</v>
      </c>
      <c r="X211" s="5123">
        <v>4.9989999999999997</v>
      </c>
      <c r="Y211" s="5123">
        <v>0</v>
      </c>
      <c r="Z211" s="5123">
        <v>0</v>
      </c>
      <c r="AA211" s="5123">
        <v>0</v>
      </c>
      <c r="AB211" s="5123">
        <v>0</v>
      </c>
      <c r="AC211" s="5123">
        <v>0</v>
      </c>
      <c r="AD211" s="5123">
        <v>0</v>
      </c>
      <c r="AE211" s="5123">
        <v>0</v>
      </c>
      <c r="AF211" s="5123">
        <v>0</v>
      </c>
      <c r="AG211" s="5123">
        <v>0</v>
      </c>
      <c r="AH211" s="5123">
        <v>0</v>
      </c>
      <c r="AI211" s="5123">
        <v>1.9990000000000001</v>
      </c>
      <c r="AJ211" s="5123">
        <v>0</v>
      </c>
      <c r="AK211" s="5123">
        <v>0</v>
      </c>
      <c r="AL211" s="5123">
        <v>0</v>
      </c>
      <c r="AM211" s="5123">
        <v>0</v>
      </c>
      <c r="AN211" s="5124">
        <f t="shared" si="6"/>
        <v>47.42</v>
      </c>
      <c r="AO211" s="5125">
        <v>47.42</v>
      </c>
      <c r="AP211" s="5126">
        <f t="shared" si="7"/>
        <v>0</v>
      </c>
    </row>
    <row r="212" spans="1:42">
      <c r="A212" s="5121">
        <v>422</v>
      </c>
      <c r="B212" s="5122">
        <v>20</v>
      </c>
      <c r="C212" s="5123">
        <v>7.3869999999999996</v>
      </c>
      <c r="D212" s="5123">
        <v>0</v>
      </c>
      <c r="E212" s="5123">
        <v>8</v>
      </c>
      <c r="F212" s="5123">
        <v>0</v>
      </c>
      <c r="G212" s="5123">
        <v>0</v>
      </c>
      <c r="H212" s="5123">
        <v>0</v>
      </c>
      <c r="I212" s="5123">
        <v>0</v>
      </c>
      <c r="J212" s="5123">
        <v>0</v>
      </c>
      <c r="K212" s="5123">
        <v>0</v>
      </c>
      <c r="L212" s="5123">
        <v>0</v>
      </c>
      <c r="M212" s="5123">
        <v>0</v>
      </c>
      <c r="N212" s="5123">
        <v>0</v>
      </c>
      <c r="O212" s="5123">
        <v>0</v>
      </c>
      <c r="P212" s="5127">
        <v>2</v>
      </c>
      <c r="Q212" s="5127">
        <v>2</v>
      </c>
      <c r="R212" s="5123">
        <v>0</v>
      </c>
      <c r="S212" s="5123">
        <v>0</v>
      </c>
      <c r="T212" s="5123">
        <v>0</v>
      </c>
      <c r="U212" s="5122">
        <v>20</v>
      </c>
      <c r="V212" s="5123">
        <v>10.196</v>
      </c>
      <c r="W212" s="5123">
        <v>0</v>
      </c>
      <c r="X212" s="5123">
        <v>8</v>
      </c>
      <c r="Y212" s="5123">
        <v>0</v>
      </c>
      <c r="Z212" s="5123">
        <v>0</v>
      </c>
      <c r="AA212" s="5123">
        <v>0</v>
      </c>
      <c r="AB212" s="5123">
        <v>0</v>
      </c>
      <c r="AC212" s="5123">
        <v>0</v>
      </c>
      <c r="AD212" s="5123">
        <v>0</v>
      </c>
      <c r="AE212" s="5123">
        <v>0</v>
      </c>
      <c r="AF212" s="5123">
        <v>0</v>
      </c>
      <c r="AG212" s="5123">
        <v>0</v>
      </c>
      <c r="AH212" s="5123">
        <v>0</v>
      </c>
      <c r="AI212" s="5127">
        <v>2</v>
      </c>
      <c r="AJ212" s="5127">
        <v>2</v>
      </c>
      <c r="AK212" s="5123">
        <v>0</v>
      </c>
      <c r="AL212" s="5123">
        <v>0</v>
      </c>
      <c r="AM212" s="5123">
        <v>0</v>
      </c>
      <c r="AN212" s="5124">
        <f t="shared" si="6"/>
        <v>42.195999999999998</v>
      </c>
      <c r="AO212" s="5125">
        <v>42.195999999999998</v>
      </c>
      <c r="AP212" s="5126">
        <f t="shared" si="7"/>
        <v>0</v>
      </c>
    </row>
    <row r="213" spans="1:42">
      <c r="A213" s="5121">
        <v>423</v>
      </c>
      <c r="B213" s="5122">
        <v>20</v>
      </c>
      <c r="C213" s="5123">
        <v>20.940999999999999</v>
      </c>
      <c r="D213" s="5123">
        <v>0</v>
      </c>
      <c r="E213" s="5123">
        <v>6.7850000000000001</v>
      </c>
      <c r="F213" s="5123">
        <v>0</v>
      </c>
      <c r="G213" s="5123">
        <v>0</v>
      </c>
      <c r="H213" s="5123">
        <v>10.632999999999999</v>
      </c>
      <c r="I213" s="5123">
        <v>0</v>
      </c>
      <c r="J213" s="5123">
        <v>0</v>
      </c>
      <c r="K213" s="5123">
        <v>0</v>
      </c>
      <c r="L213" s="5123">
        <v>0</v>
      </c>
      <c r="M213" s="5123">
        <v>0</v>
      </c>
      <c r="N213" s="5123">
        <v>0</v>
      </c>
      <c r="O213" s="5123">
        <v>0</v>
      </c>
      <c r="P213" s="5123">
        <v>1.9950000000000001</v>
      </c>
      <c r="Q213" s="5123">
        <v>0</v>
      </c>
      <c r="R213" s="5123">
        <v>0</v>
      </c>
      <c r="S213" s="5123">
        <v>0</v>
      </c>
      <c r="T213" s="5123">
        <v>0</v>
      </c>
      <c r="U213" s="5122">
        <v>20</v>
      </c>
      <c r="V213" s="5123">
        <v>20.335000000000001</v>
      </c>
      <c r="W213" s="5123">
        <v>0</v>
      </c>
      <c r="X213" s="5123">
        <v>8</v>
      </c>
      <c r="Y213" s="5123">
        <v>0</v>
      </c>
      <c r="Z213" s="5123">
        <v>0</v>
      </c>
      <c r="AA213" s="5123">
        <v>9.3610000000000007</v>
      </c>
      <c r="AB213" s="5123">
        <v>0</v>
      </c>
      <c r="AC213" s="5123">
        <v>0</v>
      </c>
      <c r="AD213" s="5123">
        <v>0</v>
      </c>
      <c r="AE213" s="5123">
        <v>0</v>
      </c>
      <c r="AF213" s="5123">
        <v>0</v>
      </c>
      <c r="AG213" s="5123">
        <v>0</v>
      </c>
      <c r="AH213" s="5123">
        <v>0</v>
      </c>
      <c r="AI213" s="5123">
        <v>2.0019999999999998</v>
      </c>
      <c r="AJ213" s="5123">
        <v>0</v>
      </c>
      <c r="AK213" s="5123">
        <v>0</v>
      </c>
      <c r="AL213" s="5123">
        <v>0</v>
      </c>
      <c r="AM213" s="5123">
        <v>0</v>
      </c>
      <c r="AN213" s="5124">
        <f t="shared" si="6"/>
        <v>59.698</v>
      </c>
      <c r="AO213" s="5125">
        <v>59.698</v>
      </c>
      <c r="AP213" s="5126">
        <f t="shared" si="7"/>
        <v>0</v>
      </c>
    </row>
    <row r="214" spans="1:42">
      <c r="A214" s="5121">
        <v>426</v>
      </c>
      <c r="B214" s="5122">
        <v>20</v>
      </c>
      <c r="C214" s="5123">
        <v>22.015999999999998</v>
      </c>
      <c r="D214" s="5123">
        <v>0</v>
      </c>
      <c r="E214" s="5123">
        <v>5.9939999999999998</v>
      </c>
      <c r="F214" s="5123">
        <v>0</v>
      </c>
      <c r="G214" s="5123">
        <v>0</v>
      </c>
      <c r="H214" s="5123">
        <v>0</v>
      </c>
      <c r="I214" s="5123">
        <v>0</v>
      </c>
      <c r="J214" s="5123">
        <v>0</v>
      </c>
      <c r="K214" s="5123">
        <v>0</v>
      </c>
      <c r="L214" s="5123">
        <v>0</v>
      </c>
      <c r="M214" s="5123">
        <v>0</v>
      </c>
      <c r="N214" s="5123">
        <v>0</v>
      </c>
      <c r="O214" s="5123">
        <v>0</v>
      </c>
      <c r="P214" s="5123">
        <v>0</v>
      </c>
      <c r="Q214" s="5123">
        <v>0</v>
      </c>
      <c r="R214" s="5123">
        <v>0</v>
      </c>
      <c r="S214" s="5123">
        <v>0</v>
      </c>
      <c r="T214" s="5123">
        <v>0</v>
      </c>
      <c r="U214" s="5122">
        <v>20</v>
      </c>
      <c r="V214" s="5123">
        <v>25.295999999999999</v>
      </c>
      <c r="W214" s="5123">
        <v>0</v>
      </c>
      <c r="X214" s="5123">
        <v>7</v>
      </c>
      <c r="Y214" s="5123">
        <v>0</v>
      </c>
      <c r="Z214" s="5123">
        <v>0</v>
      </c>
      <c r="AA214" s="5123">
        <v>0</v>
      </c>
      <c r="AB214" s="5123">
        <v>0</v>
      </c>
      <c r="AC214" s="5123">
        <v>0</v>
      </c>
      <c r="AD214" s="5123">
        <v>0</v>
      </c>
      <c r="AE214" s="5123">
        <v>0</v>
      </c>
      <c r="AF214" s="5123">
        <v>0</v>
      </c>
      <c r="AG214" s="5123">
        <v>0</v>
      </c>
      <c r="AH214" s="5123">
        <v>0</v>
      </c>
      <c r="AI214" s="5123">
        <v>0</v>
      </c>
      <c r="AJ214" s="5123">
        <v>0</v>
      </c>
      <c r="AK214" s="5123">
        <v>0</v>
      </c>
      <c r="AL214" s="5123">
        <v>0</v>
      </c>
      <c r="AM214" s="5123">
        <v>0</v>
      </c>
      <c r="AN214" s="5124">
        <f t="shared" si="6"/>
        <v>52.295999999999999</v>
      </c>
      <c r="AO214" s="5125">
        <v>52.295999999999999</v>
      </c>
      <c r="AP214" s="5126">
        <f t="shared" si="7"/>
        <v>0</v>
      </c>
    </row>
    <row r="215" spans="1:42">
      <c r="A215" s="5121">
        <v>428</v>
      </c>
      <c r="B215" s="5122">
        <v>20</v>
      </c>
      <c r="C215" s="5123">
        <v>15.731</v>
      </c>
      <c r="D215" s="5123">
        <v>0</v>
      </c>
      <c r="E215" s="5123">
        <v>4</v>
      </c>
      <c r="F215" s="5123">
        <v>0</v>
      </c>
      <c r="G215" s="5123">
        <v>0</v>
      </c>
      <c r="H215" s="5123">
        <v>5.5490000000000004</v>
      </c>
      <c r="I215" s="5123">
        <v>0</v>
      </c>
      <c r="J215" s="5123">
        <v>0</v>
      </c>
      <c r="K215" s="5123">
        <v>0</v>
      </c>
      <c r="L215" s="5123">
        <v>0</v>
      </c>
      <c r="M215" s="5123">
        <v>0</v>
      </c>
      <c r="N215" s="5123">
        <v>0</v>
      </c>
      <c r="O215" s="5123">
        <v>0</v>
      </c>
      <c r="P215" s="5123">
        <v>7</v>
      </c>
      <c r="Q215" s="5123">
        <v>1</v>
      </c>
      <c r="R215" s="5123">
        <v>0</v>
      </c>
      <c r="S215" s="5123">
        <v>0</v>
      </c>
      <c r="T215" s="5123">
        <v>0</v>
      </c>
      <c r="U215" s="5122">
        <v>20</v>
      </c>
      <c r="V215" s="5123">
        <v>16.971</v>
      </c>
      <c r="W215" s="5123">
        <v>0</v>
      </c>
      <c r="X215" s="5123">
        <v>3.9990000000000001</v>
      </c>
      <c r="Y215" s="5123">
        <v>0</v>
      </c>
      <c r="Z215" s="5123">
        <v>0</v>
      </c>
      <c r="AA215" s="5123">
        <v>4.8959999999999999</v>
      </c>
      <c r="AB215" s="5123">
        <v>0</v>
      </c>
      <c r="AC215" s="5123">
        <v>0</v>
      </c>
      <c r="AD215" s="5123">
        <v>0</v>
      </c>
      <c r="AE215" s="5123">
        <v>0</v>
      </c>
      <c r="AF215" s="5123">
        <v>0</v>
      </c>
      <c r="AG215" s="5123">
        <v>0</v>
      </c>
      <c r="AH215" s="5123">
        <v>0</v>
      </c>
      <c r="AI215" s="5123">
        <v>6.9980000000000002</v>
      </c>
      <c r="AJ215" s="5123">
        <v>1</v>
      </c>
      <c r="AK215" s="5123">
        <v>0</v>
      </c>
      <c r="AL215" s="5123">
        <v>0</v>
      </c>
      <c r="AM215" s="5123">
        <v>0</v>
      </c>
      <c r="AN215" s="5124">
        <f t="shared" si="6"/>
        <v>53.863999999999997</v>
      </c>
      <c r="AO215" s="5125">
        <v>53.863999999999997</v>
      </c>
      <c r="AP215" s="5126">
        <f t="shared" si="7"/>
        <v>0</v>
      </c>
    </row>
    <row r="216" spans="1:42">
      <c r="A216" s="5121">
        <v>429</v>
      </c>
      <c r="B216" s="5122">
        <v>20</v>
      </c>
      <c r="C216" s="5123">
        <v>17.975000000000001</v>
      </c>
      <c r="D216" s="5123">
        <v>0</v>
      </c>
      <c r="E216" s="5123">
        <v>2.4020000000000001</v>
      </c>
      <c r="F216" s="5123">
        <v>0</v>
      </c>
      <c r="G216" s="5123">
        <v>0</v>
      </c>
      <c r="H216" s="5123">
        <v>0</v>
      </c>
      <c r="I216" s="5123">
        <v>0</v>
      </c>
      <c r="J216" s="5123">
        <v>0</v>
      </c>
      <c r="K216" s="5123">
        <v>0</v>
      </c>
      <c r="L216" s="5123">
        <v>0</v>
      </c>
      <c r="M216" s="5123">
        <v>0</v>
      </c>
      <c r="N216" s="5123">
        <v>0</v>
      </c>
      <c r="O216" s="5123">
        <v>0</v>
      </c>
      <c r="P216" s="5123">
        <v>1.921</v>
      </c>
      <c r="Q216" s="5123">
        <v>0</v>
      </c>
      <c r="R216" s="5123">
        <v>0</v>
      </c>
      <c r="S216" s="5123">
        <v>0</v>
      </c>
      <c r="T216" s="5123">
        <v>0</v>
      </c>
      <c r="U216" s="5122">
        <v>20</v>
      </c>
      <c r="V216" s="5123">
        <v>17.577000000000002</v>
      </c>
      <c r="W216" s="5123">
        <v>0</v>
      </c>
      <c r="X216" s="5123">
        <v>3.3559999999999999</v>
      </c>
      <c r="Y216" s="5123">
        <v>0</v>
      </c>
      <c r="Z216" s="5123">
        <v>0</v>
      </c>
      <c r="AA216" s="5123">
        <v>0</v>
      </c>
      <c r="AB216" s="5123">
        <v>0</v>
      </c>
      <c r="AC216" s="5123">
        <v>0</v>
      </c>
      <c r="AD216" s="5123">
        <v>0</v>
      </c>
      <c r="AE216" s="5123">
        <v>0</v>
      </c>
      <c r="AF216" s="5123">
        <v>0</v>
      </c>
      <c r="AG216" s="5123">
        <v>0</v>
      </c>
      <c r="AH216" s="5123">
        <v>0</v>
      </c>
      <c r="AI216" s="5123">
        <v>1.9179999999999999</v>
      </c>
      <c r="AJ216" s="5123">
        <v>0</v>
      </c>
      <c r="AK216" s="5123">
        <v>0</v>
      </c>
      <c r="AL216" s="5123">
        <v>0</v>
      </c>
      <c r="AM216" s="5123">
        <v>0</v>
      </c>
      <c r="AN216" s="5124">
        <f t="shared" si="6"/>
        <v>42.850999999999999</v>
      </c>
      <c r="AO216" s="5125">
        <v>42.850999999999999</v>
      </c>
      <c r="AP216" s="5126">
        <f t="shared" si="7"/>
        <v>0</v>
      </c>
    </row>
    <row r="217" spans="1:42">
      <c r="A217" s="5121">
        <v>430</v>
      </c>
      <c r="B217" s="5122">
        <v>20</v>
      </c>
      <c r="C217" s="5123">
        <v>22.145</v>
      </c>
      <c r="D217" s="5123">
        <v>0</v>
      </c>
      <c r="E217" s="5123">
        <v>0</v>
      </c>
      <c r="F217" s="5123">
        <v>0</v>
      </c>
      <c r="G217" s="5123">
        <v>0</v>
      </c>
      <c r="H217" s="5123">
        <v>11.541</v>
      </c>
      <c r="I217" s="5123">
        <v>0</v>
      </c>
      <c r="J217" s="5123">
        <v>0</v>
      </c>
      <c r="K217" s="5123">
        <v>0</v>
      </c>
      <c r="L217" s="5123">
        <v>0</v>
      </c>
      <c r="M217" s="5123">
        <v>0</v>
      </c>
      <c r="N217" s="5123">
        <v>0</v>
      </c>
      <c r="O217" s="5123">
        <v>0</v>
      </c>
      <c r="P217" s="5123">
        <v>0</v>
      </c>
      <c r="Q217" s="5123">
        <v>0</v>
      </c>
      <c r="R217" s="5123">
        <v>0</v>
      </c>
      <c r="S217" s="5123">
        <v>0</v>
      </c>
      <c r="T217" s="5123">
        <v>0</v>
      </c>
      <c r="U217" s="5122">
        <v>20</v>
      </c>
      <c r="V217" s="5123">
        <v>21.643000000000001</v>
      </c>
      <c r="W217" s="5123">
        <v>0</v>
      </c>
      <c r="X217" s="5123">
        <v>3</v>
      </c>
      <c r="Y217" s="5123">
        <v>0</v>
      </c>
      <c r="Z217" s="5123">
        <v>0</v>
      </c>
      <c r="AA217" s="5123">
        <v>7.51</v>
      </c>
      <c r="AB217" s="5123">
        <v>0</v>
      </c>
      <c r="AC217" s="5123">
        <v>0</v>
      </c>
      <c r="AD217" s="5123">
        <v>0</v>
      </c>
      <c r="AE217" s="5123">
        <v>0</v>
      </c>
      <c r="AF217" s="5123">
        <v>0</v>
      </c>
      <c r="AG217" s="5123">
        <v>0</v>
      </c>
      <c r="AH217" s="5123">
        <v>0</v>
      </c>
      <c r="AI217" s="5123">
        <v>0</v>
      </c>
      <c r="AJ217" s="5123">
        <v>0</v>
      </c>
      <c r="AK217" s="5123">
        <v>0</v>
      </c>
      <c r="AL217" s="5123">
        <v>0</v>
      </c>
      <c r="AM217" s="5123">
        <v>0</v>
      </c>
      <c r="AN217" s="5124">
        <f t="shared" si="6"/>
        <v>52.152999999999999</v>
      </c>
      <c r="AO217" s="5125">
        <v>52.152999999999999</v>
      </c>
      <c r="AP217" s="5126">
        <f t="shared" si="7"/>
        <v>0</v>
      </c>
    </row>
    <row r="218" spans="1:42">
      <c r="A218" s="5121">
        <v>431</v>
      </c>
      <c r="B218" s="5122">
        <v>20</v>
      </c>
      <c r="C218" s="5123">
        <v>19.140999999999998</v>
      </c>
      <c r="D218" s="5123">
        <v>0</v>
      </c>
      <c r="E218" s="5123">
        <v>4.093</v>
      </c>
      <c r="F218" s="5123">
        <v>0</v>
      </c>
      <c r="G218" s="5123">
        <v>0</v>
      </c>
      <c r="H218" s="5123">
        <v>12.513</v>
      </c>
      <c r="I218" s="5123">
        <v>0</v>
      </c>
      <c r="J218" s="5123">
        <v>0</v>
      </c>
      <c r="K218" s="5123">
        <v>0</v>
      </c>
      <c r="L218" s="5123">
        <v>0</v>
      </c>
      <c r="M218" s="5123">
        <v>0</v>
      </c>
      <c r="N218" s="5123">
        <v>0</v>
      </c>
      <c r="O218" s="5123">
        <v>0</v>
      </c>
      <c r="P218" s="5123">
        <v>4</v>
      </c>
      <c r="Q218" s="5123">
        <v>0.5</v>
      </c>
      <c r="R218" s="5123">
        <v>0</v>
      </c>
      <c r="S218" s="5123">
        <v>0</v>
      </c>
      <c r="T218" s="5123">
        <v>0</v>
      </c>
      <c r="U218" s="5122">
        <v>20</v>
      </c>
      <c r="V218" s="5123">
        <v>19.257999999999999</v>
      </c>
      <c r="W218" s="5123">
        <v>0</v>
      </c>
      <c r="X218" s="5123">
        <v>4.0220000000000002</v>
      </c>
      <c r="Y218" s="5123">
        <v>0</v>
      </c>
      <c r="Z218" s="5123">
        <v>0</v>
      </c>
      <c r="AA218" s="5123">
        <v>15.884</v>
      </c>
      <c r="AB218" s="5123">
        <v>0</v>
      </c>
      <c r="AC218" s="5123">
        <v>0</v>
      </c>
      <c r="AD218" s="5123">
        <v>0</v>
      </c>
      <c r="AE218" s="5123">
        <v>0</v>
      </c>
      <c r="AF218" s="5123">
        <v>0</v>
      </c>
      <c r="AG218" s="5123">
        <v>0</v>
      </c>
      <c r="AH218" s="5123">
        <v>0</v>
      </c>
      <c r="AI218" s="5123">
        <v>4</v>
      </c>
      <c r="AJ218" s="5123">
        <v>0.5</v>
      </c>
      <c r="AK218" s="5123">
        <v>0</v>
      </c>
      <c r="AL218" s="5123">
        <v>0</v>
      </c>
      <c r="AM218" s="5123">
        <v>0</v>
      </c>
      <c r="AN218" s="5124">
        <f t="shared" si="6"/>
        <v>63.664000000000001</v>
      </c>
      <c r="AO218" s="5125">
        <v>63.664000000000001</v>
      </c>
      <c r="AP218" s="5126">
        <f t="shared" si="7"/>
        <v>0</v>
      </c>
    </row>
    <row r="219" spans="1:42">
      <c r="A219" s="5121">
        <v>432</v>
      </c>
      <c r="B219" s="5122">
        <v>20</v>
      </c>
      <c r="C219" s="5123">
        <v>20.995999999999999</v>
      </c>
      <c r="D219" s="5123">
        <v>0</v>
      </c>
      <c r="E219" s="5123">
        <v>8</v>
      </c>
      <c r="F219" s="5123">
        <v>0</v>
      </c>
      <c r="G219" s="5123">
        <v>0</v>
      </c>
      <c r="H219" s="5123">
        <v>10.159000000000001</v>
      </c>
      <c r="I219" s="5123">
        <v>0</v>
      </c>
      <c r="J219" s="5123">
        <v>0</v>
      </c>
      <c r="K219" s="5123">
        <v>0</v>
      </c>
      <c r="L219" s="5123">
        <v>0</v>
      </c>
      <c r="M219" s="5123">
        <v>0</v>
      </c>
      <c r="N219" s="5123">
        <v>0</v>
      </c>
      <c r="O219" s="5123">
        <v>0</v>
      </c>
      <c r="P219" s="5123">
        <v>1</v>
      </c>
      <c r="Q219" s="5123">
        <v>0</v>
      </c>
      <c r="R219" s="5123">
        <v>0</v>
      </c>
      <c r="S219" s="5123">
        <v>0</v>
      </c>
      <c r="T219" s="5123">
        <v>0</v>
      </c>
      <c r="U219" s="5122">
        <v>20</v>
      </c>
      <c r="V219" s="5123">
        <v>21.581</v>
      </c>
      <c r="W219" s="5123">
        <v>0</v>
      </c>
      <c r="X219" s="5123">
        <v>8</v>
      </c>
      <c r="Y219" s="5123">
        <v>0</v>
      </c>
      <c r="Z219" s="5123">
        <v>0</v>
      </c>
      <c r="AA219" s="5123">
        <v>11.923999999999999</v>
      </c>
      <c r="AB219" s="5123">
        <v>0</v>
      </c>
      <c r="AC219" s="5123">
        <v>0</v>
      </c>
      <c r="AD219" s="5123">
        <v>0</v>
      </c>
      <c r="AE219" s="5123">
        <v>0</v>
      </c>
      <c r="AF219" s="5123">
        <v>0</v>
      </c>
      <c r="AG219" s="5123">
        <v>0</v>
      </c>
      <c r="AH219" s="5123">
        <v>0</v>
      </c>
      <c r="AI219" s="5123">
        <v>1</v>
      </c>
      <c r="AJ219" s="5123">
        <v>0</v>
      </c>
      <c r="AK219" s="5123">
        <v>0</v>
      </c>
      <c r="AL219" s="5123">
        <v>0</v>
      </c>
      <c r="AM219" s="5123">
        <v>0</v>
      </c>
      <c r="AN219" s="5124">
        <f t="shared" si="6"/>
        <v>62.505000000000003</v>
      </c>
      <c r="AO219" s="5125">
        <v>62.505000000000003</v>
      </c>
      <c r="AP219" s="5126">
        <f t="shared" si="7"/>
        <v>0</v>
      </c>
    </row>
    <row r="220" spans="1:42">
      <c r="A220" s="5121">
        <v>434</v>
      </c>
      <c r="B220" s="5122">
        <v>20</v>
      </c>
      <c r="C220" s="5123">
        <v>14.923</v>
      </c>
      <c r="D220" s="5123">
        <v>0</v>
      </c>
      <c r="E220" s="5123">
        <v>7.9779999999999998</v>
      </c>
      <c r="F220" s="5123">
        <v>0</v>
      </c>
      <c r="G220" s="5123">
        <v>0</v>
      </c>
      <c r="H220" s="5123">
        <v>3.9889999999999999</v>
      </c>
      <c r="I220" s="5123">
        <v>0</v>
      </c>
      <c r="J220" s="5123">
        <v>0</v>
      </c>
      <c r="K220" s="5123">
        <v>0</v>
      </c>
      <c r="L220" s="5123">
        <v>0</v>
      </c>
      <c r="M220" s="5123">
        <v>0</v>
      </c>
      <c r="N220" s="5123">
        <v>0</v>
      </c>
      <c r="O220" s="5123">
        <v>0</v>
      </c>
      <c r="P220" s="5123">
        <v>0</v>
      </c>
      <c r="Q220" s="5123">
        <v>0</v>
      </c>
      <c r="R220" s="5123">
        <v>0</v>
      </c>
      <c r="S220" s="5123">
        <v>0</v>
      </c>
      <c r="T220" s="5123">
        <v>0</v>
      </c>
      <c r="U220" s="5122">
        <v>20</v>
      </c>
      <c r="V220" s="5123">
        <v>21.035</v>
      </c>
      <c r="W220" s="5123">
        <v>0</v>
      </c>
      <c r="X220" s="5123">
        <v>5.9820000000000002</v>
      </c>
      <c r="Y220" s="5123">
        <v>0</v>
      </c>
      <c r="Z220" s="5123">
        <v>0</v>
      </c>
      <c r="AA220" s="5123">
        <v>2.9910000000000001</v>
      </c>
      <c r="AB220" s="5123">
        <v>0</v>
      </c>
      <c r="AC220" s="5123">
        <v>0</v>
      </c>
      <c r="AD220" s="5123">
        <v>0</v>
      </c>
      <c r="AE220" s="5123">
        <v>0</v>
      </c>
      <c r="AF220" s="5123">
        <v>0</v>
      </c>
      <c r="AG220" s="5123">
        <v>0</v>
      </c>
      <c r="AH220" s="5123">
        <v>0</v>
      </c>
      <c r="AI220" s="5123">
        <v>0</v>
      </c>
      <c r="AJ220" s="5123">
        <v>0</v>
      </c>
      <c r="AK220" s="5123">
        <v>0</v>
      </c>
      <c r="AL220" s="5123">
        <v>0</v>
      </c>
      <c r="AM220" s="5123">
        <v>0</v>
      </c>
      <c r="AN220" s="5124">
        <f t="shared" si="6"/>
        <v>50.008000000000003</v>
      </c>
      <c r="AO220" s="5125">
        <v>50.008000000000003</v>
      </c>
      <c r="AP220" s="5126">
        <f t="shared" si="7"/>
        <v>0</v>
      </c>
    </row>
    <row r="221" spans="1:42">
      <c r="A221" s="5121">
        <v>435</v>
      </c>
      <c r="B221" s="5122">
        <v>20</v>
      </c>
      <c r="C221" s="5123">
        <v>13.327999999999999</v>
      </c>
      <c r="D221" s="5123">
        <v>0</v>
      </c>
      <c r="E221" s="5123">
        <v>6.0069999999999997</v>
      </c>
      <c r="F221" s="5123">
        <v>0</v>
      </c>
      <c r="G221" s="5123">
        <v>0</v>
      </c>
      <c r="H221" s="5123">
        <v>8.8219999999999992</v>
      </c>
      <c r="I221" s="5123">
        <v>0</v>
      </c>
      <c r="J221" s="5123">
        <v>0</v>
      </c>
      <c r="K221" s="5123">
        <v>0</v>
      </c>
      <c r="L221" s="5123">
        <v>0</v>
      </c>
      <c r="M221" s="5123">
        <v>0</v>
      </c>
      <c r="N221" s="5123">
        <v>0</v>
      </c>
      <c r="O221" s="5123">
        <v>0</v>
      </c>
      <c r="P221" s="5123">
        <v>2.5030000000000001</v>
      </c>
      <c r="Q221" s="5123">
        <v>0.41</v>
      </c>
      <c r="R221" s="5123">
        <v>0</v>
      </c>
      <c r="S221" s="5123">
        <v>0</v>
      </c>
      <c r="T221" s="5123">
        <v>0</v>
      </c>
      <c r="U221" s="5122">
        <v>20</v>
      </c>
      <c r="V221" s="5123">
        <v>17.137</v>
      </c>
      <c r="W221" s="5123">
        <v>0</v>
      </c>
      <c r="X221" s="5123">
        <v>7.9939999999999998</v>
      </c>
      <c r="Y221" s="5123">
        <v>0</v>
      </c>
      <c r="Z221" s="5123">
        <v>0</v>
      </c>
      <c r="AA221" s="5123">
        <v>8.6310000000000002</v>
      </c>
      <c r="AB221" s="5123">
        <v>0</v>
      </c>
      <c r="AC221" s="5123">
        <v>0</v>
      </c>
      <c r="AD221" s="5123">
        <v>0</v>
      </c>
      <c r="AE221" s="5123">
        <v>0</v>
      </c>
      <c r="AF221" s="5123">
        <v>0</v>
      </c>
      <c r="AG221" s="5123">
        <v>0</v>
      </c>
      <c r="AH221" s="5123">
        <v>0</v>
      </c>
      <c r="AI221" s="5123">
        <v>2.7480000000000002</v>
      </c>
      <c r="AJ221" s="5123">
        <v>0.41</v>
      </c>
      <c r="AK221" s="5123">
        <v>0</v>
      </c>
      <c r="AL221" s="5123">
        <v>0</v>
      </c>
      <c r="AM221" s="5123">
        <v>0</v>
      </c>
      <c r="AN221" s="5124">
        <f t="shared" si="6"/>
        <v>56.92</v>
      </c>
      <c r="AO221" s="5125">
        <v>56.92</v>
      </c>
      <c r="AP221" s="5126">
        <f t="shared" si="7"/>
        <v>0</v>
      </c>
    </row>
    <row r="222" spans="1:42">
      <c r="A222" s="5121">
        <v>436</v>
      </c>
      <c r="B222" s="5122">
        <v>20</v>
      </c>
      <c r="C222" s="5123">
        <v>9.6539999999999999</v>
      </c>
      <c r="D222" s="5123">
        <v>0</v>
      </c>
      <c r="E222" s="5123">
        <v>7.95</v>
      </c>
      <c r="F222" s="5123">
        <v>0</v>
      </c>
      <c r="G222" s="5123">
        <v>0</v>
      </c>
      <c r="H222" s="5123">
        <v>0</v>
      </c>
      <c r="I222" s="5123">
        <v>0</v>
      </c>
      <c r="J222" s="5123">
        <v>0</v>
      </c>
      <c r="K222" s="5123">
        <v>0</v>
      </c>
      <c r="L222" s="5123">
        <v>0</v>
      </c>
      <c r="M222" s="5123">
        <v>0</v>
      </c>
      <c r="N222" s="5123">
        <v>0</v>
      </c>
      <c r="O222" s="5123">
        <v>0</v>
      </c>
      <c r="P222" s="5123">
        <v>2.9780000000000002</v>
      </c>
      <c r="Q222" s="5123">
        <v>0.121</v>
      </c>
      <c r="R222" s="5123">
        <v>0</v>
      </c>
      <c r="S222" s="5123">
        <v>0</v>
      </c>
      <c r="T222" s="5123">
        <v>0</v>
      </c>
      <c r="U222" s="5122">
        <v>20</v>
      </c>
      <c r="V222" s="5123">
        <v>19.526</v>
      </c>
      <c r="W222" s="5123">
        <v>0</v>
      </c>
      <c r="X222" s="5123">
        <v>7.2320000000000002</v>
      </c>
      <c r="Y222" s="5123">
        <v>0</v>
      </c>
      <c r="Z222" s="5123">
        <v>0</v>
      </c>
      <c r="AA222" s="5123">
        <v>0</v>
      </c>
      <c r="AB222" s="5123">
        <v>0</v>
      </c>
      <c r="AC222" s="5123">
        <v>0</v>
      </c>
      <c r="AD222" s="5123">
        <v>0</v>
      </c>
      <c r="AE222" s="5123">
        <v>0</v>
      </c>
      <c r="AF222" s="5123">
        <v>0</v>
      </c>
      <c r="AG222" s="5123">
        <v>0</v>
      </c>
      <c r="AH222" s="5123">
        <v>0</v>
      </c>
      <c r="AI222" s="5123">
        <v>1.736</v>
      </c>
      <c r="AJ222" s="5123">
        <v>0.11799999999999999</v>
      </c>
      <c r="AK222" s="5123">
        <v>0</v>
      </c>
      <c r="AL222" s="5123">
        <v>0</v>
      </c>
      <c r="AM222" s="5123">
        <v>0</v>
      </c>
      <c r="AN222" s="5124">
        <f t="shared" si="6"/>
        <v>48.612000000000002</v>
      </c>
      <c r="AO222" s="5125">
        <v>48.612000000000002</v>
      </c>
      <c r="AP222" s="5126">
        <f t="shared" si="7"/>
        <v>0</v>
      </c>
    </row>
    <row r="223" spans="1:42">
      <c r="A223" s="5121">
        <v>437</v>
      </c>
      <c r="B223" s="5122">
        <v>20</v>
      </c>
      <c r="C223" s="5123">
        <v>14.852</v>
      </c>
      <c r="D223" s="5123">
        <v>0</v>
      </c>
      <c r="E223" s="5123">
        <v>8</v>
      </c>
      <c r="F223" s="5123">
        <v>0</v>
      </c>
      <c r="G223" s="5123">
        <v>0</v>
      </c>
      <c r="H223" s="5123">
        <v>10.46</v>
      </c>
      <c r="I223" s="5123">
        <v>0</v>
      </c>
      <c r="J223" s="5123">
        <v>0</v>
      </c>
      <c r="K223" s="5123">
        <v>0</v>
      </c>
      <c r="L223" s="5123">
        <v>0</v>
      </c>
      <c r="M223" s="5123">
        <v>0</v>
      </c>
      <c r="N223" s="5123">
        <v>0</v>
      </c>
      <c r="O223" s="5123">
        <v>0</v>
      </c>
      <c r="P223" s="5123">
        <v>0</v>
      </c>
      <c r="Q223" s="5123">
        <v>0</v>
      </c>
      <c r="R223" s="5123">
        <v>0</v>
      </c>
      <c r="S223" s="5123">
        <v>0</v>
      </c>
      <c r="T223" s="5123">
        <v>0</v>
      </c>
      <c r="U223" s="5122">
        <v>20</v>
      </c>
      <c r="V223" s="5123">
        <v>16.721</v>
      </c>
      <c r="W223" s="5123">
        <v>0</v>
      </c>
      <c r="X223" s="5123">
        <v>8</v>
      </c>
      <c r="Y223" s="5123">
        <v>0</v>
      </c>
      <c r="Z223" s="5123">
        <v>0</v>
      </c>
      <c r="AA223" s="5123">
        <v>9.7989999999999995</v>
      </c>
      <c r="AB223" s="5123">
        <v>0</v>
      </c>
      <c r="AC223" s="5123">
        <v>0</v>
      </c>
      <c r="AD223" s="5123">
        <v>0</v>
      </c>
      <c r="AE223" s="5123">
        <v>0</v>
      </c>
      <c r="AF223" s="5123">
        <v>0</v>
      </c>
      <c r="AG223" s="5123">
        <v>0</v>
      </c>
      <c r="AH223" s="5123">
        <v>0</v>
      </c>
      <c r="AI223" s="5123">
        <v>0</v>
      </c>
      <c r="AJ223" s="5123">
        <v>0</v>
      </c>
      <c r="AK223" s="5123">
        <v>0</v>
      </c>
      <c r="AL223" s="5123">
        <v>0</v>
      </c>
      <c r="AM223" s="5123">
        <v>0</v>
      </c>
      <c r="AN223" s="5124">
        <f t="shared" si="6"/>
        <v>54.52</v>
      </c>
      <c r="AO223" s="5125">
        <v>54.52</v>
      </c>
      <c r="AP223" s="5126">
        <f t="shared" si="7"/>
        <v>0</v>
      </c>
    </row>
    <row r="224" spans="1:42">
      <c r="A224" s="5121">
        <v>438</v>
      </c>
      <c r="B224" s="5122">
        <v>20</v>
      </c>
      <c r="C224" s="5123">
        <v>22.061</v>
      </c>
      <c r="D224" s="5123">
        <v>0</v>
      </c>
      <c r="E224" s="5123">
        <v>8</v>
      </c>
      <c r="F224" s="5123">
        <v>0</v>
      </c>
      <c r="G224" s="5123">
        <v>0</v>
      </c>
      <c r="H224" s="5123">
        <v>0</v>
      </c>
      <c r="I224" s="5123">
        <v>0</v>
      </c>
      <c r="J224" s="5123">
        <v>0</v>
      </c>
      <c r="K224" s="5123">
        <v>0</v>
      </c>
      <c r="L224" s="5123">
        <v>0</v>
      </c>
      <c r="M224" s="5123">
        <v>0</v>
      </c>
      <c r="N224" s="5123">
        <v>0</v>
      </c>
      <c r="O224" s="5123">
        <v>0</v>
      </c>
      <c r="P224" s="5123">
        <v>0</v>
      </c>
      <c r="Q224" s="5123">
        <v>0</v>
      </c>
      <c r="R224" s="5123">
        <v>0</v>
      </c>
      <c r="S224" s="5123">
        <v>0</v>
      </c>
      <c r="T224" s="5123">
        <v>0</v>
      </c>
      <c r="U224" s="5122">
        <v>20</v>
      </c>
      <c r="V224" s="5123">
        <v>19.524000000000001</v>
      </c>
      <c r="W224" s="5123">
        <v>0</v>
      </c>
      <c r="X224" s="5123">
        <v>8</v>
      </c>
      <c r="Y224" s="5123">
        <v>0</v>
      </c>
      <c r="Z224" s="5123">
        <v>0</v>
      </c>
      <c r="AA224" s="5123">
        <v>0</v>
      </c>
      <c r="AB224" s="5123">
        <v>0</v>
      </c>
      <c r="AC224" s="5123">
        <v>0</v>
      </c>
      <c r="AD224" s="5123">
        <v>0</v>
      </c>
      <c r="AE224" s="5123">
        <v>0</v>
      </c>
      <c r="AF224" s="5123">
        <v>0</v>
      </c>
      <c r="AG224" s="5123">
        <v>0</v>
      </c>
      <c r="AH224" s="5123">
        <v>0</v>
      </c>
      <c r="AI224" s="5123">
        <v>0</v>
      </c>
      <c r="AJ224" s="5123">
        <v>0</v>
      </c>
      <c r="AK224" s="5123">
        <v>0</v>
      </c>
      <c r="AL224" s="5123">
        <v>0</v>
      </c>
      <c r="AM224" s="5123">
        <v>0</v>
      </c>
      <c r="AN224" s="5124">
        <f t="shared" si="6"/>
        <v>47.524000000000001</v>
      </c>
      <c r="AO224" s="5125">
        <v>47.524000000000001</v>
      </c>
      <c r="AP224" s="5126">
        <f t="shared" si="7"/>
        <v>0</v>
      </c>
    </row>
    <row r="225" spans="1:42">
      <c r="A225" s="5121">
        <v>439</v>
      </c>
      <c r="B225" s="5122">
        <v>20</v>
      </c>
      <c r="C225" s="5123">
        <v>12.173</v>
      </c>
      <c r="D225" s="5123">
        <v>0</v>
      </c>
      <c r="E225" s="5123">
        <v>4</v>
      </c>
      <c r="F225" s="5123">
        <v>0</v>
      </c>
      <c r="G225" s="5123">
        <v>0</v>
      </c>
      <c r="H225" s="5123">
        <v>0</v>
      </c>
      <c r="I225" s="5123">
        <v>0</v>
      </c>
      <c r="J225" s="5123">
        <v>0</v>
      </c>
      <c r="K225" s="5123">
        <v>0</v>
      </c>
      <c r="L225" s="5123">
        <v>0</v>
      </c>
      <c r="M225" s="5123">
        <v>0</v>
      </c>
      <c r="N225" s="5123">
        <v>0</v>
      </c>
      <c r="O225" s="5123">
        <v>0</v>
      </c>
      <c r="P225" s="5123">
        <v>1.9910000000000001</v>
      </c>
      <c r="Q225" s="5123">
        <v>0</v>
      </c>
      <c r="R225" s="5123">
        <v>0</v>
      </c>
      <c r="S225" s="5123">
        <v>0</v>
      </c>
      <c r="T225" s="5123">
        <v>0</v>
      </c>
      <c r="U225" s="5122">
        <v>20</v>
      </c>
      <c r="V225" s="5123">
        <v>15.678000000000001</v>
      </c>
      <c r="W225" s="5123">
        <v>0</v>
      </c>
      <c r="X225" s="5123">
        <v>3.9980000000000002</v>
      </c>
      <c r="Y225" s="5123">
        <v>0</v>
      </c>
      <c r="Z225" s="5123">
        <v>0</v>
      </c>
      <c r="AA225" s="5123">
        <v>0</v>
      </c>
      <c r="AB225" s="5123">
        <v>0</v>
      </c>
      <c r="AC225" s="5123">
        <v>0</v>
      </c>
      <c r="AD225" s="5123">
        <v>0</v>
      </c>
      <c r="AE225" s="5123">
        <v>0</v>
      </c>
      <c r="AF225" s="5123">
        <v>0</v>
      </c>
      <c r="AG225" s="5123">
        <v>0</v>
      </c>
      <c r="AH225" s="5123">
        <v>0</v>
      </c>
      <c r="AI225" s="5123">
        <v>1.9910000000000001</v>
      </c>
      <c r="AJ225" s="5123">
        <v>0</v>
      </c>
      <c r="AK225" s="5123">
        <v>0</v>
      </c>
      <c r="AL225" s="5123">
        <v>0</v>
      </c>
      <c r="AM225" s="5123">
        <v>0</v>
      </c>
      <c r="AN225" s="5124">
        <f t="shared" si="6"/>
        <v>41.667000000000002</v>
      </c>
      <c r="AO225" s="5125">
        <v>41.667000000000002</v>
      </c>
      <c r="AP225" s="5126">
        <f t="shared" si="7"/>
        <v>0</v>
      </c>
    </row>
    <row r="226" spans="1:42">
      <c r="A226" s="5121">
        <v>440</v>
      </c>
      <c r="B226" s="5122">
        <v>20</v>
      </c>
      <c r="C226" s="5123">
        <v>16.812000000000001</v>
      </c>
      <c r="D226" s="5123">
        <v>0</v>
      </c>
      <c r="E226" s="5123">
        <v>4.0039999999999996</v>
      </c>
      <c r="F226" s="5123">
        <v>0</v>
      </c>
      <c r="G226" s="5123">
        <v>0</v>
      </c>
      <c r="H226" s="5123">
        <v>9.5809999999999995</v>
      </c>
      <c r="I226" s="5123">
        <v>0</v>
      </c>
      <c r="J226" s="5123">
        <v>0</v>
      </c>
      <c r="K226" s="5123">
        <v>0</v>
      </c>
      <c r="L226" s="5123">
        <v>0</v>
      </c>
      <c r="M226" s="5123">
        <v>0</v>
      </c>
      <c r="N226" s="5123">
        <v>0</v>
      </c>
      <c r="O226" s="5123">
        <v>0</v>
      </c>
      <c r="P226" s="5123">
        <v>0</v>
      </c>
      <c r="Q226" s="5123">
        <v>0</v>
      </c>
      <c r="R226" s="5123">
        <v>0</v>
      </c>
      <c r="S226" s="5123">
        <v>0</v>
      </c>
      <c r="T226" s="5123">
        <v>0</v>
      </c>
      <c r="U226" s="5122">
        <v>20</v>
      </c>
      <c r="V226" s="5123">
        <v>18.638000000000002</v>
      </c>
      <c r="W226" s="5123">
        <v>0</v>
      </c>
      <c r="X226" s="5123">
        <v>3.9929999999999999</v>
      </c>
      <c r="Y226" s="5123">
        <v>0</v>
      </c>
      <c r="Z226" s="5123">
        <v>0</v>
      </c>
      <c r="AA226" s="5123">
        <v>9</v>
      </c>
      <c r="AB226" s="5123">
        <v>0</v>
      </c>
      <c r="AC226" s="5123">
        <v>0</v>
      </c>
      <c r="AD226" s="5123">
        <v>0</v>
      </c>
      <c r="AE226" s="5123">
        <v>0</v>
      </c>
      <c r="AF226" s="5123">
        <v>0</v>
      </c>
      <c r="AG226" s="5123">
        <v>0</v>
      </c>
      <c r="AH226" s="5123">
        <v>0</v>
      </c>
      <c r="AI226" s="5123">
        <v>0</v>
      </c>
      <c r="AJ226" s="5123">
        <v>0</v>
      </c>
      <c r="AK226" s="5123">
        <v>0</v>
      </c>
      <c r="AL226" s="5123">
        <v>0</v>
      </c>
      <c r="AM226" s="5123">
        <v>0</v>
      </c>
      <c r="AN226" s="5124">
        <f t="shared" si="6"/>
        <v>51.631</v>
      </c>
      <c r="AO226" s="5125">
        <v>51.631</v>
      </c>
      <c r="AP226" s="5126">
        <f t="shared" si="7"/>
        <v>0</v>
      </c>
    </row>
    <row r="227" spans="1:42">
      <c r="A227" s="5121">
        <v>443</v>
      </c>
      <c r="B227" s="5122">
        <v>20</v>
      </c>
      <c r="C227" s="5123">
        <v>16.635999999999999</v>
      </c>
      <c r="D227" s="5123">
        <v>0</v>
      </c>
      <c r="E227" s="5123">
        <v>8</v>
      </c>
      <c r="F227" s="5123">
        <v>0</v>
      </c>
      <c r="G227" s="5123">
        <v>0</v>
      </c>
      <c r="H227" s="5123">
        <v>12.393000000000001</v>
      </c>
      <c r="I227" s="5123">
        <v>0</v>
      </c>
      <c r="J227" s="5123">
        <v>0</v>
      </c>
      <c r="K227" s="5123">
        <v>0</v>
      </c>
      <c r="L227" s="5123">
        <v>0</v>
      </c>
      <c r="M227" s="5123">
        <v>0</v>
      </c>
      <c r="N227" s="5123">
        <v>0</v>
      </c>
      <c r="O227" s="5123">
        <v>0</v>
      </c>
      <c r="P227" s="5123">
        <v>0</v>
      </c>
      <c r="Q227" s="5123">
        <v>0</v>
      </c>
      <c r="R227" s="5123">
        <v>0</v>
      </c>
      <c r="S227" s="5123">
        <v>0</v>
      </c>
      <c r="T227" s="5123">
        <v>0</v>
      </c>
      <c r="U227" s="5122">
        <v>20</v>
      </c>
      <c r="V227" s="5123">
        <v>20.248000000000001</v>
      </c>
      <c r="W227" s="5123">
        <v>0</v>
      </c>
      <c r="X227" s="5123">
        <v>8</v>
      </c>
      <c r="Y227" s="5123">
        <v>0</v>
      </c>
      <c r="Z227" s="5123">
        <v>0</v>
      </c>
      <c r="AA227" s="5123">
        <v>8.8119999999999994</v>
      </c>
      <c r="AB227" s="5123">
        <v>0</v>
      </c>
      <c r="AC227" s="5123">
        <v>0</v>
      </c>
      <c r="AD227" s="5123">
        <v>0</v>
      </c>
      <c r="AE227" s="5123">
        <v>0</v>
      </c>
      <c r="AF227" s="5123">
        <v>0</v>
      </c>
      <c r="AG227" s="5123">
        <v>0</v>
      </c>
      <c r="AH227" s="5123">
        <v>0</v>
      </c>
      <c r="AI227" s="5123">
        <v>0</v>
      </c>
      <c r="AJ227" s="5123">
        <v>0</v>
      </c>
      <c r="AK227" s="5123">
        <v>0</v>
      </c>
      <c r="AL227" s="5123">
        <v>0</v>
      </c>
      <c r="AM227" s="5123">
        <v>0</v>
      </c>
      <c r="AN227" s="5124">
        <f t="shared" si="6"/>
        <v>57.06</v>
      </c>
      <c r="AO227" s="5125">
        <v>57.06</v>
      </c>
      <c r="AP227" s="5126">
        <f t="shared" si="7"/>
        <v>0</v>
      </c>
    </row>
    <row r="228" spans="1:42">
      <c r="A228" s="5121">
        <v>444</v>
      </c>
      <c r="B228" s="5122">
        <v>20</v>
      </c>
      <c r="C228" s="5123">
        <v>21.972999999999999</v>
      </c>
      <c r="D228" s="5123">
        <v>0</v>
      </c>
      <c r="E228" s="5123">
        <v>7.9989999999999997</v>
      </c>
      <c r="F228" s="5123">
        <v>0</v>
      </c>
      <c r="G228" s="5123">
        <v>0</v>
      </c>
      <c r="H228" s="5123">
        <v>0</v>
      </c>
      <c r="I228" s="5123">
        <v>0</v>
      </c>
      <c r="J228" s="5123">
        <v>0</v>
      </c>
      <c r="K228" s="5123">
        <v>0</v>
      </c>
      <c r="L228" s="5123">
        <v>0</v>
      </c>
      <c r="M228" s="5123">
        <v>0</v>
      </c>
      <c r="N228" s="5123">
        <v>0</v>
      </c>
      <c r="O228" s="5123">
        <v>0</v>
      </c>
      <c r="P228" s="5123">
        <v>0.72399999999999998</v>
      </c>
      <c r="Q228" s="5123">
        <v>0</v>
      </c>
      <c r="R228" s="5123">
        <v>0</v>
      </c>
      <c r="S228" s="5123">
        <v>0</v>
      </c>
      <c r="T228" s="5123">
        <v>0</v>
      </c>
      <c r="U228" s="5122">
        <v>20</v>
      </c>
      <c r="V228" s="5123">
        <v>18.199000000000002</v>
      </c>
      <c r="W228" s="5123">
        <v>0</v>
      </c>
      <c r="X228" s="5123">
        <v>8</v>
      </c>
      <c r="Y228" s="5123">
        <v>0</v>
      </c>
      <c r="Z228" s="5123">
        <v>0</v>
      </c>
      <c r="AA228" s="5123">
        <v>0</v>
      </c>
      <c r="AB228" s="5123">
        <v>0</v>
      </c>
      <c r="AC228" s="5123">
        <v>0</v>
      </c>
      <c r="AD228" s="5123">
        <v>0</v>
      </c>
      <c r="AE228" s="5123">
        <v>0</v>
      </c>
      <c r="AF228" s="5123">
        <v>0</v>
      </c>
      <c r="AG228" s="5123">
        <v>0</v>
      </c>
      <c r="AH228" s="5123">
        <v>0</v>
      </c>
      <c r="AI228" s="5123">
        <v>0.59299999999999997</v>
      </c>
      <c r="AJ228" s="5123">
        <v>0</v>
      </c>
      <c r="AK228" s="5123">
        <v>0</v>
      </c>
      <c r="AL228" s="5123">
        <v>0</v>
      </c>
      <c r="AM228" s="5123">
        <v>0</v>
      </c>
      <c r="AN228" s="5124">
        <f t="shared" si="6"/>
        <v>46.792000000000002</v>
      </c>
      <c r="AO228" s="5125">
        <v>46.792000000000002</v>
      </c>
      <c r="AP228" s="5126">
        <f t="shared" si="7"/>
        <v>0</v>
      </c>
    </row>
    <row r="229" spans="1:42">
      <c r="A229" s="5121">
        <v>445</v>
      </c>
      <c r="B229" s="5122">
        <v>20</v>
      </c>
      <c r="C229" s="5123">
        <v>19.684999999999999</v>
      </c>
      <c r="D229" s="5123">
        <v>0</v>
      </c>
      <c r="E229" s="5123">
        <v>2.3889999999999998</v>
      </c>
      <c r="F229" s="5123">
        <v>0</v>
      </c>
      <c r="G229" s="5123">
        <v>0</v>
      </c>
      <c r="H229" s="5123">
        <v>2.4849999999999999</v>
      </c>
      <c r="I229" s="5123">
        <v>0</v>
      </c>
      <c r="J229" s="5123">
        <v>0</v>
      </c>
      <c r="K229" s="5123">
        <v>0</v>
      </c>
      <c r="L229" s="5123">
        <v>0</v>
      </c>
      <c r="M229" s="5123">
        <v>0</v>
      </c>
      <c r="N229" s="5123">
        <v>0</v>
      </c>
      <c r="O229" s="5123">
        <v>0</v>
      </c>
      <c r="P229" s="5123">
        <v>2.9940000000000002</v>
      </c>
      <c r="Q229" s="5123">
        <v>0.308</v>
      </c>
      <c r="R229" s="5123">
        <v>0</v>
      </c>
      <c r="S229" s="5123">
        <v>0</v>
      </c>
      <c r="T229" s="5123">
        <v>0</v>
      </c>
      <c r="U229" s="5122">
        <v>20</v>
      </c>
      <c r="V229" s="5123">
        <v>21.568000000000001</v>
      </c>
      <c r="W229" s="5123">
        <v>0</v>
      </c>
      <c r="X229" s="5123">
        <v>2.3780000000000001</v>
      </c>
      <c r="Y229" s="5123">
        <v>0</v>
      </c>
      <c r="Z229" s="5123">
        <v>0</v>
      </c>
      <c r="AA229" s="5123">
        <v>1.1950000000000001</v>
      </c>
      <c r="AB229" s="5123">
        <v>0</v>
      </c>
      <c r="AC229" s="5123">
        <v>0</v>
      </c>
      <c r="AD229" s="5123">
        <v>0</v>
      </c>
      <c r="AE229" s="5123">
        <v>0</v>
      </c>
      <c r="AF229" s="5123">
        <v>0</v>
      </c>
      <c r="AG229" s="5123">
        <v>0</v>
      </c>
      <c r="AH229" s="5123">
        <v>0</v>
      </c>
      <c r="AI229" s="5123">
        <v>2.9860000000000002</v>
      </c>
      <c r="AJ229" s="5123">
        <v>0.76700000000000002</v>
      </c>
      <c r="AK229" s="5123">
        <v>0</v>
      </c>
      <c r="AL229" s="5123">
        <v>0</v>
      </c>
      <c r="AM229" s="5123">
        <v>0</v>
      </c>
      <c r="AN229" s="5124">
        <f t="shared" si="6"/>
        <v>48.893999999999998</v>
      </c>
      <c r="AO229" s="5125">
        <v>48.893999999999998</v>
      </c>
      <c r="AP229" s="5126">
        <f t="shared" si="7"/>
        <v>0</v>
      </c>
    </row>
    <row r="230" spans="1:42">
      <c r="A230" s="5121">
        <v>446</v>
      </c>
      <c r="B230" s="5122">
        <v>20</v>
      </c>
      <c r="C230" s="5123">
        <v>16.206</v>
      </c>
      <c r="D230" s="5123">
        <v>0</v>
      </c>
      <c r="E230" s="5123">
        <v>3.9119999999999999</v>
      </c>
      <c r="F230" s="5123">
        <v>0</v>
      </c>
      <c r="G230" s="5123">
        <v>0</v>
      </c>
      <c r="H230" s="5123">
        <v>2.9350000000000001</v>
      </c>
      <c r="I230" s="5123">
        <v>0</v>
      </c>
      <c r="J230" s="5123">
        <v>0</v>
      </c>
      <c r="K230" s="5123">
        <v>0</v>
      </c>
      <c r="L230" s="5123">
        <v>0</v>
      </c>
      <c r="M230" s="5123">
        <v>0</v>
      </c>
      <c r="N230" s="5123">
        <v>2.153</v>
      </c>
      <c r="O230" s="5123">
        <v>0</v>
      </c>
      <c r="P230" s="5123">
        <v>2.9340000000000002</v>
      </c>
      <c r="Q230" s="5123">
        <v>0.97799999999999998</v>
      </c>
      <c r="R230" s="5123">
        <v>0</v>
      </c>
      <c r="S230" s="5123">
        <v>0</v>
      </c>
      <c r="T230" s="5123">
        <v>0</v>
      </c>
      <c r="U230" s="5122">
        <v>20</v>
      </c>
      <c r="V230" s="5123">
        <v>13.938000000000001</v>
      </c>
      <c r="W230" s="5123">
        <v>0</v>
      </c>
      <c r="X230" s="5123">
        <v>3.8740000000000001</v>
      </c>
      <c r="Y230" s="5123">
        <v>0</v>
      </c>
      <c r="Z230" s="5123">
        <v>0</v>
      </c>
      <c r="AA230" s="5123">
        <v>3.39</v>
      </c>
      <c r="AB230" s="5123">
        <v>0</v>
      </c>
      <c r="AC230" s="5123">
        <v>0</v>
      </c>
      <c r="AD230" s="5123">
        <v>0</v>
      </c>
      <c r="AE230" s="5123">
        <v>0</v>
      </c>
      <c r="AF230" s="5123">
        <v>0</v>
      </c>
      <c r="AG230" s="5123">
        <v>2.1320000000000001</v>
      </c>
      <c r="AH230" s="5123">
        <v>0</v>
      </c>
      <c r="AI230" s="5123">
        <v>2.9060000000000001</v>
      </c>
      <c r="AJ230" s="5123">
        <v>0.96799999999999997</v>
      </c>
      <c r="AK230" s="5123">
        <v>0</v>
      </c>
      <c r="AL230" s="5123">
        <v>0</v>
      </c>
      <c r="AM230" s="5123">
        <v>0</v>
      </c>
      <c r="AN230" s="5124">
        <f t="shared" si="6"/>
        <v>47.207999999999998</v>
      </c>
      <c r="AO230" s="5125">
        <v>47.207999999999998</v>
      </c>
      <c r="AP230" s="5126">
        <f t="shared" si="7"/>
        <v>0</v>
      </c>
    </row>
    <row r="231" spans="1:42">
      <c r="A231" s="5121">
        <v>447</v>
      </c>
      <c r="B231" s="5122">
        <v>20</v>
      </c>
      <c r="C231" s="5123">
        <v>14.186</v>
      </c>
      <c r="D231" s="5123">
        <v>0</v>
      </c>
      <c r="E231" s="5123">
        <v>0</v>
      </c>
      <c r="F231" s="5123">
        <v>0</v>
      </c>
      <c r="G231" s="5123">
        <v>0</v>
      </c>
      <c r="H231" s="5123">
        <v>0</v>
      </c>
      <c r="I231" s="5123">
        <v>7.5030000000000001</v>
      </c>
      <c r="J231" s="5123">
        <v>0</v>
      </c>
      <c r="K231" s="5123">
        <v>0</v>
      </c>
      <c r="L231" s="5123">
        <v>0</v>
      </c>
      <c r="M231" s="5123">
        <v>0</v>
      </c>
      <c r="N231" s="5123">
        <v>0</v>
      </c>
      <c r="O231" s="5123">
        <v>0</v>
      </c>
      <c r="P231" s="5123">
        <v>1.994</v>
      </c>
      <c r="Q231" s="5123">
        <v>0</v>
      </c>
      <c r="R231" s="5123">
        <v>0</v>
      </c>
      <c r="S231" s="5123">
        <v>0</v>
      </c>
      <c r="T231" s="5123">
        <v>0</v>
      </c>
      <c r="U231" s="5122">
        <v>20</v>
      </c>
      <c r="V231" s="5123">
        <v>19.131</v>
      </c>
      <c r="W231" s="5123">
        <v>0</v>
      </c>
      <c r="X231" s="5123">
        <v>2.4820000000000002</v>
      </c>
      <c r="Y231" s="5123">
        <v>0</v>
      </c>
      <c r="Z231" s="5123">
        <v>0</v>
      </c>
      <c r="AA231" s="5123">
        <v>0</v>
      </c>
      <c r="AB231" s="5123">
        <v>0</v>
      </c>
      <c r="AC231" s="5123">
        <v>0</v>
      </c>
      <c r="AD231" s="5123">
        <v>0</v>
      </c>
      <c r="AE231" s="5123">
        <v>0</v>
      </c>
      <c r="AF231" s="5123">
        <v>0</v>
      </c>
      <c r="AG231" s="5123">
        <v>0</v>
      </c>
      <c r="AH231" s="5123">
        <v>0</v>
      </c>
      <c r="AI231" s="5123">
        <v>1.986</v>
      </c>
      <c r="AJ231" s="5123">
        <v>0</v>
      </c>
      <c r="AK231" s="5123">
        <v>0</v>
      </c>
      <c r="AL231" s="5123">
        <v>0</v>
      </c>
      <c r="AM231" s="5123">
        <v>0</v>
      </c>
      <c r="AN231" s="5124">
        <f t="shared" si="6"/>
        <v>43.598999999999997</v>
      </c>
      <c r="AO231" s="5125">
        <v>43.598999999999997</v>
      </c>
      <c r="AP231" s="5126">
        <f t="shared" si="7"/>
        <v>0</v>
      </c>
    </row>
    <row r="232" spans="1:42">
      <c r="A232" s="5121">
        <v>448</v>
      </c>
      <c r="B232" s="5122">
        <v>20</v>
      </c>
      <c r="C232" s="5123">
        <v>22.190999999999999</v>
      </c>
      <c r="D232" s="5123">
        <v>0</v>
      </c>
      <c r="E232" s="5123">
        <v>5.9690000000000003</v>
      </c>
      <c r="F232" s="5123">
        <v>0</v>
      </c>
      <c r="G232" s="5123">
        <v>0</v>
      </c>
      <c r="H232" s="5123">
        <v>9.5839999999999996</v>
      </c>
      <c r="I232" s="5123">
        <v>0</v>
      </c>
      <c r="J232" s="5123">
        <v>0</v>
      </c>
      <c r="K232" s="5123">
        <v>0</v>
      </c>
      <c r="L232" s="5123">
        <v>0</v>
      </c>
      <c r="M232" s="5123">
        <v>0</v>
      </c>
      <c r="N232" s="5123">
        <v>0</v>
      </c>
      <c r="O232" s="5123">
        <v>0</v>
      </c>
      <c r="P232" s="5123">
        <v>0.73899999999999999</v>
      </c>
      <c r="Q232" s="5123">
        <v>0</v>
      </c>
      <c r="R232" s="5123">
        <v>0</v>
      </c>
      <c r="S232" s="5123">
        <v>0</v>
      </c>
      <c r="T232" s="5123">
        <v>0</v>
      </c>
      <c r="U232" s="5122">
        <v>20</v>
      </c>
      <c r="V232" s="5123">
        <v>22.917999999999999</v>
      </c>
      <c r="W232" s="5123">
        <v>0</v>
      </c>
      <c r="X232" s="5123">
        <v>8</v>
      </c>
      <c r="Y232" s="5123">
        <v>0</v>
      </c>
      <c r="Z232" s="5123">
        <v>0</v>
      </c>
      <c r="AA232" s="5123">
        <v>7.7350000000000003</v>
      </c>
      <c r="AB232" s="5123">
        <v>0</v>
      </c>
      <c r="AC232" s="5123">
        <v>0</v>
      </c>
      <c r="AD232" s="5123">
        <v>0</v>
      </c>
      <c r="AE232" s="5123">
        <v>0</v>
      </c>
      <c r="AF232" s="5123">
        <v>0</v>
      </c>
      <c r="AG232" s="5123">
        <v>0</v>
      </c>
      <c r="AH232" s="5123">
        <v>0</v>
      </c>
      <c r="AI232" s="5123">
        <v>0.74399999999999999</v>
      </c>
      <c r="AJ232" s="5123">
        <v>0</v>
      </c>
      <c r="AK232" s="5123">
        <v>0</v>
      </c>
      <c r="AL232" s="5123">
        <v>0</v>
      </c>
      <c r="AM232" s="5123">
        <v>0</v>
      </c>
      <c r="AN232" s="5124">
        <f t="shared" si="6"/>
        <v>59.396999999999998</v>
      </c>
      <c r="AO232" s="5125">
        <v>59.396999999999998</v>
      </c>
      <c r="AP232" s="5126">
        <f t="shared" si="7"/>
        <v>0</v>
      </c>
    </row>
    <row r="233" spans="1:42">
      <c r="A233" s="5121">
        <v>449</v>
      </c>
      <c r="B233" s="5122">
        <v>20</v>
      </c>
      <c r="C233" s="5123">
        <v>18.788</v>
      </c>
      <c r="D233" s="5123">
        <v>0</v>
      </c>
      <c r="E233" s="5123">
        <v>4.9950000000000001</v>
      </c>
      <c r="F233" s="5123">
        <v>0</v>
      </c>
      <c r="G233" s="5123">
        <v>0</v>
      </c>
      <c r="H233" s="5123">
        <v>10.507999999999999</v>
      </c>
      <c r="I233" s="5123">
        <v>0</v>
      </c>
      <c r="J233" s="5123">
        <v>0</v>
      </c>
      <c r="K233" s="5123">
        <v>0</v>
      </c>
      <c r="L233" s="5123">
        <v>0</v>
      </c>
      <c r="M233" s="5123">
        <v>0</v>
      </c>
      <c r="N233" s="5123">
        <v>0</v>
      </c>
      <c r="O233" s="5123">
        <v>0</v>
      </c>
      <c r="P233" s="5123">
        <v>0</v>
      </c>
      <c r="Q233" s="5123">
        <v>0</v>
      </c>
      <c r="R233" s="5123">
        <v>0</v>
      </c>
      <c r="S233" s="5123">
        <v>0</v>
      </c>
      <c r="T233" s="5123">
        <v>0</v>
      </c>
      <c r="U233" s="5122">
        <v>20</v>
      </c>
      <c r="V233" s="5123">
        <v>18.315999999999999</v>
      </c>
      <c r="W233" s="5123">
        <v>0</v>
      </c>
      <c r="X233" s="5123">
        <v>4.9969999999999999</v>
      </c>
      <c r="Y233" s="5123">
        <v>0</v>
      </c>
      <c r="Z233" s="5123">
        <v>0</v>
      </c>
      <c r="AA233" s="5123">
        <v>10.898</v>
      </c>
      <c r="AB233" s="5123">
        <v>0</v>
      </c>
      <c r="AC233" s="5123">
        <v>0</v>
      </c>
      <c r="AD233" s="5123">
        <v>0</v>
      </c>
      <c r="AE233" s="5123">
        <v>0</v>
      </c>
      <c r="AF233" s="5123">
        <v>0</v>
      </c>
      <c r="AG233" s="5123">
        <v>0</v>
      </c>
      <c r="AH233" s="5123">
        <v>0</v>
      </c>
      <c r="AI233" s="5123">
        <v>0</v>
      </c>
      <c r="AJ233" s="5123">
        <v>0</v>
      </c>
      <c r="AK233" s="5123">
        <v>0</v>
      </c>
      <c r="AL233" s="5123">
        <v>0</v>
      </c>
      <c r="AM233" s="5123">
        <v>0</v>
      </c>
      <c r="AN233" s="5124">
        <f t="shared" si="6"/>
        <v>54.210999999999999</v>
      </c>
      <c r="AO233" s="5125">
        <v>54.210999999999999</v>
      </c>
      <c r="AP233" s="5126">
        <f t="shared" si="7"/>
        <v>0</v>
      </c>
    </row>
    <row r="234" spans="1:42">
      <c r="A234" s="5121">
        <v>450</v>
      </c>
      <c r="B234" s="5122">
        <v>20</v>
      </c>
      <c r="C234" s="5123">
        <v>14.965</v>
      </c>
      <c r="D234" s="5123">
        <v>0</v>
      </c>
      <c r="E234" s="5123">
        <v>8</v>
      </c>
      <c r="F234" s="5123">
        <v>0</v>
      </c>
      <c r="G234" s="5123">
        <v>0</v>
      </c>
      <c r="H234" s="5123">
        <v>8.5500000000000007</v>
      </c>
      <c r="I234" s="5123">
        <v>0</v>
      </c>
      <c r="J234" s="5123">
        <v>0</v>
      </c>
      <c r="K234" s="5123">
        <v>0</v>
      </c>
      <c r="L234" s="5123">
        <v>0</v>
      </c>
      <c r="M234" s="5123">
        <v>0</v>
      </c>
      <c r="N234" s="5123">
        <v>0</v>
      </c>
      <c r="O234" s="5123">
        <v>0</v>
      </c>
      <c r="P234" s="5123">
        <v>0</v>
      </c>
      <c r="Q234" s="5123">
        <v>0</v>
      </c>
      <c r="R234" s="5123">
        <v>0</v>
      </c>
      <c r="S234" s="5123">
        <v>0</v>
      </c>
      <c r="T234" s="5123">
        <v>0</v>
      </c>
      <c r="U234" s="5122">
        <v>20</v>
      </c>
      <c r="V234" s="5123">
        <v>16.353000000000002</v>
      </c>
      <c r="W234" s="5123">
        <v>0</v>
      </c>
      <c r="X234" s="5123">
        <v>8</v>
      </c>
      <c r="Y234" s="5123">
        <v>0</v>
      </c>
      <c r="Z234" s="5123">
        <v>0</v>
      </c>
      <c r="AA234" s="5123">
        <v>8.7970000000000006</v>
      </c>
      <c r="AB234" s="5123">
        <v>0</v>
      </c>
      <c r="AC234" s="5123">
        <v>0</v>
      </c>
      <c r="AD234" s="5123">
        <v>0</v>
      </c>
      <c r="AE234" s="5123">
        <v>0</v>
      </c>
      <c r="AF234" s="5123">
        <v>0</v>
      </c>
      <c r="AG234" s="5123">
        <v>0</v>
      </c>
      <c r="AH234" s="5123">
        <v>0</v>
      </c>
      <c r="AI234" s="5123">
        <v>0</v>
      </c>
      <c r="AJ234" s="5123">
        <v>0</v>
      </c>
      <c r="AK234" s="5123">
        <v>0</v>
      </c>
      <c r="AL234" s="5123">
        <v>0</v>
      </c>
      <c r="AM234" s="5123">
        <v>0</v>
      </c>
      <c r="AN234" s="5124">
        <f t="shared" si="6"/>
        <v>53.15</v>
      </c>
      <c r="AO234" s="5125">
        <v>53.15</v>
      </c>
      <c r="AP234" s="5126">
        <f t="shared" si="7"/>
        <v>0</v>
      </c>
    </row>
    <row r="235" spans="1:42">
      <c r="A235" s="5121">
        <v>452</v>
      </c>
      <c r="B235" s="5122">
        <v>20</v>
      </c>
      <c r="C235" s="5127">
        <v>14.564</v>
      </c>
      <c r="D235" s="5123">
        <v>0</v>
      </c>
      <c r="E235" s="5123">
        <v>3.9620000000000002</v>
      </c>
      <c r="F235" s="5123">
        <v>0</v>
      </c>
      <c r="G235" s="5123">
        <v>0</v>
      </c>
      <c r="H235" s="5123">
        <v>0</v>
      </c>
      <c r="I235" s="5123">
        <v>0</v>
      </c>
      <c r="J235" s="5123">
        <v>0</v>
      </c>
      <c r="K235" s="5123">
        <v>0</v>
      </c>
      <c r="L235" s="5123">
        <v>0</v>
      </c>
      <c r="M235" s="5123">
        <v>0</v>
      </c>
      <c r="N235" s="5123">
        <v>0</v>
      </c>
      <c r="O235" s="5123">
        <v>0</v>
      </c>
      <c r="P235" s="5123">
        <v>2</v>
      </c>
      <c r="Q235" s="5123">
        <v>0.5</v>
      </c>
      <c r="R235" s="5123">
        <v>0</v>
      </c>
      <c r="S235" s="5123">
        <v>0</v>
      </c>
      <c r="T235" s="5123">
        <v>0</v>
      </c>
      <c r="U235" s="5122">
        <v>20</v>
      </c>
      <c r="V235" s="5123">
        <v>14.95</v>
      </c>
      <c r="W235" s="5123">
        <v>0</v>
      </c>
      <c r="X235" s="5123">
        <v>4</v>
      </c>
      <c r="Y235" s="5123">
        <v>0</v>
      </c>
      <c r="Z235" s="5123">
        <v>0</v>
      </c>
      <c r="AA235" s="5123">
        <v>0</v>
      </c>
      <c r="AB235" s="5123">
        <v>0</v>
      </c>
      <c r="AC235" s="5123">
        <v>0</v>
      </c>
      <c r="AD235" s="5123">
        <v>0</v>
      </c>
      <c r="AE235" s="5123">
        <v>0</v>
      </c>
      <c r="AF235" s="5123">
        <v>0</v>
      </c>
      <c r="AG235" s="5123">
        <v>0</v>
      </c>
      <c r="AH235" s="5123">
        <v>0</v>
      </c>
      <c r="AI235" s="5123">
        <v>2.5</v>
      </c>
      <c r="AJ235" s="5123">
        <v>0.61699999999999999</v>
      </c>
      <c r="AK235" s="5123">
        <v>0</v>
      </c>
      <c r="AL235" s="5123">
        <v>0</v>
      </c>
      <c r="AM235" s="5123">
        <v>0</v>
      </c>
      <c r="AN235" s="5124">
        <f t="shared" si="6"/>
        <v>42.067</v>
      </c>
      <c r="AO235" s="5125">
        <v>42.067</v>
      </c>
      <c r="AP235" s="5126">
        <f t="shared" si="7"/>
        <v>0</v>
      </c>
    </row>
    <row r="236" spans="1:42">
      <c r="A236" s="5121">
        <v>453</v>
      </c>
      <c r="B236" s="5122">
        <v>20</v>
      </c>
      <c r="C236" s="5123">
        <v>15.57</v>
      </c>
      <c r="D236" s="5123">
        <v>0</v>
      </c>
      <c r="E236" s="5123">
        <v>7.9989999999999997</v>
      </c>
      <c r="F236" s="5123">
        <v>0</v>
      </c>
      <c r="G236" s="5123">
        <v>0</v>
      </c>
      <c r="H236" s="5123">
        <v>19.777999999999999</v>
      </c>
      <c r="I236" s="5123">
        <v>0</v>
      </c>
      <c r="J236" s="5123">
        <v>0</v>
      </c>
      <c r="K236" s="5123">
        <v>0</v>
      </c>
      <c r="L236" s="5123">
        <v>0</v>
      </c>
      <c r="M236" s="5123">
        <v>0</v>
      </c>
      <c r="N236" s="5123">
        <v>0</v>
      </c>
      <c r="O236" s="5123">
        <v>0</v>
      </c>
      <c r="P236" s="5123">
        <v>0</v>
      </c>
      <c r="Q236" s="5123">
        <v>0</v>
      </c>
      <c r="R236" s="5123">
        <v>0</v>
      </c>
      <c r="S236" s="5123">
        <v>0</v>
      </c>
      <c r="T236" s="5123">
        <v>0</v>
      </c>
      <c r="U236" s="5122">
        <v>20</v>
      </c>
      <c r="V236" s="5123">
        <v>16.626999999999999</v>
      </c>
      <c r="W236" s="5123">
        <v>0</v>
      </c>
      <c r="X236" s="5123">
        <v>6.9770000000000003</v>
      </c>
      <c r="Y236" s="5123">
        <v>0</v>
      </c>
      <c r="Z236" s="5123">
        <v>0</v>
      </c>
      <c r="AA236" s="5123">
        <v>19.736999999999998</v>
      </c>
      <c r="AB236" s="5123">
        <v>0</v>
      </c>
      <c r="AC236" s="5123">
        <v>0</v>
      </c>
      <c r="AD236" s="5123">
        <v>0</v>
      </c>
      <c r="AE236" s="5123">
        <v>0</v>
      </c>
      <c r="AF236" s="5123">
        <v>0</v>
      </c>
      <c r="AG236" s="5123">
        <v>0</v>
      </c>
      <c r="AH236" s="5123">
        <v>0</v>
      </c>
      <c r="AI236" s="5123">
        <v>0</v>
      </c>
      <c r="AJ236" s="5123">
        <v>0</v>
      </c>
      <c r="AK236" s="5123">
        <v>0</v>
      </c>
      <c r="AL236" s="5123">
        <v>0</v>
      </c>
      <c r="AM236" s="5123">
        <v>0</v>
      </c>
      <c r="AN236" s="5124">
        <f t="shared" si="6"/>
        <v>63.341000000000001</v>
      </c>
      <c r="AO236" s="5125">
        <v>63.341000000000001</v>
      </c>
      <c r="AP236" s="5126">
        <f t="shared" si="7"/>
        <v>0</v>
      </c>
    </row>
    <row r="237" spans="1:42">
      <c r="A237" s="5121">
        <v>454</v>
      </c>
      <c r="B237" s="5122">
        <v>20</v>
      </c>
      <c r="C237" s="5123">
        <v>18.260999999999999</v>
      </c>
      <c r="D237" s="5123">
        <v>0</v>
      </c>
      <c r="E237" s="5123">
        <v>0</v>
      </c>
      <c r="F237" s="5123">
        <v>0</v>
      </c>
      <c r="G237" s="5123">
        <v>0</v>
      </c>
      <c r="H237" s="5123">
        <v>9.4649999999999999</v>
      </c>
      <c r="I237" s="5123">
        <v>0</v>
      </c>
      <c r="J237" s="5123">
        <v>0</v>
      </c>
      <c r="K237" s="5123">
        <v>0</v>
      </c>
      <c r="L237" s="5123">
        <v>0</v>
      </c>
      <c r="M237" s="5123">
        <v>0</v>
      </c>
      <c r="N237" s="5123">
        <v>0</v>
      </c>
      <c r="O237" s="5123">
        <v>0</v>
      </c>
      <c r="P237" s="5123">
        <v>1.9850000000000001</v>
      </c>
      <c r="Q237" s="5123">
        <v>0</v>
      </c>
      <c r="R237" s="5123">
        <v>0</v>
      </c>
      <c r="S237" s="5123">
        <v>0</v>
      </c>
      <c r="T237" s="5123">
        <v>0</v>
      </c>
      <c r="U237" s="5122">
        <v>20</v>
      </c>
      <c r="V237" s="5123">
        <v>21.984999999999999</v>
      </c>
      <c r="W237" s="5123">
        <v>0</v>
      </c>
      <c r="X237" s="5123">
        <v>0</v>
      </c>
      <c r="Y237" s="5123">
        <v>0</v>
      </c>
      <c r="Z237" s="5123">
        <v>0</v>
      </c>
      <c r="AA237" s="5123">
        <v>8.6039999999999992</v>
      </c>
      <c r="AB237" s="5123">
        <v>0</v>
      </c>
      <c r="AC237" s="5123">
        <v>0</v>
      </c>
      <c r="AD237" s="5123">
        <v>0</v>
      </c>
      <c r="AE237" s="5123">
        <v>0</v>
      </c>
      <c r="AF237" s="5123">
        <v>0</v>
      </c>
      <c r="AG237" s="5123">
        <v>0</v>
      </c>
      <c r="AH237" s="5123">
        <v>0</v>
      </c>
      <c r="AI237" s="5123">
        <v>2</v>
      </c>
      <c r="AJ237" s="5123">
        <v>0</v>
      </c>
      <c r="AK237" s="5123">
        <v>0</v>
      </c>
      <c r="AL237" s="5123">
        <v>0</v>
      </c>
      <c r="AM237" s="5123">
        <v>0</v>
      </c>
      <c r="AN237" s="5124">
        <f t="shared" si="6"/>
        <v>52.588999999999999</v>
      </c>
      <c r="AO237" s="5125">
        <v>52.588999999999999</v>
      </c>
      <c r="AP237" s="5126">
        <f t="shared" si="7"/>
        <v>0</v>
      </c>
    </row>
    <row r="238" spans="1:42">
      <c r="A238" s="5121">
        <v>456</v>
      </c>
      <c r="B238" s="5122">
        <v>20</v>
      </c>
      <c r="C238" s="5123">
        <v>18.045000000000002</v>
      </c>
      <c r="D238" s="5123">
        <v>0</v>
      </c>
      <c r="E238" s="5123">
        <v>0</v>
      </c>
      <c r="F238" s="5123">
        <v>0</v>
      </c>
      <c r="G238" s="5123">
        <v>0</v>
      </c>
      <c r="H238" s="5123">
        <v>0</v>
      </c>
      <c r="I238" s="5123">
        <v>0</v>
      </c>
      <c r="J238" s="5123">
        <v>0</v>
      </c>
      <c r="K238" s="5123">
        <v>0</v>
      </c>
      <c r="L238" s="5123">
        <v>0</v>
      </c>
      <c r="M238" s="5123">
        <v>0</v>
      </c>
      <c r="N238" s="5123">
        <v>0</v>
      </c>
      <c r="O238" s="5123">
        <v>0</v>
      </c>
      <c r="P238" s="5123">
        <v>1</v>
      </c>
      <c r="Q238" s="5123">
        <v>0</v>
      </c>
      <c r="R238" s="5123">
        <v>0</v>
      </c>
      <c r="S238" s="5123">
        <v>0</v>
      </c>
      <c r="T238" s="5123">
        <v>0</v>
      </c>
      <c r="U238" s="5122">
        <v>20</v>
      </c>
      <c r="V238" s="5123">
        <v>18.262</v>
      </c>
      <c r="W238" s="5123">
        <v>0</v>
      </c>
      <c r="X238" s="5123">
        <v>0</v>
      </c>
      <c r="Y238" s="5123">
        <v>0</v>
      </c>
      <c r="Z238" s="5123">
        <v>0</v>
      </c>
      <c r="AA238" s="5123">
        <v>0</v>
      </c>
      <c r="AB238" s="5123">
        <v>0</v>
      </c>
      <c r="AC238" s="5123">
        <v>0</v>
      </c>
      <c r="AD238" s="5123">
        <v>0</v>
      </c>
      <c r="AE238" s="5123">
        <v>0</v>
      </c>
      <c r="AF238" s="5123">
        <v>0</v>
      </c>
      <c r="AG238" s="5123">
        <v>0</v>
      </c>
      <c r="AH238" s="5123">
        <v>0</v>
      </c>
      <c r="AI238" s="5123">
        <v>1</v>
      </c>
      <c r="AJ238" s="5123">
        <v>0</v>
      </c>
      <c r="AK238" s="5123">
        <v>0</v>
      </c>
      <c r="AL238" s="5123">
        <v>0</v>
      </c>
      <c r="AM238" s="5123">
        <v>0</v>
      </c>
      <c r="AN238" s="5124">
        <f t="shared" si="6"/>
        <v>39.262</v>
      </c>
      <c r="AO238" s="5125">
        <v>39.262</v>
      </c>
      <c r="AP238" s="5126">
        <f t="shared" si="7"/>
        <v>0</v>
      </c>
    </row>
    <row r="239" spans="1:42">
      <c r="A239" s="5121">
        <v>457</v>
      </c>
      <c r="B239" s="5122">
        <v>20</v>
      </c>
      <c r="C239" s="5123">
        <v>15.398999999999999</v>
      </c>
      <c r="D239" s="5123">
        <v>0</v>
      </c>
      <c r="E239" s="5123">
        <v>3.9609999999999999</v>
      </c>
      <c r="F239" s="5123">
        <v>0</v>
      </c>
      <c r="G239" s="5123">
        <v>0</v>
      </c>
      <c r="H239" s="5123">
        <v>8.6080000000000005</v>
      </c>
      <c r="I239" s="5123">
        <v>0</v>
      </c>
      <c r="J239" s="5123">
        <v>0</v>
      </c>
      <c r="K239" s="5123">
        <v>0</v>
      </c>
      <c r="L239" s="5123">
        <v>0</v>
      </c>
      <c r="M239" s="5123">
        <v>0</v>
      </c>
      <c r="N239" s="5123">
        <v>0</v>
      </c>
      <c r="O239" s="5123">
        <v>0</v>
      </c>
      <c r="P239" s="5123">
        <v>0</v>
      </c>
      <c r="Q239" s="5123">
        <v>0</v>
      </c>
      <c r="R239" s="5123">
        <v>0</v>
      </c>
      <c r="S239" s="5123">
        <v>0</v>
      </c>
      <c r="T239" s="5123">
        <v>0</v>
      </c>
      <c r="U239" s="5122">
        <v>20</v>
      </c>
      <c r="V239" s="5123">
        <v>19.718</v>
      </c>
      <c r="W239" s="5123">
        <v>0</v>
      </c>
      <c r="X239" s="5123">
        <v>4.0090000000000003</v>
      </c>
      <c r="Y239" s="5123">
        <v>0</v>
      </c>
      <c r="Z239" s="5123">
        <v>0</v>
      </c>
      <c r="AA239" s="5123">
        <v>8.3000000000000007</v>
      </c>
      <c r="AB239" s="5123">
        <v>0</v>
      </c>
      <c r="AC239" s="5123">
        <v>0</v>
      </c>
      <c r="AD239" s="5123">
        <v>0</v>
      </c>
      <c r="AE239" s="5123">
        <v>0</v>
      </c>
      <c r="AF239" s="5123">
        <v>0</v>
      </c>
      <c r="AG239" s="5123">
        <v>0</v>
      </c>
      <c r="AH239" s="5123">
        <v>0</v>
      </c>
      <c r="AI239" s="5123">
        <v>0</v>
      </c>
      <c r="AJ239" s="5123">
        <v>0</v>
      </c>
      <c r="AK239" s="5123">
        <v>0</v>
      </c>
      <c r="AL239" s="5123">
        <v>0</v>
      </c>
      <c r="AM239" s="5123">
        <v>0</v>
      </c>
      <c r="AN239" s="5124">
        <f t="shared" si="6"/>
        <v>52.027000000000001</v>
      </c>
      <c r="AO239" s="5125">
        <v>52.027000000000001</v>
      </c>
      <c r="AP239" s="5126">
        <f t="shared" si="7"/>
        <v>0</v>
      </c>
    </row>
    <row r="240" spans="1:42">
      <c r="A240" s="5121">
        <v>458</v>
      </c>
      <c r="B240" s="5122">
        <v>20</v>
      </c>
      <c r="C240" s="5123">
        <v>11.099</v>
      </c>
      <c r="D240" s="5123">
        <v>0</v>
      </c>
      <c r="E240" s="5123">
        <v>8</v>
      </c>
      <c r="F240" s="5123">
        <v>0</v>
      </c>
      <c r="G240" s="5123">
        <v>0</v>
      </c>
      <c r="H240" s="5123">
        <v>22.280999999999999</v>
      </c>
      <c r="I240" s="5123">
        <v>0</v>
      </c>
      <c r="J240" s="5123">
        <v>0</v>
      </c>
      <c r="K240" s="5123">
        <v>0.114</v>
      </c>
      <c r="L240" s="5123">
        <v>0</v>
      </c>
      <c r="M240" s="5123">
        <v>0</v>
      </c>
      <c r="N240" s="5123">
        <v>0</v>
      </c>
      <c r="O240" s="5123">
        <v>0</v>
      </c>
      <c r="P240" s="5123">
        <v>0</v>
      </c>
      <c r="Q240" s="5123">
        <v>0</v>
      </c>
      <c r="R240" s="5123">
        <v>0</v>
      </c>
      <c r="S240" s="5123">
        <v>0</v>
      </c>
      <c r="T240" s="5123">
        <v>0</v>
      </c>
      <c r="U240" s="5122">
        <v>20</v>
      </c>
      <c r="V240" s="5123">
        <v>13.702999999999999</v>
      </c>
      <c r="W240" s="5123">
        <v>0</v>
      </c>
      <c r="X240" s="5123">
        <v>7.0679999999999996</v>
      </c>
      <c r="Y240" s="5123">
        <v>0</v>
      </c>
      <c r="Z240" s="5123">
        <v>0</v>
      </c>
      <c r="AA240" s="5123">
        <v>20.407</v>
      </c>
      <c r="AB240" s="5123">
        <v>0</v>
      </c>
      <c r="AC240" s="5123">
        <v>0</v>
      </c>
      <c r="AD240" s="5123">
        <v>0.12</v>
      </c>
      <c r="AE240" s="5123">
        <v>0</v>
      </c>
      <c r="AF240" s="5123">
        <v>0</v>
      </c>
      <c r="AG240" s="5123">
        <v>0</v>
      </c>
      <c r="AH240" s="5123">
        <v>0</v>
      </c>
      <c r="AI240" s="5123">
        <v>0</v>
      </c>
      <c r="AJ240" s="5123">
        <v>0</v>
      </c>
      <c r="AK240" s="5123">
        <v>0</v>
      </c>
      <c r="AL240" s="5123">
        <v>0</v>
      </c>
      <c r="AM240" s="5123">
        <v>0</v>
      </c>
      <c r="AN240" s="5124">
        <f t="shared" si="6"/>
        <v>61.298000000000002</v>
      </c>
      <c r="AO240" s="5125">
        <v>61.298000000000002</v>
      </c>
      <c r="AP240" s="5126">
        <f t="shared" si="7"/>
        <v>0</v>
      </c>
    </row>
    <row r="241" spans="1:42">
      <c r="A241" s="5121">
        <v>459</v>
      </c>
      <c r="B241" s="5122">
        <v>20</v>
      </c>
      <c r="C241" s="5123">
        <v>17.925000000000001</v>
      </c>
      <c r="D241" s="5123">
        <v>0</v>
      </c>
      <c r="E241" s="5123">
        <v>4</v>
      </c>
      <c r="F241" s="5123">
        <v>0</v>
      </c>
      <c r="G241" s="5123">
        <v>0</v>
      </c>
      <c r="H241" s="5123">
        <v>0</v>
      </c>
      <c r="I241" s="5123">
        <v>0</v>
      </c>
      <c r="J241" s="5123">
        <v>0</v>
      </c>
      <c r="K241" s="5123">
        <v>0</v>
      </c>
      <c r="L241" s="5123">
        <v>0</v>
      </c>
      <c r="M241" s="5123">
        <v>0</v>
      </c>
      <c r="N241" s="5123">
        <v>0</v>
      </c>
      <c r="O241" s="5123">
        <v>0</v>
      </c>
      <c r="P241" s="5123">
        <v>1.76</v>
      </c>
      <c r="Q241" s="5123">
        <v>0</v>
      </c>
      <c r="R241" s="5123">
        <v>0</v>
      </c>
      <c r="S241" s="5123">
        <v>0</v>
      </c>
      <c r="T241" s="5123">
        <v>0</v>
      </c>
      <c r="U241" s="5122">
        <v>20</v>
      </c>
      <c r="V241" s="5123">
        <v>21.436</v>
      </c>
      <c r="W241" s="5123">
        <v>0</v>
      </c>
      <c r="X241" s="5123">
        <v>4.0030000000000001</v>
      </c>
      <c r="Y241" s="5123">
        <v>0</v>
      </c>
      <c r="Z241" s="5123">
        <v>0</v>
      </c>
      <c r="AA241" s="5123">
        <v>0</v>
      </c>
      <c r="AB241" s="5123">
        <v>0</v>
      </c>
      <c r="AC241" s="5123">
        <v>0</v>
      </c>
      <c r="AD241" s="5123">
        <v>0</v>
      </c>
      <c r="AE241" s="5123">
        <v>0</v>
      </c>
      <c r="AF241" s="5123">
        <v>0</v>
      </c>
      <c r="AG241" s="5123">
        <v>0</v>
      </c>
      <c r="AH241" s="5123">
        <v>0</v>
      </c>
      <c r="AI241" s="5123">
        <v>1.7390000000000001</v>
      </c>
      <c r="AJ241" s="5123">
        <v>0</v>
      </c>
      <c r="AK241" s="5123">
        <v>0</v>
      </c>
      <c r="AL241" s="5123">
        <v>0</v>
      </c>
      <c r="AM241" s="5123">
        <v>0</v>
      </c>
      <c r="AN241" s="5124">
        <f t="shared" si="6"/>
        <v>47.177999999999997</v>
      </c>
      <c r="AO241" s="5125">
        <v>47.177999999999997</v>
      </c>
      <c r="AP241" s="5126">
        <f t="shared" si="7"/>
        <v>0</v>
      </c>
    </row>
    <row r="242" spans="1:42">
      <c r="A242" s="5121">
        <v>460</v>
      </c>
      <c r="B242" s="5122">
        <v>20</v>
      </c>
      <c r="C242" s="5123">
        <v>15.895</v>
      </c>
      <c r="D242" s="5123">
        <v>0</v>
      </c>
      <c r="E242" s="5123">
        <v>6.5010000000000003</v>
      </c>
      <c r="F242" s="5123">
        <v>0</v>
      </c>
      <c r="G242" s="5123">
        <v>0</v>
      </c>
      <c r="H242" s="5123">
        <v>15.474</v>
      </c>
      <c r="I242" s="5123">
        <v>0</v>
      </c>
      <c r="J242" s="5123">
        <v>0</v>
      </c>
      <c r="K242" s="5123">
        <v>0</v>
      </c>
      <c r="L242" s="5123">
        <v>0</v>
      </c>
      <c r="M242" s="5123">
        <v>0</v>
      </c>
      <c r="N242" s="5123">
        <v>0</v>
      </c>
      <c r="O242" s="5123">
        <v>0</v>
      </c>
      <c r="P242" s="5123">
        <v>2.5579999999999998</v>
      </c>
      <c r="Q242" s="5123">
        <v>0.46100000000000002</v>
      </c>
      <c r="R242" s="5123">
        <v>0</v>
      </c>
      <c r="S242" s="5123">
        <v>0</v>
      </c>
      <c r="T242" s="5123">
        <v>0</v>
      </c>
      <c r="U242" s="5122">
        <v>20</v>
      </c>
      <c r="V242" s="5123">
        <v>18.585000000000001</v>
      </c>
      <c r="W242" s="5123">
        <v>0</v>
      </c>
      <c r="X242" s="5123">
        <v>6.492</v>
      </c>
      <c r="Y242" s="5123">
        <v>0</v>
      </c>
      <c r="Z242" s="5123">
        <v>0</v>
      </c>
      <c r="AA242" s="5123">
        <v>12.566000000000001</v>
      </c>
      <c r="AB242" s="5123">
        <v>0</v>
      </c>
      <c r="AC242" s="5123">
        <v>0</v>
      </c>
      <c r="AD242" s="5123">
        <v>0</v>
      </c>
      <c r="AE242" s="5123">
        <v>0</v>
      </c>
      <c r="AF242" s="5123">
        <v>0</v>
      </c>
      <c r="AG242" s="5123">
        <v>0</v>
      </c>
      <c r="AH242" s="5123">
        <v>0</v>
      </c>
      <c r="AI242" s="5123">
        <v>2.996</v>
      </c>
      <c r="AJ242" s="5123">
        <v>0.69899999999999995</v>
      </c>
      <c r="AK242" s="5123">
        <v>0</v>
      </c>
      <c r="AL242" s="5123">
        <v>0</v>
      </c>
      <c r="AM242" s="5123">
        <v>0</v>
      </c>
      <c r="AN242" s="5124">
        <f t="shared" si="6"/>
        <v>61.338000000000001</v>
      </c>
      <c r="AO242" s="5125">
        <v>61.338000000000001</v>
      </c>
      <c r="AP242" s="5126">
        <f t="shared" si="7"/>
        <v>0</v>
      </c>
    </row>
    <row r="243" spans="1:42">
      <c r="A243" s="5121">
        <v>461</v>
      </c>
      <c r="B243" s="5122">
        <v>20</v>
      </c>
      <c r="C243" s="5123">
        <v>16.585000000000001</v>
      </c>
      <c r="D243" s="5123">
        <v>0</v>
      </c>
      <c r="E243" s="5123">
        <v>8</v>
      </c>
      <c r="F243" s="5123">
        <v>0</v>
      </c>
      <c r="G243" s="5123">
        <v>0</v>
      </c>
      <c r="H243" s="5123">
        <v>5.758</v>
      </c>
      <c r="I243" s="5123">
        <v>0</v>
      </c>
      <c r="J243" s="5123">
        <v>0</v>
      </c>
      <c r="K243" s="5123">
        <v>0</v>
      </c>
      <c r="L243" s="5123">
        <v>0</v>
      </c>
      <c r="M243" s="5123">
        <v>0</v>
      </c>
      <c r="N243" s="5123">
        <v>0</v>
      </c>
      <c r="O243" s="5123">
        <v>0</v>
      </c>
      <c r="P243" s="5123">
        <v>3.5</v>
      </c>
      <c r="Q243" s="5123">
        <v>0</v>
      </c>
      <c r="R243" s="5123">
        <v>0</v>
      </c>
      <c r="S243" s="5123">
        <v>0</v>
      </c>
      <c r="T243" s="5123">
        <v>0</v>
      </c>
      <c r="U243" s="5122">
        <v>20</v>
      </c>
      <c r="V243" s="5123">
        <v>19.823</v>
      </c>
      <c r="W243" s="5123">
        <v>0</v>
      </c>
      <c r="X243" s="5123">
        <v>7.71</v>
      </c>
      <c r="Y243" s="5123">
        <v>0</v>
      </c>
      <c r="Z243" s="5123">
        <v>0</v>
      </c>
      <c r="AA243" s="5123">
        <v>4.1630000000000003</v>
      </c>
      <c r="AB243" s="5123">
        <v>0</v>
      </c>
      <c r="AC243" s="5123">
        <v>0</v>
      </c>
      <c r="AD243" s="5123">
        <v>0</v>
      </c>
      <c r="AE243" s="5123">
        <v>0</v>
      </c>
      <c r="AF243" s="5123">
        <v>0</v>
      </c>
      <c r="AG243" s="5123">
        <v>0</v>
      </c>
      <c r="AH243" s="5123">
        <v>0</v>
      </c>
      <c r="AI243" s="5123">
        <v>3.35</v>
      </c>
      <c r="AJ243" s="5123">
        <v>0</v>
      </c>
      <c r="AK243" s="5123">
        <v>0</v>
      </c>
      <c r="AL243" s="5123">
        <v>0</v>
      </c>
      <c r="AM243" s="5123">
        <v>0</v>
      </c>
      <c r="AN243" s="5124">
        <f t="shared" si="6"/>
        <v>55.045999999999999</v>
      </c>
      <c r="AO243" s="5125">
        <v>55.045999999999999</v>
      </c>
      <c r="AP243" s="5126">
        <f t="shared" si="7"/>
        <v>0</v>
      </c>
    </row>
    <row r="244" spans="1:42">
      <c r="A244" s="5121">
        <v>462</v>
      </c>
      <c r="B244" s="5122">
        <v>20</v>
      </c>
      <c r="C244" s="5123">
        <v>19.138000000000002</v>
      </c>
      <c r="D244" s="5123">
        <v>0</v>
      </c>
      <c r="E244" s="5123">
        <v>8</v>
      </c>
      <c r="F244" s="5123">
        <v>0</v>
      </c>
      <c r="G244" s="5123">
        <v>0</v>
      </c>
      <c r="H244" s="5123">
        <v>13.077</v>
      </c>
      <c r="I244" s="5123">
        <v>0</v>
      </c>
      <c r="J244" s="5123">
        <v>0</v>
      </c>
      <c r="K244" s="5123">
        <v>0</v>
      </c>
      <c r="L244" s="5123">
        <v>0</v>
      </c>
      <c r="M244" s="5123">
        <v>0</v>
      </c>
      <c r="N244" s="5123">
        <v>0</v>
      </c>
      <c r="O244" s="5123">
        <v>0</v>
      </c>
      <c r="P244" s="5123">
        <v>1.0860000000000001</v>
      </c>
      <c r="Q244" s="5123">
        <v>0</v>
      </c>
      <c r="R244" s="5123">
        <v>0</v>
      </c>
      <c r="S244" s="5123">
        <v>0</v>
      </c>
      <c r="T244" s="5123">
        <v>0</v>
      </c>
      <c r="U244" s="5122">
        <v>20</v>
      </c>
      <c r="V244" s="5123">
        <v>20.247</v>
      </c>
      <c r="W244" s="5123">
        <v>0</v>
      </c>
      <c r="X244" s="5123">
        <v>7.9359999999999999</v>
      </c>
      <c r="Y244" s="5123">
        <v>0</v>
      </c>
      <c r="Z244" s="5123">
        <v>0</v>
      </c>
      <c r="AA244" s="5123">
        <v>11.125999999999999</v>
      </c>
      <c r="AB244" s="5123">
        <v>0</v>
      </c>
      <c r="AC244" s="5123">
        <v>0</v>
      </c>
      <c r="AD244" s="5123">
        <v>0</v>
      </c>
      <c r="AE244" s="5123">
        <v>0</v>
      </c>
      <c r="AF244" s="5123">
        <v>0</v>
      </c>
      <c r="AG244" s="5123">
        <v>0</v>
      </c>
      <c r="AH244" s="5123">
        <v>0</v>
      </c>
      <c r="AI244" s="5123">
        <v>0.99299999999999999</v>
      </c>
      <c r="AJ244" s="5123">
        <v>0</v>
      </c>
      <c r="AK244" s="5123">
        <v>0</v>
      </c>
      <c r="AL244" s="5123">
        <v>0</v>
      </c>
      <c r="AM244" s="5123">
        <v>0</v>
      </c>
      <c r="AN244" s="5124">
        <f t="shared" si="6"/>
        <v>60.302</v>
      </c>
      <c r="AO244" s="5125">
        <v>60.302</v>
      </c>
      <c r="AP244" s="5126">
        <f t="shared" si="7"/>
        <v>0</v>
      </c>
    </row>
    <row r="245" spans="1:42">
      <c r="A245" s="5121">
        <v>463</v>
      </c>
      <c r="B245" s="5122">
        <v>20</v>
      </c>
      <c r="C245" s="5123">
        <v>18.718</v>
      </c>
      <c r="D245" s="5123">
        <v>0</v>
      </c>
      <c r="E245" s="5123">
        <v>5.9859999999999998</v>
      </c>
      <c r="F245" s="5123">
        <v>0</v>
      </c>
      <c r="G245" s="5123">
        <v>0</v>
      </c>
      <c r="H245" s="5123">
        <v>0</v>
      </c>
      <c r="I245" s="5123">
        <v>0</v>
      </c>
      <c r="J245" s="5123">
        <v>0</v>
      </c>
      <c r="K245" s="5123">
        <v>0</v>
      </c>
      <c r="L245" s="5123">
        <v>0</v>
      </c>
      <c r="M245" s="5123">
        <v>0</v>
      </c>
      <c r="N245" s="5123">
        <v>0</v>
      </c>
      <c r="O245" s="5123">
        <v>0</v>
      </c>
      <c r="P245" s="5123">
        <v>1.925</v>
      </c>
      <c r="Q245" s="5123">
        <v>0</v>
      </c>
      <c r="R245" s="5123">
        <v>0</v>
      </c>
      <c r="S245" s="5123">
        <v>0</v>
      </c>
      <c r="T245" s="5123">
        <v>0</v>
      </c>
      <c r="U245" s="5122">
        <v>20</v>
      </c>
      <c r="V245" s="5123">
        <v>17.347999999999999</v>
      </c>
      <c r="W245" s="5123">
        <v>0</v>
      </c>
      <c r="X245" s="5123">
        <v>5.9809999999999999</v>
      </c>
      <c r="Y245" s="5123">
        <v>0</v>
      </c>
      <c r="Z245" s="5123">
        <v>0</v>
      </c>
      <c r="AA245" s="5123">
        <v>13.912000000000001</v>
      </c>
      <c r="AB245" s="5123">
        <v>0</v>
      </c>
      <c r="AC245" s="5123">
        <v>0</v>
      </c>
      <c r="AD245" s="5123">
        <v>0</v>
      </c>
      <c r="AE245" s="5123">
        <v>0</v>
      </c>
      <c r="AF245" s="5123">
        <v>0</v>
      </c>
      <c r="AG245" s="5123">
        <v>0</v>
      </c>
      <c r="AH245" s="5123">
        <v>0</v>
      </c>
      <c r="AI245" s="5123">
        <v>1.994</v>
      </c>
      <c r="AJ245" s="5123">
        <v>0</v>
      </c>
      <c r="AK245" s="5123">
        <v>0</v>
      </c>
      <c r="AL245" s="5123">
        <v>0</v>
      </c>
      <c r="AM245" s="5123">
        <v>0</v>
      </c>
      <c r="AN245" s="5124">
        <f t="shared" si="6"/>
        <v>59.234999999999999</v>
      </c>
      <c r="AO245" s="5125">
        <v>59.234999999999999</v>
      </c>
      <c r="AP245" s="5126">
        <f t="shared" si="7"/>
        <v>0</v>
      </c>
    </row>
    <row r="246" spans="1:42">
      <c r="A246" s="5121">
        <v>464</v>
      </c>
      <c r="B246" s="5122">
        <v>20</v>
      </c>
      <c r="C246" s="5123">
        <v>12.73</v>
      </c>
      <c r="D246" s="5123">
        <v>0</v>
      </c>
      <c r="E246" s="5123">
        <v>7.4820000000000002</v>
      </c>
      <c r="F246" s="5123">
        <v>0</v>
      </c>
      <c r="G246" s="5123">
        <v>0</v>
      </c>
      <c r="H246" s="5123">
        <v>18.231000000000002</v>
      </c>
      <c r="I246" s="5123">
        <v>0</v>
      </c>
      <c r="J246" s="5123">
        <v>0</v>
      </c>
      <c r="K246" s="5123">
        <v>0</v>
      </c>
      <c r="L246" s="5123">
        <v>0</v>
      </c>
      <c r="M246" s="5123">
        <v>0</v>
      </c>
      <c r="N246" s="5123">
        <v>0</v>
      </c>
      <c r="O246" s="5123">
        <v>0</v>
      </c>
      <c r="P246" s="5123">
        <v>4.4889999999999999</v>
      </c>
      <c r="Q246" s="5123">
        <v>0.997</v>
      </c>
      <c r="R246" s="5123">
        <v>0</v>
      </c>
      <c r="S246" s="5123">
        <v>0</v>
      </c>
      <c r="T246" s="5123">
        <v>0</v>
      </c>
      <c r="U246" s="5122">
        <v>20</v>
      </c>
      <c r="V246" s="5123">
        <v>16.100999999999999</v>
      </c>
      <c r="W246" s="5123">
        <v>0</v>
      </c>
      <c r="X246" s="5123">
        <v>3.5</v>
      </c>
      <c r="Y246" s="5123">
        <v>0</v>
      </c>
      <c r="Z246" s="5123">
        <v>0</v>
      </c>
      <c r="AA246" s="5123">
        <v>20.800999999999998</v>
      </c>
      <c r="AB246" s="5123">
        <v>0</v>
      </c>
      <c r="AC246" s="5123">
        <v>0</v>
      </c>
      <c r="AD246" s="5123">
        <v>0</v>
      </c>
      <c r="AE246" s="5123">
        <v>0</v>
      </c>
      <c r="AF246" s="5123">
        <v>0</v>
      </c>
      <c r="AG246" s="5123">
        <v>0</v>
      </c>
      <c r="AH246" s="5123">
        <v>0</v>
      </c>
      <c r="AI246" s="5123">
        <v>4.5</v>
      </c>
      <c r="AJ246" s="5123">
        <v>1</v>
      </c>
      <c r="AK246" s="5123">
        <v>0</v>
      </c>
      <c r="AL246" s="5123">
        <v>0</v>
      </c>
      <c r="AM246" s="5123">
        <v>0</v>
      </c>
      <c r="AN246" s="5124">
        <f t="shared" si="6"/>
        <v>65.902000000000001</v>
      </c>
      <c r="AO246" s="5125">
        <v>65.902000000000001</v>
      </c>
      <c r="AP246" s="5126">
        <f t="shared" si="7"/>
        <v>0</v>
      </c>
    </row>
    <row r="247" spans="1:42">
      <c r="A247" s="5121">
        <v>465</v>
      </c>
      <c r="B247" s="5122">
        <v>20</v>
      </c>
      <c r="C247" s="5123">
        <v>13.327</v>
      </c>
      <c r="D247" s="5123">
        <v>0</v>
      </c>
      <c r="E247" s="5123">
        <v>7.9160000000000004</v>
      </c>
      <c r="F247" s="5123">
        <v>0</v>
      </c>
      <c r="G247" s="5123">
        <v>0</v>
      </c>
      <c r="H247" s="5123">
        <v>9.6679999999999993</v>
      </c>
      <c r="I247" s="5123">
        <v>0</v>
      </c>
      <c r="J247" s="5123">
        <v>0</v>
      </c>
      <c r="K247" s="5123">
        <v>0</v>
      </c>
      <c r="L247" s="5123">
        <v>0</v>
      </c>
      <c r="M247" s="5123">
        <v>0</v>
      </c>
      <c r="N247" s="5123">
        <v>0</v>
      </c>
      <c r="O247" s="5123">
        <v>0</v>
      </c>
      <c r="P247" s="5123">
        <v>3.9580000000000002</v>
      </c>
      <c r="Q247" s="5123">
        <v>0.92600000000000005</v>
      </c>
      <c r="R247" s="5123">
        <v>0</v>
      </c>
      <c r="S247" s="5123">
        <v>0</v>
      </c>
      <c r="T247" s="5123">
        <v>0</v>
      </c>
      <c r="U247" s="5122">
        <v>20</v>
      </c>
      <c r="V247" s="5123">
        <v>14.103</v>
      </c>
      <c r="W247" s="5123">
        <v>0</v>
      </c>
      <c r="X247" s="5123">
        <v>8</v>
      </c>
      <c r="Y247" s="5123">
        <v>0</v>
      </c>
      <c r="Z247" s="5123">
        <v>0</v>
      </c>
      <c r="AA247" s="5123">
        <v>8.9149999999999991</v>
      </c>
      <c r="AB247" s="5123">
        <v>0</v>
      </c>
      <c r="AC247" s="5123">
        <v>0</v>
      </c>
      <c r="AD247" s="5123">
        <v>0</v>
      </c>
      <c r="AE247" s="5123">
        <v>0</v>
      </c>
      <c r="AF247" s="5123">
        <v>0</v>
      </c>
      <c r="AG247" s="5123">
        <v>0</v>
      </c>
      <c r="AH247" s="5123">
        <v>0</v>
      </c>
      <c r="AI247" s="5123">
        <v>4</v>
      </c>
      <c r="AJ247" s="5123">
        <v>0.73399999999999999</v>
      </c>
      <c r="AK247" s="5123">
        <v>0</v>
      </c>
      <c r="AL247" s="5123">
        <v>0</v>
      </c>
      <c r="AM247" s="5123">
        <v>0</v>
      </c>
      <c r="AN247" s="5124">
        <f t="shared" si="6"/>
        <v>55.752000000000002</v>
      </c>
      <c r="AO247" s="5125">
        <v>55.752000000000002</v>
      </c>
      <c r="AP247" s="5126">
        <f t="shared" si="7"/>
        <v>0</v>
      </c>
    </row>
    <row r="248" spans="1:42">
      <c r="A248" s="5121">
        <v>466</v>
      </c>
      <c r="B248" s="5122">
        <v>20</v>
      </c>
      <c r="C248" s="5123">
        <v>20.628</v>
      </c>
      <c r="D248" s="5123">
        <v>0</v>
      </c>
      <c r="E248" s="5123">
        <v>8</v>
      </c>
      <c r="F248" s="5123">
        <v>0</v>
      </c>
      <c r="G248" s="5123">
        <v>0</v>
      </c>
      <c r="H248" s="5123">
        <v>12.218999999999999</v>
      </c>
      <c r="I248" s="5123">
        <v>0</v>
      </c>
      <c r="J248" s="5123">
        <v>0</v>
      </c>
      <c r="K248" s="5123">
        <v>0</v>
      </c>
      <c r="L248" s="5123">
        <v>0</v>
      </c>
      <c r="M248" s="5123">
        <v>0</v>
      </c>
      <c r="N248" s="5123">
        <v>0</v>
      </c>
      <c r="O248" s="5123">
        <v>0</v>
      </c>
      <c r="P248" s="5123">
        <v>2</v>
      </c>
      <c r="Q248" s="5123">
        <v>0.25</v>
      </c>
      <c r="R248" s="5123">
        <v>0</v>
      </c>
      <c r="S248" s="5123">
        <v>0</v>
      </c>
      <c r="T248" s="5123">
        <v>0</v>
      </c>
      <c r="U248" s="5122">
        <v>20</v>
      </c>
      <c r="V248" s="5123">
        <v>16.489000000000001</v>
      </c>
      <c r="W248" s="5123">
        <v>0</v>
      </c>
      <c r="X248" s="5123">
        <v>8</v>
      </c>
      <c r="Y248" s="5123">
        <v>0</v>
      </c>
      <c r="Z248" s="5123">
        <v>0</v>
      </c>
      <c r="AA248" s="5123">
        <v>14.058999999999999</v>
      </c>
      <c r="AB248" s="5123">
        <v>0</v>
      </c>
      <c r="AC248" s="5123">
        <v>0</v>
      </c>
      <c r="AD248" s="5123">
        <v>0</v>
      </c>
      <c r="AE248" s="5123">
        <v>0</v>
      </c>
      <c r="AF248" s="5123">
        <v>0</v>
      </c>
      <c r="AG248" s="5123">
        <v>0</v>
      </c>
      <c r="AH248" s="5123">
        <v>0</v>
      </c>
      <c r="AI248" s="5123">
        <v>2</v>
      </c>
      <c r="AJ248" s="5123">
        <v>0.25</v>
      </c>
      <c r="AK248" s="5123">
        <v>0</v>
      </c>
      <c r="AL248" s="5123">
        <v>0</v>
      </c>
      <c r="AM248" s="5123">
        <v>0</v>
      </c>
      <c r="AN248" s="5124">
        <f t="shared" si="6"/>
        <v>60.798000000000002</v>
      </c>
      <c r="AO248" s="5125">
        <v>60.798000000000002</v>
      </c>
      <c r="AP248" s="5126">
        <f t="shared" si="7"/>
        <v>0</v>
      </c>
    </row>
    <row r="249" spans="1:42">
      <c r="A249" s="5121">
        <v>467</v>
      </c>
      <c r="B249" s="5122">
        <v>20</v>
      </c>
      <c r="C249" s="5123">
        <v>20.838999999999999</v>
      </c>
      <c r="D249" s="5123">
        <v>0</v>
      </c>
      <c r="E249" s="5123">
        <v>7.9859999999999998</v>
      </c>
      <c r="F249" s="5123">
        <v>0</v>
      </c>
      <c r="G249" s="5123">
        <v>0</v>
      </c>
      <c r="H249" s="5123">
        <v>0</v>
      </c>
      <c r="I249" s="5123">
        <v>7.1959999999999997</v>
      </c>
      <c r="J249" s="5123">
        <v>0</v>
      </c>
      <c r="K249" s="5123">
        <v>0</v>
      </c>
      <c r="L249" s="5123">
        <v>0</v>
      </c>
      <c r="M249" s="5123">
        <v>0</v>
      </c>
      <c r="N249" s="5123">
        <v>0</v>
      </c>
      <c r="O249" s="5123">
        <v>0</v>
      </c>
      <c r="P249" s="5123">
        <v>0</v>
      </c>
      <c r="Q249" s="5123">
        <v>0</v>
      </c>
      <c r="R249" s="5123">
        <v>0</v>
      </c>
      <c r="S249" s="5123">
        <v>0</v>
      </c>
      <c r="T249" s="5123">
        <v>0</v>
      </c>
      <c r="U249" s="5122">
        <v>20</v>
      </c>
      <c r="V249" s="5123">
        <v>21.922999999999998</v>
      </c>
      <c r="W249" s="5123">
        <v>0</v>
      </c>
      <c r="X249" s="5123">
        <v>8</v>
      </c>
      <c r="Y249" s="5123">
        <v>0</v>
      </c>
      <c r="Z249" s="5123">
        <v>0</v>
      </c>
      <c r="AA249" s="5123">
        <v>0</v>
      </c>
      <c r="AB249" s="5123">
        <v>7.6239999999999997</v>
      </c>
      <c r="AC249" s="5123">
        <v>0</v>
      </c>
      <c r="AD249" s="5123">
        <v>0</v>
      </c>
      <c r="AE249" s="5123">
        <v>0</v>
      </c>
      <c r="AF249" s="5123">
        <v>0</v>
      </c>
      <c r="AG249" s="5123">
        <v>0</v>
      </c>
      <c r="AH249" s="5123">
        <v>0</v>
      </c>
      <c r="AI249" s="5123">
        <v>0</v>
      </c>
      <c r="AJ249" s="5123">
        <v>0</v>
      </c>
      <c r="AK249" s="5123">
        <v>0</v>
      </c>
      <c r="AL249" s="5123">
        <v>0</v>
      </c>
      <c r="AM249" s="5123">
        <v>0</v>
      </c>
      <c r="AN249" s="5124">
        <f t="shared" si="6"/>
        <v>57.546999999999997</v>
      </c>
      <c r="AO249" s="5125">
        <v>57.546999999999997</v>
      </c>
      <c r="AP249" s="5126">
        <f t="shared" si="7"/>
        <v>0</v>
      </c>
    </row>
    <row r="250" spans="1:42">
      <c r="A250" s="5121">
        <v>468</v>
      </c>
      <c r="B250" s="5122">
        <v>20</v>
      </c>
      <c r="C250" s="5123">
        <v>21.097999999999999</v>
      </c>
      <c r="D250" s="5123">
        <v>0</v>
      </c>
      <c r="E250" s="5123">
        <v>8</v>
      </c>
      <c r="F250" s="5123">
        <v>0</v>
      </c>
      <c r="G250" s="5123">
        <v>0</v>
      </c>
      <c r="H250" s="5123">
        <v>0</v>
      </c>
      <c r="I250" s="5123">
        <v>0</v>
      </c>
      <c r="J250" s="5123">
        <v>0</v>
      </c>
      <c r="K250" s="5123">
        <v>0</v>
      </c>
      <c r="L250" s="5123">
        <v>0</v>
      </c>
      <c r="M250" s="5123">
        <v>0</v>
      </c>
      <c r="N250" s="5123">
        <v>0</v>
      </c>
      <c r="O250" s="5123">
        <v>0</v>
      </c>
      <c r="P250" s="5123">
        <v>1</v>
      </c>
      <c r="Q250" s="5123">
        <v>0</v>
      </c>
      <c r="R250" s="5123">
        <v>0</v>
      </c>
      <c r="S250" s="5123">
        <v>0</v>
      </c>
      <c r="T250" s="5123">
        <v>0</v>
      </c>
      <c r="U250" s="5122">
        <v>20</v>
      </c>
      <c r="V250" s="5123">
        <v>20.866</v>
      </c>
      <c r="W250" s="5123">
        <v>0</v>
      </c>
      <c r="X250" s="5123">
        <v>7.9660000000000002</v>
      </c>
      <c r="Y250" s="5123">
        <v>0</v>
      </c>
      <c r="Z250" s="5123">
        <v>0</v>
      </c>
      <c r="AA250" s="5123">
        <v>0</v>
      </c>
      <c r="AB250" s="5123">
        <v>0</v>
      </c>
      <c r="AC250" s="5123">
        <v>0</v>
      </c>
      <c r="AD250" s="5123">
        <v>0</v>
      </c>
      <c r="AE250" s="5123">
        <v>0</v>
      </c>
      <c r="AF250" s="5123">
        <v>0</v>
      </c>
      <c r="AG250" s="5123">
        <v>0</v>
      </c>
      <c r="AH250" s="5123">
        <v>0</v>
      </c>
      <c r="AI250" s="5123">
        <v>0.996</v>
      </c>
      <c r="AJ250" s="5123">
        <v>0</v>
      </c>
      <c r="AK250" s="5123">
        <v>0</v>
      </c>
      <c r="AL250" s="5123">
        <v>0</v>
      </c>
      <c r="AM250" s="5123">
        <v>0</v>
      </c>
      <c r="AN250" s="5124">
        <f t="shared" si="6"/>
        <v>49.828000000000003</v>
      </c>
      <c r="AO250" s="5125">
        <v>49.828000000000003</v>
      </c>
      <c r="AP250" s="5126">
        <f t="shared" si="7"/>
        <v>0</v>
      </c>
    </row>
    <row r="251" spans="1:42">
      <c r="A251" s="5121">
        <v>469</v>
      </c>
      <c r="B251" s="5122">
        <v>20</v>
      </c>
      <c r="C251" s="5123">
        <v>15.574999999999999</v>
      </c>
      <c r="D251" s="5123">
        <v>0</v>
      </c>
      <c r="E251" s="5123">
        <v>3.9969999999999999</v>
      </c>
      <c r="F251" s="5123">
        <v>0</v>
      </c>
      <c r="G251" s="5123">
        <v>0</v>
      </c>
      <c r="H251" s="5123">
        <v>18.210999999999999</v>
      </c>
      <c r="I251" s="5123">
        <v>0</v>
      </c>
      <c r="J251" s="5123">
        <v>0</v>
      </c>
      <c r="K251" s="5123">
        <v>0.58399999999999996</v>
      </c>
      <c r="L251" s="5123">
        <v>0</v>
      </c>
      <c r="M251" s="5123">
        <v>0</v>
      </c>
      <c r="N251" s="5123">
        <v>0</v>
      </c>
      <c r="O251" s="5123">
        <v>0</v>
      </c>
      <c r="P251" s="5123">
        <v>0</v>
      </c>
      <c r="Q251" s="5123">
        <v>0</v>
      </c>
      <c r="R251" s="5123">
        <v>0</v>
      </c>
      <c r="S251" s="5123">
        <v>0</v>
      </c>
      <c r="T251" s="5123">
        <v>0</v>
      </c>
      <c r="U251" s="5122">
        <v>20</v>
      </c>
      <c r="V251" s="5123">
        <v>14.843</v>
      </c>
      <c r="W251" s="5123">
        <v>0</v>
      </c>
      <c r="X251" s="5123">
        <v>4</v>
      </c>
      <c r="Y251" s="5123">
        <v>0</v>
      </c>
      <c r="Z251" s="5123">
        <v>0</v>
      </c>
      <c r="AA251" s="5123">
        <v>19.006</v>
      </c>
      <c r="AB251" s="5123">
        <v>0</v>
      </c>
      <c r="AC251" s="5123">
        <v>0</v>
      </c>
      <c r="AD251" s="5123">
        <v>1.9950000000000001</v>
      </c>
      <c r="AE251" s="5123">
        <v>0</v>
      </c>
      <c r="AF251" s="5123">
        <v>0</v>
      </c>
      <c r="AG251" s="5123">
        <v>0</v>
      </c>
      <c r="AH251" s="5123">
        <v>0</v>
      </c>
      <c r="AI251" s="5123">
        <v>0</v>
      </c>
      <c r="AJ251" s="5123">
        <v>0</v>
      </c>
      <c r="AK251" s="5123">
        <v>0</v>
      </c>
      <c r="AL251" s="5123">
        <v>0</v>
      </c>
      <c r="AM251" s="5123">
        <v>0</v>
      </c>
      <c r="AN251" s="5124">
        <f t="shared" si="6"/>
        <v>59.844000000000001</v>
      </c>
      <c r="AO251" s="5125">
        <v>59.844000000000001</v>
      </c>
      <c r="AP251" s="5126">
        <f t="shared" si="7"/>
        <v>0</v>
      </c>
    </row>
    <row r="252" spans="1:42">
      <c r="A252" s="5121">
        <v>470</v>
      </c>
      <c r="B252" s="5122">
        <v>20</v>
      </c>
      <c r="C252" s="5123">
        <v>15.340999999999999</v>
      </c>
      <c r="D252" s="5123">
        <v>0</v>
      </c>
      <c r="E252" s="5123">
        <v>5.4880000000000004</v>
      </c>
      <c r="F252" s="5123">
        <v>0</v>
      </c>
      <c r="G252" s="5123">
        <v>0</v>
      </c>
      <c r="H252" s="5123">
        <v>11.981999999999999</v>
      </c>
      <c r="I252" s="5123">
        <v>0</v>
      </c>
      <c r="J252" s="5123">
        <v>0</v>
      </c>
      <c r="K252" s="5123">
        <v>0</v>
      </c>
      <c r="L252" s="5123">
        <v>0</v>
      </c>
      <c r="M252" s="5123">
        <v>0</v>
      </c>
      <c r="N252" s="5123">
        <v>0</v>
      </c>
      <c r="O252" s="5123">
        <v>0</v>
      </c>
      <c r="P252" s="5123">
        <v>4.9880000000000004</v>
      </c>
      <c r="Q252" s="5123">
        <v>1.6719999999999999</v>
      </c>
      <c r="R252" s="5123">
        <v>0</v>
      </c>
      <c r="S252" s="5123">
        <v>0</v>
      </c>
      <c r="T252" s="5123">
        <v>0</v>
      </c>
      <c r="U252" s="5122">
        <v>20</v>
      </c>
      <c r="V252" s="5123">
        <v>20.73</v>
      </c>
      <c r="W252" s="5123">
        <v>0</v>
      </c>
      <c r="X252" s="5123">
        <v>4.5460000000000003</v>
      </c>
      <c r="Y252" s="5123">
        <v>0</v>
      </c>
      <c r="Z252" s="5123">
        <v>0</v>
      </c>
      <c r="AA252" s="5123">
        <v>15.125</v>
      </c>
      <c r="AB252" s="5123">
        <v>0</v>
      </c>
      <c r="AC252" s="5123">
        <v>0</v>
      </c>
      <c r="AD252" s="5123">
        <v>0</v>
      </c>
      <c r="AE252" s="5123">
        <v>0</v>
      </c>
      <c r="AF252" s="5123">
        <v>0</v>
      </c>
      <c r="AG252" s="5123">
        <v>0</v>
      </c>
      <c r="AH252" s="5123">
        <v>0</v>
      </c>
      <c r="AI252" s="5123">
        <v>5</v>
      </c>
      <c r="AJ252" s="5123">
        <v>1.8340000000000001</v>
      </c>
      <c r="AK252" s="5123">
        <v>0</v>
      </c>
      <c r="AL252" s="5123">
        <v>0</v>
      </c>
      <c r="AM252" s="5123">
        <v>0</v>
      </c>
      <c r="AN252" s="5124">
        <f t="shared" si="6"/>
        <v>67.234999999999999</v>
      </c>
      <c r="AO252" s="5125">
        <v>67.234999999999999</v>
      </c>
      <c r="AP252" s="5126">
        <f t="shared" si="7"/>
        <v>0</v>
      </c>
    </row>
    <row r="253" spans="1:42">
      <c r="A253" s="5121">
        <v>471</v>
      </c>
      <c r="B253" s="5122">
        <v>20</v>
      </c>
      <c r="C253" s="5127">
        <v>21.701000000000001</v>
      </c>
      <c r="D253" s="5123">
        <v>0</v>
      </c>
      <c r="E253" s="5123">
        <v>0</v>
      </c>
      <c r="F253" s="5123">
        <v>0</v>
      </c>
      <c r="G253" s="5123">
        <v>0</v>
      </c>
      <c r="H253" s="5123">
        <v>0</v>
      </c>
      <c r="I253" s="5123">
        <v>0</v>
      </c>
      <c r="J253" s="5123">
        <v>0</v>
      </c>
      <c r="K253" s="5123">
        <v>0</v>
      </c>
      <c r="L253" s="5123">
        <v>0</v>
      </c>
      <c r="M253" s="5123">
        <v>0</v>
      </c>
      <c r="N253" s="5123">
        <v>0</v>
      </c>
      <c r="O253" s="5123">
        <v>0</v>
      </c>
      <c r="P253" s="5123">
        <v>2</v>
      </c>
      <c r="Q253" s="5123">
        <v>0</v>
      </c>
      <c r="R253" s="5123">
        <v>0</v>
      </c>
      <c r="S253" s="5123">
        <v>0</v>
      </c>
      <c r="T253" s="5123">
        <v>0</v>
      </c>
      <c r="U253" s="5122">
        <v>20</v>
      </c>
      <c r="V253" s="5123">
        <v>26.977</v>
      </c>
      <c r="W253" s="5123">
        <v>0</v>
      </c>
      <c r="X253" s="5123">
        <v>5.0010000000000003</v>
      </c>
      <c r="Y253" s="5123">
        <v>0</v>
      </c>
      <c r="Z253" s="5123">
        <v>0</v>
      </c>
      <c r="AA253" s="5123">
        <v>0</v>
      </c>
      <c r="AB253" s="5123">
        <v>0</v>
      </c>
      <c r="AC253" s="5123">
        <v>0</v>
      </c>
      <c r="AD253" s="5123">
        <v>0</v>
      </c>
      <c r="AE253" s="5123">
        <v>0</v>
      </c>
      <c r="AF253" s="5123">
        <v>0</v>
      </c>
      <c r="AG253" s="5123">
        <v>0</v>
      </c>
      <c r="AH253" s="5123">
        <v>0</v>
      </c>
      <c r="AI253" s="5123">
        <v>2</v>
      </c>
      <c r="AJ253" s="5123">
        <v>0</v>
      </c>
      <c r="AK253" s="5123">
        <v>0</v>
      </c>
      <c r="AL253" s="5123">
        <v>0</v>
      </c>
      <c r="AM253" s="5123">
        <v>0</v>
      </c>
      <c r="AN253" s="5124">
        <f t="shared" si="6"/>
        <v>53.978000000000002</v>
      </c>
      <c r="AO253" s="5125">
        <v>53.978000000000002</v>
      </c>
      <c r="AP253" s="5126">
        <f t="shared" si="7"/>
        <v>0</v>
      </c>
    </row>
    <row r="254" spans="1:42">
      <c r="A254" s="5121">
        <v>473</v>
      </c>
      <c r="B254" s="5122">
        <v>20</v>
      </c>
      <c r="C254" s="5123">
        <v>16.702999999999999</v>
      </c>
      <c r="D254" s="5123">
        <v>0</v>
      </c>
      <c r="E254" s="5123">
        <v>3.996</v>
      </c>
      <c r="F254" s="5123">
        <v>0</v>
      </c>
      <c r="G254" s="5123">
        <v>0</v>
      </c>
      <c r="H254" s="5123">
        <v>6.4809999999999999</v>
      </c>
      <c r="I254" s="5123">
        <v>0</v>
      </c>
      <c r="J254" s="5123">
        <v>0</v>
      </c>
      <c r="K254" s="5123">
        <v>0</v>
      </c>
      <c r="L254" s="5123">
        <v>0</v>
      </c>
      <c r="M254" s="5123">
        <v>0</v>
      </c>
      <c r="N254" s="5123">
        <v>0</v>
      </c>
      <c r="O254" s="5123">
        <v>0</v>
      </c>
      <c r="P254" s="5123">
        <v>0</v>
      </c>
      <c r="Q254" s="5123">
        <v>0</v>
      </c>
      <c r="R254" s="5123">
        <v>0</v>
      </c>
      <c r="S254" s="5123">
        <v>0</v>
      </c>
      <c r="T254" s="5123">
        <v>0</v>
      </c>
      <c r="U254" s="5122">
        <v>20</v>
      </c>
      <c r="V254" s="5123">
        <v>21.635000000000002</v>
      </c>
      <c r="W254" s="5123">
        <v>0</v>
      </c>
      <c r="X254" s="5123">
        <v>0.439</v>
      </c>
      <c r="Y254" s="5123">
        <v>0</v>
      </c>
      <c r="Z254" s="5123">
        <v>0</v>
      </c>
      <c r="AA254" s="5123">
        <v>5.0910000000000002</v>
      </c>
      <c r="AB254" s="5123">
        <v>0</v>
      </c>
      <c r="AC254" s="5123">
        <v>0</v>
      </c>
      <c r="AD254" s="5123">
        <v>0</v>
      </c>
      <c r="AE254" s="5123">
        <v>0</v>
      </c>
      <c r="AF254" s="5123">
        <v>0</v>
      </c>
      <c r="AG254" s="5123">
        <v>0</v>
      </c>
      <c r="AH254" s="5123">
        <v>0</v>
      </c>
      <c r="AI254" s="5123">
        <v>0</v>
      </c>
      <c r="AJ254" s="5123">
        <v>0</v>
      </c>
      <c r="AK254" s="5123">
        <v>0</v>
      </c>
      <c r="AL254" s="5123">
        <v>0</v>
      </c>
      <c r="AM254" s="5123">
        <v>0</v>
      </c>
      <c r="AN254" s="5124">
        <f t="shared" si="6"/>
        <v>47.164999999999999</v>
      </c>
      <c r="AO254" s="5125">
        <v>47.164999999999999</v>
      </c>
      <c r="AP254" s="5126">
        <f t="shared" si="7"/>
        <v>0</v>
      </c>
    </row>
    <row r="255" spans="1:42">
      <c r="A255" s="5121">
        <v>474</v>
      </c>
      <c r="B255" s="5122">
        <v>20</v>
      </c>
      <c r="C255" s="5123">
        <v>19.768999999999998</v>
      </c>
      <c r="D255" s="5123">
        <v>0</v>
      </c>
      <c r="E255" s="5123">
        <v>4</v>
      </c>
      <c r="F255" s="5123">
        <v>0</v>
      </c>
      <c r="G255" s="5123">
        <v>0</v>
      </c>
      <c r="H255" s="5123">
        <v>0</v>
      </c>
      <c r="I255" s="5123">
        <v>0</v>
      </c>
      <c r="J255" s="5123">
        <v>0</v>
      </c>
      <c r="K255" s="5123">
        <v>0</v>
      </c>
      <c r="L255" s="5123">
        <v>0</v>
      </c>
      <c r="M255" s="5123">
        <v>0</v>
      </c>
      <c r="N255" s="5123">
        <v>0</v>
      </c>
      <c r="O255" s="5123">
        <v>0</v>
      </c>
      <c r="P255" s="5123">
        <v>2</v>
      </c>
      <c r="Q255" s="5123">
        <v>0</v>
      </c>
      <c r="R255" s="5123">
        <v>0</v>
      </c>
      <c r="S255" s="5123">
        <v>0</v>
      </c>
      <c r="T255" s="5123">
        <v>0</v>
      </c>
      <c r="U255" s="5122">
        <v>20</v>
      </c>
      <c r="V255" s="5123">
        <v>18.635999999999999</v>
      </c>
      <c r="W255" s="5123">
        <v>0</v>
      </c>
      <c r="X255" s="5123">
        <v>6</v>
      </c>
      <c r="Y255" s="5123">
        <v>0</v>
      </c>
      <c r="Z255" s="5123">
        <v>0</v>
      </c>
      <c r="AA255" s="5123">
        <v>0</v>
      </c>
      <c r="AB255" s="5123">
        <v>0</v>
      </c>
      <c r="AC255" s="5123">
        <v>0</v>
      </c>
      <c r="AD255" s="5123">
        <v>0</v>
      </c>
      <c r="AE255" s="5123">
        <v>0</v>
      </c>
      <c r="AF255" s="5123">
        <v>0</v>
      </c>
      <c r="AG255" s="5123">
        <v>0</v>
      </c>
      <c r="AH255" s="5123">
        <v>0</v>
      </c>
      <c r="AI255" s="5123">
        <v>2</v>
      </c>
      <c r="AJ255" s="5123">
        <v>0</v>
      </c>
      <c r="AK255" s="5123">
        <v>0</v>
      </c>
      <c r="AL255" s="5123">
        <v>0</v>
      </c>
      <c r="AM255" s="5123">
        <v>0</v>
      </c>
      <c r="AN255" s="5124">
        <f t="shared" si="6"/>
        <v>46.636000000000003</v>
      </c>
      <c r="AO255" s="5125">
        <v>46.636000000000003</v>
      </c>
      <c r="AP255" s="5126">
        <f t="shared" si="7"/>
        <v>0</v>
      </c>
    </row>
    <row r="256" spans="1:42">
      <c r="A256" s="5121">
        <v>475</v>
      </c>
      <c r="B256" s="5122">
        <v>20</v>
      </c>
      <c r="C256" s="5123">
        <v>14.659000000000001</v>
      </c>
      <c r="D256" s="5123">
        <v>0</v>
      </c>
      <c r="E256" s="5123">
        <v>4</v>
      </c>
      <c r="F256" s="5123">
        <v>0</v>
      </c>
      <c r="G256" s="5123">
        <v>0</v>
      </c>
      <c r="H256" s="5123">
        <v>4.8659999999999997</v>
      </c>
      <c r="I256" s="5123">
        <v>0</v>
      </c>
      <c r="J256" s="5123">
        <v>0</v>
      </c>
      <c r="K256" s="5123">
        <v>0</v>
      </c>
      <c r="L256" s="5123">
        <v>0</v>
      </c>
      <c r="M256" s="5123">
        <v>0</v>
      </c>
      <c r="N256" s="5123">
        <v>0</v>
      </c>
      <c r="O256" s="5123">
        <v>0</v>
      </c>
      <c r="P256" s="5123">
        <v>0</v>
      </c>
      <c r="Q256" s="5123">
        <v>0</v>
      </c>
      <c r="R256" s="5123">
        <v>0</v>
      </c>
      <c r="S256" s="5123">
        <v>0</v>
      </c>
      <c r="T256" s="5123">
        <v>0</v>
      </c>
      <c r="U256" s="5122">
        <v>20</v>
      </c>
      <c r="V256" s="5123">
        <v>16.923999999999999</v>
      </c>
      <c r="W256" s="5123">
        <v>0</v>
      </c>
      <c r="X256" s="5123">
        <v>1.8260000000000001</v>
      </c>
      <c r="Y256" s="5123">
        <v>0</v>
      </c>
      <c r="Z256" s="5123">
        <v>0</v>
      </c>
      <c r="AA256" s="5123">
        <v>4.7750000000000004</v>
      </c>
      <c r="AB256" s="5123">
        <v>0</v>
      </c>
      <c r="AC256" s="5123">
        <v>0</v>
      </c>
      <c r="AD256" s="5123">
        <v>0</v>
      </c>
      <c r="AE256" s="5123">
        <v>0</v>
      </c>
      <c r="AF256" s="5123">
        <v>0</v>
      </c>
      <c r="AG256" s="5123">
        <v>0</v>
      </c>
      <c r="AH256" s="5123">
        <v>0</v>
      </c>
      <c r="AI256" s="5123">
        <v>0</v>
      </c>
      <c r="AJ256" s="5123">
        <v>0</v>
      </c>
      <c r="AK256" s="5123">
        <v>0</v>
      </c>
      <c r="AL256" s="5123">
        <v>0</v>
      </c>
      <c r="AM256" s="5123">
        <v>0</v>
      </c>
      <c r="AN256" s="5124">
        <f t="shared" si="6"/>
        <v>43.524999999999999</v>
      </c>
      <c r="AO256" s="5125">
        <v>43.524999999999999</v>
      </c>
      <c r="AP256" s="5126">
        <f t="shared" si="7"/>
        <v>0</v>
      </c>
    </row>
    <row r="257" spans="1:42">
      <c r="A257" s="5121">
        <v>476</v>
      </c>
      <c r="B257" s="5122">
        <v>20</v>
      </c>
      <c r="C257" s="5123">
        <v>19.356999999999999</v>
      </c>
      <c r="D257" s="5123">
        <v>0</v>
      </c>
      <c r="E257" s="5123">
        <v>1.097</v>
      </c>
      <c r="F257" s="5123">
        <v>0</v>
      </c>
      <c r="G257" s="5123">
        <v>0</v>
      </c>
      <c r="H257" s="5123">
        <v>19.260999999999999</v>
      </c>
      <c r="I257" s="5123">
        <v>0</v>
      </c>
      <c r="J257" s="5123">
        <v>0</v>
      </c>
      <c r="K257" s="5123">
        <v>0</v>
      </c>
      <c r="L257" s="5123">
        <v>0</v>
      </c>
      <c r="M257" s="5123">
        <v>0</v>
      </c>
      <c r="N257" s="5123">
        <v>0</v>
      </c>
      <c r="O257" s="5123">
        <v>0</v>
      </c>
      <c r="P257" s="5123">
        <v>3.202</v>
      </c>
      <c r="Q257" s="5123">
        <v>0</v>
      </c>
      <c r="R257" s="5123">
        <v>0</v>
      </c>
      <c r="S257" s="5123">
        <v>0</v>
      </c>
      <c r="T257" s="5123">
        <v>0</v>
      </c>
      <c r="U257" s="5122">
        <v>20</v>
      </c>
      <c r="V257" s="5123">
        <v>17.619</v>
      </c>
      <c r="W257" s="5123">
        <v>0</v>
      </c>
      <c r="X257" s="5123">
        <v>1.9870000000000001</v>
      </c>
      <c r="Y257" s="5123">
        <v>0</v>
      </c>
      <c r="Z257" s="5123">
        <v>0</v>
      </c>
      <c r="AA257" s="5123">
        <v>18.218</v>
      </c>
      <c r="AB257" s="5123">
        <v>0</v>
      </c>
      <c r="AC257" s="5123">
        <v>0</v>
      </c>
      <c r="AD257" s="5123">
        <v>0</v>
      </c>
      <c r="AE257" s="5123">
        <v>0</v>
      </c>
      <c r="AF257" s="5123">
        <v>0</v>
      </c>
      <c r="AG257" s="5123">
        <v>0</v>
      </c>
      <c r="AH257" s="5123">
        <v>0</v>
      </c>
      <c r="AI257" s="5123">
        <v>3.19</v>
      </c>
      <c r="AJ257" s="5123">
        <v>0</v>
      </c>
      <c r="AK257" s="5123">
        <v>0</v>
      </c>
      <c r="AL257" s="5123">
        <v>0</v>
      </c>
      <c r="AM257" s="5123">
        <v>0</v>
      </c>
      <c r="AN257" s="5124">
        <f t="shared" si="6"/>
        <v>61.014000000000003</v>
      </c>
      <c r="AO257" s="5125">
        <v>61.014000000000003</v>
      </c>
      <c r="AP257" s="5126">
        <f t="shared" si="7"/>
        <v>0</v>
      </c>
    </row>
    <row r="258" spans="1:42">
      <c r="A258" s="5121">
        <v>477</v>
      </c>
      <c r="B258" s="5122">
        <v>20</v>
      </c>
      <c r="C258" s="5123">
        <v>23.727</v>
      </c>
      <c r="D258" s="5123">
        <v>0</v>
      </c>
      <c r="E258" s="5123">
        <v>6</v>
      </c>
      <c r="F258" s="5123">
        <v>0</v>
      </c>
      <c r="G258" s="5123">
        <v>0</v>
      </c>
      <c r="H258" s="5123">
        <v>0</v>
      </c>
      <c r="I258" s="5123">
        <v>0</v>
      </c>
      <c r="J258" s="5123">
        <v>0</v>
      </c>
      <c r="K258" s="5123">
        <v>0</v>
      </c>
      <c r="L258" s="5123">
        <v>0</v>
      </c>
      <c r="M258" s="5123">
        <v>0</v>
      </c>
      <c r="N258" s="5123">
        <v>0</v>
      </c>
      <c r="O258" s="5123">
        <v>0</v>
      </c>
      <c r="P258" s="5127">
        <v>2.5</v>
      </c>
      <c r="Q258" s="5123">
        <v>0.32700000000000001</v>
      </c>
      <c r="R258" s="5123">
        <v>0</v>
      </c>
      <c r="S258" s="5123">
        <v>0</v>
      </c>
      <c r="T258" s="5123">
        <v>0</v>
      </c>
      <c r="U258" s="5122">
        <v>20</v>
      </c>
      <c r="V258" s="5123">
        <v>25.635999999999999</v>
      </c>
      <c r="W258" s="5123">
        <v>0</v>
      </c>
      <c r="X258" s="5123">
        <v>5.9980000000000002</v>
      </c>
      <c r="Y258" s="5123">
        <v>0</v>
      </c>
      <c r="Z258" s="5123">
        <v>0</v>
      </c>
      <c r="AA258" s="5123">
        <v>0</v>
      </c>
      <c r="AB258" s="5123">
        <v>0</v>
      </c>
      <c r="AC258" s="5123">
        <v>0</v>
      </c>
      <c r="AD258" s="5123">
        <v>0</v>
      </c>
      <c r="AE258" s="5123">
        <v>0</v>
      </c>
      <c r="AF258" s="5123">
        <v>0</v>
      </c>
      <c r="AG258" s="5123">
        <v>0</v>
      </c>
      <c r="AH258" s="5123">
        <v>0</v>
      </c>
      <c r="AI258" s="5127">
        <v>2.5</v>
      </c>
      <c r="AJ258" s="5123">
        <v>0.371</v>
      </c>
      <c r="AK258" s="5123">
        <v>0</v>
      </c>
      <c r="AL258" s="5123">
        <v>0</v>
      </c>
      <c r="AM258" s="5123">
        <v>0</v>
      </c>
      <c r="AN258" s="5124">
        <f t="shared" si="6"/>
        <v>54.505000000000003</v>
      </c>
      <c r="AO258" s="5125">
        <v>54.505000000000003</v>
      </c>
      <c r="AP258" s="5126">
        <f t="shared" si="7"/>
        <v>0</v>
      </c>
    </row>
    <row r="259" spans="1:42">
      <c r="A259" s="5121">
        <v>479</v>
      </c>
      <c r="B259" s="5122">
        <v>20</v>
      </c>
      <c r="C259" s="5123">
        <v>14.657</v>
      </c>
      <c r="D259" s="5123">
        <v>0</v>
      </c>
      <c r="E259" s="5123">
        <v>0</v>
      </c>
      <c r="F259" s="5123">
        <v>0</v>
      </c>
      <c r="G259" s="5123">
        <v>0</v>
      </c>
      <c r="H259" s="5123">
        <v>0</v>
      </c>
      <c r="I259" s="5123">
        <v>0</v>
      </c>
      <c r="J259" s="5123">
        <v>0</v>
      </c>
      <c r="K259" s="5123">
        <v>0</v>
      </c>
      <c r="L259" s="5123">
        <v>0</v>
      </c>
      <c r="M259" s="5123">
        <v>0</v>
      </c>
      <c r="N259" s="5123">
        <v>0</v>
      </c>
      <c r="O259" s="5123">
        <v>0</v>
      </c>
      <c r="P259" s="5123">
        <v>0</v>
      </c>
      <c r="Q259" s="5123">
        <v>0</v>
      </c>
      <c r="R259" s="5123">
        <v>0</v>
      </c>
      <c r="S259" s="5123">
        <v>0</v>
      </c>
      <c r="T259" s="5123">
        <v>0</v>
      </c>
      <c r="U259" s="5122">
        <v>20</v>
      </c>
      <c r="V259" s="5123">
        <v>14.695</v>
      </c>
      <c r="W259" s="5123">
        <v>0</v>
      </c>
      <c r="X259" s="5123">
        <v>0</v>
      </c>
      <c r="Y259" s="5123">
        <v>0</v>
      </c>
      <c r="Z259" s="5123">
        <v>0</v>
      </c>
      <c r="AA259" s="5123">
        <v>0</v>
      </c>
      <c r="AB259" s="5123">
        <v>0</v>
      </c>
      <c r="AC259" s="5123">
        <v>0</v>
      </c>
      <c r="AD259" s="5123">
        <v>0</v>
      </c>
      <c r="AE259" s="5123">
        <v>0</v>
      </c>
      <c r="AF259" s="5123">
        <v>0</v>
      </c>
      <c r="AG259" s="5123">
        <v>0</v>
      </c>
      <c r="AH259" s="5123">
        <v>0</v>
      </c>
      <c r="AI259" s="5123">
        <v>0</v>
      </c>
      <c r="AJ259" s="5123">
        <v>0</v>
      </c>
      <c r="AK259" s="5123">
        <v>0</v>
      </c>
      <c r="AL259" s="5123">
        <v>0</v>
      </c>
      <c r="AM259" s="5123">
        <v>0</v>
      </c>
      <c r="AN259" s="5124">
        <f t="shared" si="6"/>
        <v>34.695</v>
      </c>
      <c r="AO259" s="5125">
        <v>34.695</v>
      </c>
      <c r="AP259" s="5126">
        <f t="shared" si="7"/>
        <v>0</v>
      </c>
    </row>
    <row r="260" spans="1:42">
      <c r="A260" s="5121">
        <v>480</v>
      </c>
      <c r="B260" s="5122">
        <v>20</v>
      </c>
      <c r="C260" s="5123">
        <v>18.466999999999999</v>
      </c>
      <c r="D260" s="5123">
        <v>0</v>
      </c>
      <c r="E260" s="5123">
        <v>0</v>
      </c>
      <c r="F260" s="5123">
        <v>0</v>
      </c>
      <c r="G260" s="5123">
        <v>0</v>
      </c>
      <c r="H260" s="5123">
        <v>13.03</v>
      </c>
      <c r="I260" s="5123">
        <v>0</v>
      </c>
      <c r="J260" s="5123">
        <v>0</v>
      </c>
      <c r="K260" s="5123">
        <v>0</v>
      </c>
      <c r="L260" s="5123">
        <v>0</v>
      </c>
      <c r="M260" s="5123">
        <v>0</v>
      </c>
      <c r="N260" s="5123">
        <v>0</v>
      </c>
      <c r="O260" s="5123">
        <v>0</v>
      </c>
      <c r="P260" s="5123">
        <v>0</v>
      </c>
      <c r="Q260" s="5123">
        <v>0</v>
      </c>
      <c r="R260" s="5123">
        <v>0</v>
      </c>
      <c r="S260" s="5123">
        <v>0</v>
      </c>
      <c r="T260" s="5123">
        <v>0</v>
      </c>
      <c r="U260" s="5122">
        <v>20</v>
      </c>
      <c r="V260" s="5123">
        <v>17.722999999999999</v>
      </c>
      <c r="W260" s="5123">
        <v>0</v>
      </c>
      <c r="X260" s="5123">
        <v>0</v>
      </c>
      <c r="Y260" s="5123">
        <v>0</v>
      </c>
      <c r="Z260" s="5123">
        <v>0</v>
      </c>
      <c r="AA260" s="5123">
        <v>12.497999999999999</v>
      </c>
      <c r="AB260" s="5123">
        <v>0</v>
      </c>
      <c r="AC260" s="5123">
        <v>0</v>
      </c>
      <c r="AD260" s="5123">
        <v>0</v>
      </c>
      <c r="AE260" s="5123">
        <v>0</v>
      </c>
      <c r="AF260" s="5123">
        <v>0</v>
      </c>
      <c r="AG260" s="5123">
        <v>0</v>
      </c>
      <c r="AH260" s="5123">
        <v>0</v>
      </c>
      <c r="AI260" s="5123">
        <v>0</v>
      </c>
      <c r="AJ260" s="5123">
        <v>0</v>
      </c>
      <c r="AK260" s="5123">
        <v>0</v>
      </c>
      <c r="AL260" s="5123">
        <v>0</v>
      </c>
      <c r="AM260" s="5123">
        <v>0</v>
      </c>
      <c r="AN260" s="5124">
        <f t="shared" ref="AN260:AN288" si="8">SUM(U260:AM260)</f>
        <v>50.220999999999997</v>
      </c>
      <c r="AO260" s="5125">
        <v>50.220999999999997</v>
      </c>
      <c r="AP260" s="5126">
        <f t="shared" ref="AP260:AP288" si="9">AN260-AO260</f>
        <v>0</v>
      </c>
    </row>
    <row r="261" spans="1:42">
      <c r="A261" s="5121">
        <v>481</v>
      </c>
      <c r="B261" s="5122">
        <v>20</v>
      </c>
      <c r="C261" s="5123">
        <v>20.713999999999999</v>
      </c>
      <c r="D261" s="5123">
        <v>0</v>
      </c>
      <c r="E261" s="5123">
        <v>4.8710000000000004</v>
      </c>
      <c r="F261" s="5123">
        <v>0</v>
      </c>
      <c r="G261" s="5123">
        <v>0</v>
      </c>
      <c r="H261" s="5123">
        <v>8.34</v>
      </c>
      <c r="I261" s="5123">
        <v>0</v>
      </c>
      <c r="J261" s="5123">
        <v>0</v>
      </c>
      <c r="K261" s="5123">
        <v>0</v>
      </c>
      <c r="L261" s="5123">
        <v>0</v>
      </c>
      <c r="M261" s="5123">
        <v>0</v>
      </c>
      <c r="N261" s="5123">
        <v>0</v>
      </c>
      <c r="O261" s="5123">
        <v>0</v>
      </c>
      <c r="P261" s="5123">
        <v>0</v>
      </c>
      <c r="Q261" s="5123">
        <v>0</v>
      </c>
      <c r="R261" s="5123">
        <v>0</v>
      </c>
      <c r="S261" s="5123">
        <v>0</v>
      </c>
      <c r="T261" s="5123">
        <v>0</v>
      </c>
      <c r="U261" s="5122">
        <v>20</v>
      </c>
      <c r="V261" s="5123">
        <v>23.701000000000001</v>
      </c>
      <c r="W261" s="5123">
        <v>0</v>
      </c>
      <c r="X261" s="5123">
        <v>3.9969999999999999</v>
      </c>
      <c r="Y261" s="5123">
        <v>0</v>
      </c>
      <c r="Z261" s="5123">
        <v>0</v>
      </c>
      <c r="AA261" s="5123">
        <v>8.968</v>
      </c>
      <c r="AB261" s="5123">
        <v>0</v>
      </c>
      <c r="AC261" s="5123">
        <v>0</v>
      </c>
      <c r="AD261" s="5123">
        <v>0</v>
      </c>
      <c r="AE261" s="5123">
        <v>0</v>
      </c>
      <c r="AF261" s="5123">
        <v>0</v>
      </c>
      <c r="AG261" s="5123">
        <v>0</v>
      </c>
      <c r="AH261" s="5123">
        <v>0</v>
      </c>
      <c r="AI261" s="5123">
        <v>0</v>
      </c>
      <c r="AJ261" s="5123">
        <v>0</v>
      </c>
      <c r="AK261" s="5123">
        <v>0</v>
      </c>
      <c r="AL261" s="5123">
        <v>0</v>
      </c>
      <c r="AM261" s="5123">
        <v>0</v>
      </c>
      <c r="AN261" s="5124">
        <f t="shared" si="8"/>
        <v>56.665999999999997</v>
      </c>
      <c r="AO261" s="5125">
        <v>56.665999999999997</v>
      </c>
      <c r="AP261" s="5126">
        <f t="shared" si="9"/>
        <v>0</v>
      </c>
    </row>
    <row r="262" spans="1:42">
      <c r="A262" s="5121">
        <v>482</v>
      </c>
      <c r="B262" s="5122">
        <v>20</v>
      </c>
      <c r="C262" s="5123">
        <v>12.13</v>
      </c>
      <c r="D262" s="5123">
        <v>0</v>
      </c>
      <c r="E262" s="5123">
        <v>8</v>
      </c>
      <c r="F262" s="5123">
        <v>0</v>
      </c>
      <c r="G262" s="5123">
        <v>0</v>
      </c>
      <c r="H262" s="5123">
        <v>18.577999999999999</v>
      </c>
      <c r="I262" s="5123">
        <v>0</v>
      </c>
      <c r="J262" s="5123">
        <v>0</v>
      </c>
      <c r="K262" s="5123">
        <v>0</v>
      </c>
      <c r="L262" s="5123">
        <v>0</v>
      </c>
      <c r="M262" s="5123">
        <v>0</v>
      </c>
      <c r="N262" s="5123">
        <v>0</v>
      </c>
      <c r="O262" s="5123">
        <v>0</v>
      </c>
      <c r="P262" s="5123">
        <v>1</v>
      </c>
      <c r="Q262" s="5123">
        <v>0</v>
      </c>
      <c r="R262" s="5123">
        <v>0</v>
      </c>
      <c r="S262" s="5123">
        <v>0</v>
      </c>
      <c r="T262" s="5123">
        <v>0</v>
      </c>
      <c r="U262" s="5122">
        <v>20</v>
      </c>
      <c r="V262" s="5123">
        <v>11.513</v>
      </c>
      <c r="W262" s="5123">
        <v>0</v>
      </c>
      <c r="X262" s="5123">
        <v>5.56</v>
      </c>
      <c r="Y262" s="5123">
        <v>0</v>
      </c>
      <c r="Z262" s="5123">
        <v>0</v>
      </c>
      <c r="AA262" s="5123">
        <v>26.952999999999999</v>
      </c>
      <c r="AB262" s="5123">
        <v>0</v>
      </c>
      <c r="AC262" s="5123">
        <v>0</v>
      </c>
      <c r="AD262" s="5123">
        <v>0</v>
      </c>
      <c r="AE262" s="5123">
        <v>0</v>
      </c>
      <c r="AF262" s="5123">
        <v>0</v>
      </c>
      <c r="AG262" s="5123">
        <v>0</v>
      </c>
      <c r="AH262" s="5123">
        <v>0</v>
      </c>
      <c r="AI262" s="5123">
        <v>0.999</v>
      </c>
      <c r="AJ262" s="5123">
        <v>0</v>
      </c>
      <c r="AK262" s="5123">
        <v>0</v>
      </c>
      <c r="AL262" s="5123">
        <v>0</v>
      </c>
      <c r="AM262" s="5123">
        <v>0</v>
      </c>
      <c r="AN262" s="5124">
        <f t="shared" si="8"/>
        <v>65.025000000000006</v>
      </c>
      <c r="AO262" s="5125">
        <v>65.025000000000006</v>
      </c>
      <c r="AP262" s="5126">
        <f t="shared" si="9"/>
        <v>0</v>
      </c>
    </row>
    <row r="263" spans="1:42">
      <c r="A263" s="5121">
        <v>483</v>
      </c>
      <c r="B263" s="5122">
        <v>20</v>
      </c>
      <c r="C263" s="5123">
        <v>16.344999999999999</v>
      </c>
      <c r="D263" s="5123">
        <v>0</v>
      </c>
      <c r="E263" s="5123">
        <v>8</v>
      </c>
      <c r="F263" s="5123">
        <v>0</v>
      </c>
      <c r="G263" s="5123">
        <v>0</v>
      </c>
      <c r="H263" s="5123">
        <v>0</v>
      </c>
      <c r="I263" s="5123">
        <v>0</v>
      </c>
      <c r="J263" s="5123">
        <v>0</v>
      </c>
      <c r="K263" s="5123">
        <v>0</v>
      </c>
      <c r="L263" s="5123">
        <v>0</v>
      </c>
      <c r="M263" s="5123">
        <v>0</v>
      </c>
      <c r="N263" s="5123">
        <v>0</v>
      </c>
      <c r="O263" s="5123">
        <v>0</v>
      </c>
      <c r="P263" s="5123">
        <v>2</v>
      </c>
      <c r="Q263" s="5123">
        <v>0</v>
      </c>
      <c r="R263" s="5123">
        <v>0</v>
      </c>
      <c r="S263" s="5123">
        <v>0</v>
      </c>
      <c r="T263" s="5123">
        <v>0</v>
      </c>
      <c r="U263" s="5122">
        <v>20</v>
      </c>
      <c r="V263" s="5123">
        <v>16.771000000000001</v>
      </c>
      <c r="W263" s="5123">
        <v>0</v>
      </c>
      <c r="X263" s="5123">
        <v>7.6059999999999999</v>
      </c>
      <c r="Y263" s="5123">
        <v>0</v>
      </c>
      <c r="Z263" s="5123">
        <v>0</v>
      </c>
      <c r="AA263" s="5123">
        <v>0</v>
      </c>
      <c r="AB263" s="5123">
        <v>0</v>
      </c>
      <c r="AC263" s="5123">
        <v>0</v>
      </c>
      <c r="AD263" s="5123">
        <v>0</v>
      </c>
      <c r="AE263" s="5123">
        <v>0</v>
      </c>
      <c r="AF263" s="5123">
        <v>0</v>
      </c>
      <c r="AG263" s="5123">
        <v>0</v>
      </c>
      <c r="AH263" s="5123">
        <v>0</v>
      </c>
      <c r="AI263" s="5123">
        <v>1.9019999999999999</v>
      </c>
      <c r="AJ263" s="5123">
        <v>0</v>
      </c>
      <c r="AK263" s="5123">
        <v>0</v>
      </c>
      <c r="AL263" s="5123">
        <v>0</v>
      </c>
      <c r="AM263" s="5123">
        <v>0</v>
      </c>
      <c r="AN263" s="5124">
        <f t="shared" si="8"/>
        <v>46.279000000000003</v>
      </c>
      <c r="AO263" s="5125">
        <v>46.279000000000003</v>
      </c>
      <c r="AP263" s="5126">
        <f t="shared" si="9"/>
        <v>0</v>
      </c>
    </row>
    <row r="264" spans="1:42">
      <c r="A264" s="5121">
        <v>484</v>
      </c>
      <c r="B264" s="5122">
        <v>20</v>
      </c>
      <c r="C264" s="5123">
        <v>20.965</v>
      </c>
      <c r="D264" s="5123">
        <v>0</v>
      </c>
      <c r="E264" s="5123">
        <v>2.3239999999999998</v>
      </c>
      <c r="F264" s="5123">
        <v>0</v>
      </c>
      <c r="G264" s="5123">
        <v>0</v>
      </c>
      <c r="H264" s="5123">
        <v>6.4889999999999999</v>
      </c>
      <c r="I264" s="5123">
        <v>0</v>
      </c>
      <c r="J264" s="5123">
        <v>0</v>
      </c>
      <c r="K264" s="5123">
        <v>0</v>
      </c>
      <c r="L264" s="5123">
        <v>0</v>
      </c>
      <c r="M264" s="5123">
        <v>0</v>
      </c>
      <c r="N264" s="5123">
        <v>0</v>
      </c>
      <c r="O264" s="5123">
        <v>0</v>
      </c>
      <c r="P264" s="5127">
        <v>1.5</v>
      </c>
      <c r="Q264" s="5127">
        <v>0</v>
      </c>
      <c r="R264" s="5123">
        <v>0</v>
      </c>
      <c r="S264" s="5123">
        <v>0</v>
      </c>
      <c r="T264" s="5123">
        <v>0</v>
      </c>
      <c r="U264" s="5122">
        <v>20</v>
      </c>
      <c r="V264" s="5123">
        <v>23.312999999999999</v>
      </c>
      <c r="W264" s="5123">
        <v>0</v>
      </c>
      <c r="X264" s="5123">
        <v>2.27</v>
      </c>
      <c r="Y264" s="5123">
        <v>0</v>
      </c>
      <c r="Z264" s="5123">
        <v>0</v>
      </c>
      <c r="AA264" s="5123">
        <v>6.33</v>
      </c>
      <c r="AB264" s="5123">
        <v>0</v>
      </c>
      <c r="AC264" s="5123">
        <v>0</v>
      </c>
      <c r="AD264" s="5123">
        <v>0</v>
      </c>
      <c r="AE264" s="5123">
        <v>0</v>
      </c>
      <c r="AF264" s="5123">
        <v>0</v>
      </c>
      <c r="AG264" s="5123">
        <v>0</v>
      </c>
      <c r="AH264" s="5123">
        <v>0</v>
      </c>
      <c r="AI264" s="5127">
        <v>1.5</v>
      </c>
      <c r="AJ264" s="5127">
        <v>0</v>
      </c>
      <c r="AK264" s="5123">
        <v>0</v>
      </c>
      <c r="AL264" s="5123">
        <v>0</v>
      </c>
      <c r="AM264" s="5123">
        <v>0</v>
      </c>
      <c r="AN264" s="5124">
        <f t="shared" si="8"/>
        <v>53.412999999999997</v>
      </c>
      <c r="AO264" s="5125">
        <v>53.412999999999997</v>
      </c>
      <c r="AP264" s="5126">
        <f t="shared" si="9"/>
        <v>0</v>
      </c>
    </row>
    <row r="265" spans="1:42">
      <c r="A265" s="5121">
        <v>487</v>
      </c>
      <c r="B265" s="5122">
        <v>20</v>
      </c>
      <c r="C265" s="5123">
        <v>18.388000000000002</v>
      </c>
      <c r="D265" s="5123">
        <v>0</v>
      </c>
      <c r="E265" s="5123">
        <v>0</v>
      </c>
      <c r="F265" s="5123">
        <v>0</v>
      </c>
      <c r="G265" s="5123">
        <v>0</v>
      </c>
      <c r="H265" s="5123">
        <v>26.221</v>
      </c>
      <c r="I265" s="5123">
        <v>0</v>
      </c>
      <c r="J265" s="5123">
        <v>0</v>
      </c>
      <c r="K265" s="5123">
        <v>0</v>
      </c>
      <c r="L265" s="5123">
        <v>0</v>
      </c>
      <c r="M265" s="5123">
        <v>0</v>
      </c>
      <c r="N265" s="5123">
        <v>0</v>
      </c>
      <c r="O265" s="5123">
        <v>0</v>
      </c>
      <c r="P265" s="5123">
        <v>3.1509999999999998</v>
      </c>
      <c r="Q265" s="5123">
        <v>0</v>
      </c>
      <c r="R265" s="5123">
        <v>0</v>
      </c>
      <c r="S265" s="5123">
        <v>0</v>
      </c>
      <c r="T265" s="5123">
        <v>0</v>
      </c>
      <c r="U265" s="5122">
        <v>20</v>
      </c>
      <c r="V265" s="5123">
        <v>23.23</v>
      </c>
      <c r="W265" s="5123">
        <v>0</v>
      </c>
      <c r="X265" s="5123">
        <v>0</v>
      </c>
      <c r="Y265" s="5123">
        <v>0</v>
      </c>
      <c r="Z265" s="5123">
        <v>0</v>
      </c>
      <c r="AA265" s="5123">
        <v>26.388999999999999</v>
      </c>
      <c r="AB265" s="5123">
        <v>0</v>
      </c>
      <c r="AC265" s="5123">
        <v>0</v>
      </c>
      <c r="AD265" s="5123">
        <v>0</v>
      </c>
      <c r="AE265" s="5123">
        <v>0</v>
      </c>
      <c r="AF265" s="5123">
        <v>0</v>
      </c>
      <c r="AG265" s="5123">
        <v>0</v>
      </c>
      <c r="AH265" s="5123">
        <v>0</v>
      </c>
      <c r="AI265" s="5123">
        <v>3.153</v>
      </c>
      <c r="AJ265" s="5123">
        <v>0</v>
      </c>
      <c r="AK265" s="5123">
        <v>0</v>
      </c>
      <c r="AL265" s="5123">
        <v>0</v>
      </c>
      <c r="AM265" s="5123">
        <v>0</v>
      </c>
      <c r="AN265" s="5124">
        <f t="shared" si="8"/>
        <v>72.772000000000006</v>
      </c>
      <c r="AO265" s="5125">
        <v>72.772000000000006</v>
      </c>
      <c r="AP265" s="5126">
        <f t="shared" si="9"/>
        <v>0</v>
      </c>
    </row>
    <row r="266" spans="1:42">
      <c r="A266" s="5121">
        <v>489</v>
      </c>
      <c r="B266" s="5122">
        <v>20</v>
      </c>
      <c r="C266" s="5123">
        <v>16.114000000000001</v>
      </c>
      <c r="D266" s="5123">
        <v>0</v>
      </c>
      <c r="E266" s="5123">
        <v>8</v>
      </c>
      <c r="F266" s="5123">
        <v>0</v>
      </c>
      <c r="G266" s="5123">
        <v>0</v>
      </c>
      <c r="H266" s="5123">
        <v>0</v>
      </c>
      <c r="I266" s="5123">
        <v>0</v>
      </c>
      <c r="J266" s="5123">
        <v>0.73899999999999999</v>
      </c>
      <c r="K266" s="5123">
        <v>0</v>
      </c>
      <c r="L266" s="5123">
        <v>0</v>
      </c>
      <c r="M266" s="5123">
        <v>0</v>
      </c>
      <c r="N266" s="5123">
        <v>0</v>
      </c>
      <c r="O266" s="5123">
        <v>0</v>
      </c>
      <c r="P266" s="5123">
        <v>3</v>
      </c>
      <c r="Q266" s="5123">
        <v>0.877</v>
      </c>
      <c r="R266" s="5123">
        <v>0</v>
      </c>
      <c r="S266" s="5123">
        <v>1.3879999999999999</v>
      </c>
      <c r="T266" s="5123">
        <v>0</v>
      </c>
      <c r="U266" s="5122">
        <v>20</v>
      </c>
      <c r="V266" s="5123">
        <v>16.119</v>
      </c>
      <c r="W266" s="5123">
        <v>0</v>
      </c>
      <c r="X266" s="5123">
        <v>8</v>
      </c>
      <c r="Y266" s="5123">
        <v>0</v>
      </c>
      <c r="Z266" s="5123">
        <v>0</v>
      </c>
      <c r="AA266" s="5123">
        <v>0</v>
      </c>
      <c r="AB266" s="5123">
        <v>0</v>
      </c>
      <c r="AC266" s="5123">
        <v>0</v>
      </c>
      <c r="AD266" s="5123">
        <v>0</v>
      </c>
      <c r="AE266" s="5123">
        <v>0</v>
      </c>
      <c r="AF266" s="5123">
        <v>0</v>
      </c>
      <c r="AG266" s="5123">
        <v>0</v>
      </c>
      <c r="AH266" s="5123">
        <v>0</v>
      </c>
      <c r="AI266" s="5123">
        <v>3</v>
      </c>
      <c r="AJ266" s="5123">
        <v>0.89600000000000002</v>
      </c>
      <c r="AK266" s="5123">
        <v>0</v>
      </c>
      <c r="AL266" s="5123">
        <v>1.4490000000000001</v>
      </c>
      <c r="AM266" s="5123">
        <v>0</v>
      </c>
      <c r="AN266" s="5124">
        <f t="shared" si="8"/>
        <v>49.463999999999999</v>
      </c>
      <c r="AO266" s="5125">
        <v>49.463999999999999</v>
      </c>
      <c r="AP266" s="5126">
        <f t="shared" si="9"/>
        <v>0</v>
      </c>
    </row>
    <row r="267" spans="1:42">
      <c r="A267" s="5121">
        <v>490</v>
      </c>
      <c r="B267" s="5122">
        <v>20</v>
      </c>
      <c r="C267" s="5123">
        <v>17.274999999999999</v>
      </c>
      <c r="D267" s="5123">
        <v>0</v>
      </c>
      <c r="E267" s="5123">
        <v>4</v>
      </c>
      <c r="F267" s="5123">
        <v>0</v>
      </c>
      <c r="G267" s="5123">
        <v>0</v>
      </c>
      <c r="H267" s="5123">
        <v>18.553000000000001</v>
      </c>
      <c r="I267" s="5123">
        <v>0</v>
      </c>
      <c r="J267" s="5123">
        <v>0</v>
      </c>
      <c r="K267" s="5123">
        <v>0</v>
      </c>
      <c r="L267" s="5123">
        <v>0</v>
      </c>
      <c r="M267" s="5123">
        <v>0</v>
      </c>
      <c r="N267" s="5123">
        <v>0</v>
      </c>
      <c r="O267" s="5123">
        <v>0</v>
      </c>
      <c r="P267" s="5123">
        <v>0</v>
      </c>
      <c r="Q267" s="5123">
        <v>0</v>
      </c>
      <c r="R267" s="5123">
        <v>0</v>
      </c>
      <c r="S267" s="5123">
        <v>0</v>
      </c>
      <c r="T267" s="5123">
        <v>0</v>
      </c>
      <c r="U267" s="5122">
        <v>20</v>
      </c>
      <c r="V267" s="5123">
        <v>20.617000000000001</v>
      </c>
      <c r="W267" s="5123">
        <v>0</v>
      </c>
      <c r="X267" s="5123">
        <v>4.0010000000000003</v>
      </c>
      <c r="Y267" s="5123">
        <v>0</v>
      </c>
      <c r="Z267" s="5123">
        <v>0</v>
      </c>
      <c r="AA267" s="5123">
        <v>16.216999999999999</v>
      </c>
      <c r="AB267" s="5123">
        <v>0</v>
      </c>
      <c r="AC267" s="5123">
        <v>0</v>
      </c>
      <c r="AD267" s="5123">
        <v>0</v>
      </c>
      <c r="AE267" s="5123">
        <v>0</v>
      </c>
      <c r="AF267" s="5123">
        <v>0</v>
      </c>
      <c r="AG267" s="5123">
        <v>0</v>
      </c>
      <c r="AH267" s="5123">
        <v>0</v>
      </c>
      <c r="AI267" s="5123">
        <v>0</v>
      </c>
      <c r="AJ267" s="5123">
        <v>0</v>
      </c>
      <c r="AK267" s="5123">
        <v>0</v>
      </c>
      <c r="AL267" s="5123">
        <v>0</v>
      </c>
      <c r="AM267" s="5123">
        <v>0</v>
      </c>
      <c r="AN267" s="5124">
        <f t="shared" si="8"/>
        <v>60.835000000000001</v>
      </c>
      <c r="AO267" s="5125">
        <v>60.835000000000001</v>
      </c>
      <c r="AP267" s="5126">
        <f t="shared" si="9"/>
        <v>0</v>
      </c>
    </row>
    <row r="268" spans="1:42">
      <c r="A268" s="5121">
        <v>491</v>
      </c>
      <c r="B268" s="5122">
        <v>20</v>
      </c>
      <c r="C268" s="5123">
        <v>11.872</v>
      </c>
      <c r="D268" s="5123">
        <v>0</v>
      </c>
      <c r="E268" s="5123">
        <v>8</v>
      </c>
      <c r="F268" s="5123">
        <v>0</v>
      </c>
      <c r="G268" s="5123">
        <v>0</v>
      </c>
      <c r="H268" s="5123">
        <v>28.289000000000001</v>
      </c>
      <c r="I268" s="5123">
        <v>0</v>
      </c>
      <c r="J268" s="5123">
        <v>0</v>
      </c>
      <c r="K268" s="5123">
        <v>0</v>
      </c>
      <c r="L268" s="5123">
        <v>0</v>
      </c>
      <c r="M268" s="5123">
        <v>0</v>
      </c>
      <c r="N268" s="5123">
        <v>0</v>
      </c>
      <c r="O268" s="5123">
        <v>0</v>
      </c>
      <c r="P268" s="5123">
        <v>0</v>
      </c>
      <c r="Q268" s="5123">
        <v>0</v>
      </c>
      <c r="R268" s="5123">
        <v>0</v>
      </c>
      <c r="S268" s="5123">
        <v>0</v>
      </c>
      <c r="T268" s="5123">
        <v>0</v>
      </c>
      <c r="U268" s="5122">
        <v>20</v>
      </c>
      <c r="V268" s="5123">
        <v>16.376000000000001</v>
      </c>
      <c r="W268" s="5123">
        <v>0</v>
      </c>
      <c r="X268" s="5123">
        <v>7.9980000000000002</v>
      </c>
      <c r="Y268" s="5123">
        <v>0</v>
      </c>
      <c r="Z268" s="5123">
        <v>0</v>
      </c>
      <c r="AA268" s="5123">
        <v>28.887</v>
      </c>
      <c r="AB268" s="5123">
        <v>0</v>
      </c>
      <c r="AC268" s="5123">
        <v>0</v>
      </c>
      <c r="AD268" s="5123">
        <v>0</v>
      </c>
      <c r="AE268" s="5123">
        <v>0</v>
      </c>
      <c r="AF268" s="5123">
        <v>0</v>
      </c>
      <c r="AG268" s="5123">
        <v>0</v>
      </c>
      <c r="AH268" s="5123">
        <v>0</v>
      </c>
      <c r="AI268" s="5123">
        <v>0</v>
      </c>
      <c r="AJ268" s="5123">
        <v>0</v>
      </c>
      <c r="AK268" s="5123">
        <v>0</v>
      </c>
      <c r="AL268" s="5123">
        <v>0</v>
      </c>
      <c r="AM268" s="5123">
        <v>0</v>
      </c>
      <c r="AN268" s="5124">
        <f t="shared" si="8"/>
        <v>73.260999999999996</v>
      </c>
      <c r="AO268" s="5125">
        <v>73.260999999999996</v>
      </c>
      <c r="AP268" s="5126">
        <f t="shared" si="9"/>
        <v>0</v>
      </c>
    </row>
    <row r="269" spans="1:42">
      <c r="A269" s="5121">
        <v>492</v>
      </c>
      <c r="B269" s="5122">
        <v>20</v>
      </c>
      <c r="C269" s="5123">
        <v>21.83</v>
      </c>
      <c r="D269" s="5123">
        <v>0</v>
      </c>
      <c r="E269" s="5123">
        <v>3.996</v>
      </c>
      <c r="F269" s="5123">
        <v>0</v>
      </c>
      <c r="G269" s="5123">
        <v>0</v>
      </c>
      <c r="H269" s="5123">
        <v>14.161</v>
      </c>
      <c r="I269" s="5123">
        <v>0</v>
      </c>
      <c r="J269" s="5123">
        <v>0</v>
      </c>
      <c r="K269" s="5123">
        <v>0</v>
      </c>
      <c r="L269" s="5123">
        <v>0</v>
      </c>
      <c r="M269" s="5123">
        <v>0</v>
      </c>
      <c r="N269" s="5123">
        <v>0</v>
      </c>
      <c r="O269" s="5123">
        <v>0</v>
      </c>
      <c r="P269" s="5123">
        <v>0</v>
      </c>
      <c r="Q269" s="5123">
        <v>0</v>
      </c>
      <c r="R269" s="5123">
        <v>0</v>
      </c>
      <c r="S269" s="5123">
        <v>0</v>
      </c>
      <c r="T269" s="5123">
        <v>0</v>
      </c>
      <c r="U269" s="5122">
        <v>20</v>
      </c>
      <c r="V269" s="5123">
        <v>20.646000000000001</v>
      </c>
      <c r="W269" s="5123">
        <v>0</v>
      </c>
      <c r="X269" s="5123">
        <v>4</v>
      </c>
      <c r="Y269" s="5123">
        <v>0</v>
      </c>
      <c r="Z269" s="5123">
        <v>0</v>
      </c>
      <c r="AA269" s="5123">
        <v>14.192</v>
      </c>
      <c r="AB269" s="5123">
        <v>0</v>
      </c>
      <c r="AC269" s="5123">
        <v>0</v>
      </c>
      <c r="AD269" s="5123">
        <v>0</v>
      </c>
      <c r="AE269" s="5123">
        <v>0</v>
      </c>
      <c r="AF269" s="5123">
        <v>0</v>
      </c>
      <c r="AG269" s="5123">
        <v>0</v>
      </c>
      <c r="AH269" s="5123">
        <v>0</v>
      </c>
      <c r="AI269" s="5123">
        <v>0</v>
      </c>
      <c r="AJ269" s="5123">
        <v>0</v>
      </c>
      <c r="AK269" s="5123">
        <v>0</v>
      </c>
      <c r="AL269" s="5123">
        <v>0</v>
      </c>
      <c r="AM269" s="5123">
        <v>0</v>
      </c>
      <c r="AN269" s="5124">
        <f t="shared" si="8"/>
        <v>58.838000000000001</v>
      </c>
      <c r="AO269" s="5125">
        <v>58.838000000000001</v>
      </c>
      <c r="AP269" s="5126">
        <f t="shared" si="9"/>
        <v>0</v>
      </c>
    </row>
    <row r="270" spans="1:42">
      <c r="A270" s="5121">
        <v>493</v>
      </c>
      <c r="B270" s="5122">
        <v>20</v>
      </c>
      <c r="C270" s="5123">
        <v>16.064</v>
      </c>
      <c r="D270" s="5123">
        <v>0</v>
      </c>
      <c r="E270" s="5123">
        <v>3.9929999999999999</v>
      </c>
      <c r="F270" s="5123">
        <v>0</v>
      </c>
      <c r="G270" s="5123">
        <v>0</v>
      </c>
      <c r="H270" s="5123">
        <v>0</v>
      </c>
      <c r="I270" s="5123">
        <v>0</v>
      </c>
      <c r="J270" s="5123">
        <v>0</v>
      </c>
      <c r="K270" s="5123">
        <v>0</v>
      </c>
      <c r="L270" s="5123">
        <v>0</v>
      </c>
      <c r="M270" s="5123">
        <v>0</v>
      </c>
      <c r="N270" s="5123">
        <v>0</v>
      </c>
      <c r="O270" s="5123">
        <v>0</v>
      </c>
      <c r="P270" s="5123">
        <v>0</v>
      </c>
      <c r="Q270" s="5123">
        <v>0</v>
      </c>
      <c r="R270" s="5123">
        <v>0</v>
      </c>
      <c r="S270" s="5123">
        <v>0</v>
      </c>
      <c r="T270" s="5123">
        <v>0</v>
      </c>
      <c r="U270" s="5122">
        <v>20</v>
      </c>
      <c r="V270" s="5123">
        <v>19.811</v>
      </c>
      <c r="W270" s="5123">
        <v>0</v>
      </c>
      <c r="X270" s="5123">
        <v>3.9980000000000002</v>
      </c>
      <c r="Y270" s="5123">
        <v>0</v>
      </c>
      <c r="Z270" s="5123">
        <v>0</v>
      </c>
      <c r="AA270" s="5123">
        <v>0</v>
      </c>
      <c r="AB270" s="5123">
        <v>0</v>
      </c>
      <c r="AC270" s="5123">
        <v>0</v>
      </c>
      <c r="AD270" s="5123">
        <v>0</v>
      </c>
      <c r="AE270" s="5123">
        <v>0</v>
      </c>
      <c r="AF270" s="5123">
        <v>0</v>
      </c>
      <c r="AG270" s="5123">
        <v>0</v>
      </c>
      <c r="AH270" s="5123">
        <v>0</v>
      </c>
      <c r="AI270" s="5123">
        <v>0</v>
      </c>
      <c r="AJ270" s="5123">
        <v>0</v>
      </c>
      <c r="AK270" s="5123">
        <v>0</v>
      </c>
      <c r="AL270" s="5123">
        <v>0</v>
      </c>
      <c r="AM270" s="5123">
        <v>0</v>
      </c>
      <c r="AN270" s="5124">
        <f t="shared" si="8"/>
        <v>43.808999999999997</v>
      </c>
      <c r="AO270" s="5125">
        <v>43.808999999999997</v>
      </c>
      <c r="AP270" s="5126">
        <f t="shared" si="9"/>
        <v>0</v>
      </c>
    </row>
    <row r="271" spans="1:42">
      <c r="A271" s="5121">
        <v>494</v>
      </c>
      <c r="B271" s="5122">
        <v>20</v>
      </c>
      <c r="C271" s="5123">
        <v>21.268999999999998</v>
      </c>
      <c r="D271" s="5123">
        <v>0</v>
      </c>
      <c r="E271" s="5123">
        <v>3.919</v>
      </c>
      <c r="F271" s="5123">
        <v>0</v>
      </c>
      <c r="G271" s="5123">
        <v>0</v>
      </c>
      <c r="H271" s="5123">
        <v>13.73</v>
      </c>
      <c r="I271" s="5123">
        <v>0</v>
      </c>
      <c r="J271" s="5123">
        <v>0</v>
      </c>
      <c r="K271" s="5123">
        <v>0</v>
      </c>
      <c r="L271" s="5123">
        <v>0</v>
      </c>
      <c r="M271" s="5123">
        <v>0</v>
      </c>
      <c r="N271" s="5123">
        <v>0</v>
      </c>
      <c r="O271" s="5123">
        <v>0</v>
      </c>
      <c r="P271" s="5123">
        <v>0</v>
      </c>
      <c r="Q271" s="5123">
        <v>0</v>
      </c>
      <c r="R271" s="5123">
        <v>0</v>
      </c>
      <c r="S271" s="5123">
        <v>0</v>
      </c>
      <c r="T271" s="5123">
        <v>0</v>
      </c>
      <c r="U271" s="5122">
        <v>20</v>
      </c>
      <c r="V271" s="5123">
        <v>19.213000000000001</v>
      </c>
      <c r="W271" s="5123">
        <v>0</v>
      </c>
      <c r="X271" s="5123">
        <v>6.0010000000000003</v>
      </c>
      <c r="Y271" s="5123">
        <v>0</v>
      </c>
      <c r="Z271" s="5123">
        <v>0</v>
      </c>
      <c r="AA271" s="5123">
        <v>12.949</v>
      </c>
      <c r="AB271" s="5123">
        <v>0</v>
      </c>
      <c r="AC271" s="5123">
        <v>0</v>
      </c>
      <c r="AD271" s="5123">
        <v>0</v>
      </c>
      <c r="AE271" s="5123">
        <v>0</v>
      </c>
      <c r="AF271" s="5123">
        <v>0</v>
      </c>
      <c r="AG271" s="5123">
        <v>0</v>
      </c>
      <c r="AH271" s="5123">
        <v>0</v>
      </c>
      <c r="AI271" s="5123">
        <v>0</v>
      </c>
      <c r="AJ271" s="5123">
        <v>0</v>
      </c>
      <c r="AK271" s="5123">
        <v>0</v>
      </c>
      <c r="AL271" s="5123">
        <v>0</v>
      </c>
      <c r="AM271" s="5123">
        <v>0</v>
      </c>
      <c r="AN271" s="5124">
        <f t="shared" si="8"/>
        <v>58.162999999999997</v>
      </c>
      <c r="AO271" s="5125">
        <v>58.162999999999997</v>
      </c>
      <c r="AP271" s="5126">
        <f t="shared" si="9"/>
        <v>0</v>
      </c>
    </row>
    <row r="272" spans="1:42">
      <c r="A272" s="5121">
        <v>495</v>
      </c>
      <c r="B272" s="5122">
        <v>20</v>
      </c>
      <c r="C272" s="5123">
        <v>18.995000000000001</v>
      </c>
      <c r="D272" s="5123">
        <v>0</v>
      </c>
      <c r="E272" s="5123">
        <v>7.9980000000000002</v>
      </c>
      <c r="F272" s="5123">
        <v>0</v>
      </c>
      <c r="G272" s="5123">
        <v>0</v>
      </c>
      <c r="H272" s="5123">
        <v>0</v>
      </c>
      <c r="I272" s="5123">
        <v>0</v>
      </c>
      <c r="J272" s="5123">
        <v>0</v>
      </c>
      <c r="K272" s="5123">
        <v>0</v>
      </c>
      <c r="L272" s="5123">
        <v>0</v>
      </c>
      <c r="M272" s="5123">
        <v>0</v>
      </c>
      <c r="N272" s="5123">
        <v>0</v>
      </c>
      <c r="O272" s="5123">
        <v>0</v>
      </c>
      <c r="P272" s="5123">
        <v>2</v>
      </c>
      <c r="Q272" s="5123">
        <v>0.5</v>
      </c>
      <c r="R272" s="5123">
        <v>0</v>
      </c>
      <c r="S272" s="5123">
        <v>0</v>
      </c>
      <c r="T272" s="5123">
        <v>0</v>
      </c>
      <c r="U272" s="5122">
        <v>20</v>
      </c>
      <c r="V272" s="5123">
        <v>17.986000000000001</v>
      </c>
      <c r="W272" s="5123">
        <v>0</v>
      </c>
      <c r="X272" s="5123">
        <v>1.0009999999999999</v>
      </c>
      <c r="Y272" s="5123">
        <v>0</v>
      </c>
      <c r="Z272" s="5123">
        <v>0</v>
      </c>
      <c r="AA272" s="5123">
        <v>18.902999999999999</v>
      </c>
      <c r="AB272" s="5123">
        <v>0</v>
      </c>
      <c r="AC272" s="5123">
        <v>0</v>
      </c>
      <c r="AD272" s="5123">
        <v>0</v>
      </c>
      <c r="AE272" s="5123">
        <v>0</v>
      </c>
      <c r="AF272" s="5123">
        <v>0</v>
      </c>
      <c r="AG272" s="5123">
        <v>0</v>
      </c>
      <c r="AH272" s="5123">
        <v>0</v>
      </c>
      <c r="AI272" s="5123">
        <v>2</v>
      </c>
      <c r="AJ272" s="5123">
        <v>0.5</v>
      </c>
      <c r="AK272" s="5123">
        <v>0</v>
      </c>
      <c r="AL272" s="5123">
        <v>0</v>
      </c>
      <c r="AM272" s="5123">
        <v>0</v>
      </c>
      <c r="AN272" s="5124">
        <f t="shared" si="8"/>
        <v>60.39</v>
      </c>
      <c r="AO272" s="5125">
        <v>60.39</v>
      </c>
      <c r="AP272" s="5126">
        <f t="shared" si="9"/>
        <v>0</v>
      </c>
    </row>
    <row r="273" spans="1:42">
      <c r="A273" s="5121">
        <v>496</v>
      </c>
      <c r="B273" s="5122">
        <v>20</v>
      </c>
      <c r="C273" s="5123">
        <v>19.315999999999999</v>
      </c>
      <c r="D273" s="5123">
        <v>0</v>
      </c>
      <c r="E273" s="5123">
        <v>6.9939999999999998</v>
      </c>
      <c r="F273" s="5123">
        <v>0</v>
      </c>
      <c r="G273" s="5123">
        <v>0</v>
      </c>
      <c r="H273" s="5123">
        <v>0</v>
      </c>
      <c r="I273" s="5123">
        <v>0</v>
      </c>
      <c r="J273" s="5123">
        <v>0</v>
      </c>
      <c r="K273" s="5123">
        <v>0</v>
      </c>
      <c r="L273" s="5123">
        <v>0</v>
      </c>
      <c r="M273" s="5123">
        <v>0</v>
      </c>
      <c r="N273" s="5123">
        <v>0</v>
      </c>
      <c r="O273" s="5123">
        <v>0</v>
      </c>
      <c r="P273" s="5123">
        <v>0</v>
      </c>
      <c r="Q273" s="5123">
        <v>0</v>
      </c>
      <c r="R273" s="5123">
        <v>0</v>
      </c>
      <c r="S273" s="5123">
        <v>0</v>
      </c>
      <c r="T273" s="5123">
        <v>0</v>
      </c>
      <c r="U273" s="5122">
        <v>20</v>
      </c>
      <c r="V273" s="5123">
        <v>17.692</v>
      </c>
      <c r="W273" s="5123">
        <v>0</v>
      </c>
      <c r="X273" s="5123">
        <v>6.9980000000000002</v>
      </c>
      <c r="Y273" s="5123">
        <v>0</v>
      </c>
      <c r="Z273" s="5123">
        <v>0</v>
      </c>
      <c r="AA273" s="5123">
        <v>0</v>
      </c>
      <c r="AB273" s="5123">
        <v>0</v>
      </c>
      <c r="AC273" s="5123">
        <v>0</v>
      </c>
      <c r="AD273" s="5123">
        <v>0</v>
      </c>
      <c r="AE273" s="5123">
        <v>0</v>
      </c>
      <c r="AF273" s="5123">
        <v>0</v>
      </c>
      <c r="AG273" s="5123">
        <v>0</v>
      </c>
      <c r="AH273" s="5123">
        <v>0</v>
      </c>
      <c r="AI273" s="5123">
        <v>0</v>
      </c>
      <c r="AJ273" s="5123">
        <v>0</v>
      </c>
      <c r="AK273" s="5123">
        <v>0</v>
      </c>
      <c r="AL273" s="5123">
        <v>0</v>
      </c>
      <c r="AM273" s="5123">
        <v>0</v>
      </c>
      <c r="AN273" s="5124">
        <f t="shared" si="8"/>
        <v>44.69</v>
      </c>
      <c r="AO273" s="5125">
        <v>44.69</v>
      </c>
      <c r="AP273" s="5126">
        <f t="shared" si="9"/>
        <v>0</v>
      </c>
    </row>
    <row r="274" spans="1:42">
      <c r="A274" s="5121">
        <v>497</v>
      </c>
      <c r="B274" s="5122">
        <v>20</v>
      </c>
      <c r="C274" s="5123">
        <v>15.897</v>
      </c>
      <c r="D274" s="5123">
        <v>0.49399999999999999</v>
      </c>
      <c r="E274" s="5123">
        <v>7.9020000000000001</v>
      </c>
      <c r="F274" s="5123">
        <v>0</v>
      </c>
      <c r="G274" s="5123">
        <v>0</v>
      </c>
      <c r="H274" s="5123">
        <v>10.208</v>
      </c>
      <c r="I274" s="5123">
        <v>0</v>
      </c>
      <c r="J274" s="5123">
        <v>0</v>
      </c>
      <c r="K274" s="5123">
        <v>6.6000000000000003E-2</v>
      </c>
      <c r="L274" s="5123">
        <v>0</v>
      </c>
      <c r="M274" s="5123">
        <v>0</v>
      </c>
      <c r="N274" s="5123">
        <v>0</v>
      </c>
      <c r="O274" s="5123">
        <v>0</v>
      </c>
      <c r="P274" s="5123">
        <v>0</v>
      </c>
      <c r="Q274" s="5123">
        <v>0</v>
      </c>
      <c r="R274" s="5123">
        <v>0</v>
      </c>
      <c r="S274" s="5123">
        <v>0</v>
      </c>
      <c r="T274" s="5123">
        <v>1.1850000000000001</v>
      </c>
      <c r="U274" s="5122">
        <v>20</v>
      </c>
      <c r="V274" s="5123">
        <v>17.373000000000001</v>
      </c>
      <c r="W274" s="5123">
        <v>9.9000000000000005E-2</v>
      </c>
      <c r="X274" s="5123">
        <v>7.9039999999999999</v>
      </c>
      <c r="Y274" s="5123">
        <v>0</v>
      </c>
      <c r="Z274" s="5123">
        <v>0</v>
      </c>
      <c r="AA274" s="5123">
        <v>10.073</v>
      </c>
      <c r="AB274" s="5123">
        <v>0</v>
      </c>
      <c r="AC274" s="5123">
        <v>0</v>
      </c>
      <c r="AD274" s="5123">
        <v>1.0999999999999999E-2</v>
      </c>
      <c r="AE274" s="5123">
        <v>0</v>
      </c>
      <c r="AF274" s="5123">
        <v>0</v>
      </c>
      <c r="AG274" s="5123">
        <v>0</v>
      </c>
      <c r="AH274" s="5123">
        <v>0</v>
      </c>
      <c r="AI274" s="5123">
        <v>0</v>
      </c>
      <c r="AJ274" s="5123">
        <v>0</v>
      </c>
      <c r="AK274" s="5123">
        <v>0</v>
      </c>
      <c r="AL274" s="5123">
        <v>0</v>
      </c>
      <c r="AM274" s="5123">
        <v>1.446</v>
      </c>
      <c r="AN274" s="5124">
        <f t="shared" si="8"/>
        <v>56.905999999999999</v>
      </c>
      <c r="AO274" s="5125">
        <v>56.905999999999999</v>
      </c>
      <c r="AP274" s="5126">
        <f t="shared" si="9"/>
        <v>0</v>
      </c>
    </row>
    <row r="275" spans="1:42">
      <c r="A275" s="5121">
        <v>498</v>
      </c>
      <c r="B275" s="5122">
        <v>20</v>
      </c>
      <c r="C275" s="5123">
        <v>18.683</v>
      </c>
      <c r="D275" s="5123">
        <v>0</v>
      </c>
      <c r="E275" s="5123">
        <v>8</v>
      </c>
      <c r="F275" s="5123">
        <v>0</v>
      </c>
      <c r="G275" s="5123">
        <v>0</v>
      </c>
      <c r="H275" s="5123">
        <v>4.7569999999999997</v>
      </c>
      <c r="I275" s="5123">
        <v>0</v>
      </c>
      <c r="J275" s="5123">
        <v>0</v>
      </c>
      <c r="K275" s="5123">
        <v>0</v>
      </c>
      <c r="L275" s="5123">
        <v>0</v>
      </c>
      <c r="M275" s="5123">
        <v>0</v>
      </c>
      <c r="N275" s="5123">
        <v>0</v>
      </c>
      <c r="O275" s="5123">
        <v>0</v>
      </c>
      <c r="P275" s="5123">
        <v>0</v>
      </c>
      <c r="Q275" s="5123">
        <v>0</v>
      </c>
      <c r="R275" s="5123">
        <v>0</v>
      </c>
      <c r="S275" s="5123">
        <v>0</v>
      </c>
      <c r="T275" s="5123">
        <v>0</v>
      </c>
      <c r="U275" s="5122">
        <v>20</v>
      </c>
      <c r="V275" s="5123">
        <v>23.350999999999999</v>
      </c>
      <c r="W275" s="5123">
        <v>0</v>
      </c>
      <c r="X275" s="5123">
        <v>8</v>
      </c>
      <c r="Y275" s="5123">
        <v>0</v>
      </c>
      <c r="Z275" s="5123">
        <v>0</v>
      </c>
      <c r="AA275" s="5123">
        <v>4.1230000000000002</v>
      </c>
      <c r="AB275" s="5123">
        <v>0</v>
      </c>
      <c r="AC275" s="5123">
        <v>0</v>
      </c>
      <c r="AD275" s="5123">
        <v>0</v>
      </c>
      <c r="AE275" s="5123">
        <v>0</v>
      </c>
      <c r="AF275" s="5123">
        <v>0</v>
      </c>
      <c r="AG275" s="5123">
        <v>0</v>
      </c>
      <c r="AH275" s="5123">
        <v>0</v>
      </c>
      <c r="AI275" s="5123">
        <v>0</v>
      </c>
      <c r="AJ275" s="5123">
        <v>0</v>
      </c>
      <c r="AK275" s="5123">
        <v>0</v>
      </c>
      <c r="AL275" s="5123">
        <v>0</v>
      </c>
      <c r="AM275" s="5123">
        <v>0</v>
      </c>
      <c r="AN275" s="5124">
        <f t="shared" si="8"/>
        <v>55.473999999999997</v>
      </c>
      <c r="AO275" s="5125">
        <v>55.473999999999997</v>
      </c>
      <c r="AP275" s="5126">
        <f t="shared" si="9"/>
        <v>0</v>
      </c>
    </row>
    <row r="276" spans="1:42">
      <c r="A276" s="5121">
        <v>499</v>
      </c>
      <c r="B276" s="5122">
        <v>20</v>
      </c>
      <c r="C276" s="5123">
        <v>16.997</v>
      </c>
      <c r="D276" s="5123">
        <v>0</v>
      </c>
      <c r="E276" s="5123">
        <v>0</v>
      </c>
      <c r="F276" s="5123">
        <v>0</v>
      </c>
      <c r="G276" s="5123">
        <v>0</v>
      </c>
      <c r="H276" s="5123">
        <v>0</v>
      </c>
      <c r="I276" s="5123">
        <v>14.013</v>
      </c>
      <c r="J276" s="5123">
        <v>0</v>
      </c>
      <c r="K276" s="5123">
        <v>0</v>
      </c>
      <c r="L276" s="5123">
        <v>0</v>
      </c>
      <c r="M276" s="5123">
        <v>0.999</v>
      </c>
      <c r="N276" s="5123">
        <v>0</v>
      </c>
      <c r="O276" s="5123">
        <v>0</v>
      </c>
      <c r="P276" s="5123">
        <v>0</v>
      </c>
      <c r="Q276" s="5123">
        <v>0</v>
      </c>
      <c r="R276" s="5123">
        <v>0</v>
      </c>
      <c r="S276" s="5123">
        <v>0</v>
      </c>
      <c r="T276" s="5123">
        <v>0</v>
      </c>
      <c r="U276" s="5122">
        <v>20</v>
      </c>
      <c r="V276" s="5123">
        <v>27.652000000000001</v>
      </c>
      <c r="W276" s="5123">
        <v>0</v>
      </c>
      <c r="X276" s="5123">
        <v>2.0009999999999999</v>
      </c>
      <c r="Y276" s="5123">
        <v>0</v>
      </c>
      <c r="Z276" s="5123">
        <v>0</v>
      </c>
      <c r="AA276" s="5123">
        <v>0</v>
      </c>
      <c r="AB276" s="5123">
        <v>10.012</v>
      </c>
      <c r="AC276" s="5123">
        <v>0</v>
      </c>
      <c r="AD276" s="5123">
        <v>0</v>
      </c>
      <c r="AE276" s="5123">
        <v>0</v>
      </c>
      <c r="AF276" s="5123">
        <v>1.0009999999999999</v>
      </c>
      <c r="AG276" s="5123">
        <v>0</v>
      </c>
      <c r="AH276" s="5123">
        <v>0</v>
      </c>
      <c r="AI276" s="5123">
        <v>0</v>
      </c>
      <c r="AJ276" s="5123">
        <v>0</v>
      </c>
      <c r="AK276" s="5123">
        <v>0</v>
      </c>
      <c r="AL276" s="5123">
        <v>0</v>
      </c>
      <c r="AM276" s="5123">
        <v>0</v>
      </c>
      <c r="AN276" s="5124">
        <f t="shared" si="8"/>
        <v>60.665999999999997</v>
      </c>
      <c r="AO276" s="5125">
        <v>60.665999999999997</v>
      </c>
      <c r="AP276" s="5126">
        <f t="shared" si="9"/>
        <v>0</v>
      </c>
    </row>
    <row r="277" spans="1:42">
      <c r="A277" s="5121">
        <v>500</v>
      </c>
      <c r="B277" s="5122">
        <v>20</v>
      </c>
      <c r="C277" s="5123">
        <v>13.396000000000001</v>
      </c>
      <c r="D277" s="5123">
        <v>0</v>
      </c>
      <c r="E277" s="5123">
        <v>7.9889999999999999</v>
      </c>
      <c r="F277" s="5123">
        <v>0</v>
      </c>
      <c r="G277" s="5123">
        <v>0</v>
      </c>
      <c r="H277" s="5123">
        <v>7.78</v>
      </c>
      <c r="I277" s="5123">
        <v>0</v>
      </c>
      <c r="J277" s="5123">
        <v>0</v>
      </c>
      <c r="K277" s="5123">
        <v>0</v>
      </c>
      <c r="L277" s="5123">
        <v>0</v>
      </c>
      <c r="M277" s="5123">
        <v>0</v>
      </c>
      <c r="N277" s="5123">
        <v>7.8620000000000001</v>
      </c>
      <c r="O277" s="5123">
        <v>1.0489999999999999</v>
      </c>
      <c r="P277" s="5123">
        <v>0</v>
      </c>
      <c r="Q277" s="5123">
        <v>0</v>
      </c>
      <c r="R277" s="5123">
        <v>0</v>
      </c>
      <c r="S277" s="5123">
        <v>0</v>
      </c>
      <c r="T277" s="5123">
        <v>0</v>
      </c>
      <c r="U277" s="5122">
        <v>20</v>
      </c>
      <c r="V277" s="5123">
        <v>13.487</v>
      </c>
      <c r="W277" s="5123">
        <v>0</v>
      </c>
      <c r="X277" s="5123">
        <v>8</v>
      </c>
      <c r="Y277" s="5123">
        <v>0</v>
      </c>
      <c r="Z277" s="5123">
        <v>0</v>
      </c>
      <c r="AA277" s="5123">
        <v>7.8220000000000001</v>
      </c>
      <c r="AB277" s="5123">
        <v>0</v>
      </c>
      <c r="AC277" s="5123">
        <v>0</v>
      </c>
      <c r="AD277" s="5123">
        <v>0</v>
      </c>
      <c r="AE277" s="5123">
        <v>0</v>
      </c>
      <c r="AF277" s="5123">
        <v>0</v>
      </c>
      <c r="AG277" s="5123">
        <v>9.6669999999999998</v>
      </c>
      <c r="AH277" s="5123">
        <v>1.3180000000000001</v>
      </c>
      <c r="AI277" s="5123">
        <v>0</v>
      </c>
      <c r="AJ277" s="5123">
        <v>0</v>
      </c>
      <c r="AK277" s="5123">
        <v>0</v>
      </c>
      <c r="AL277" s="5123">
        <v>0</v>
      </c>
      <c r="AM277" s="5123">
        <v>0</v>
      </c>
      <c r="AN277" s="5124">
        <f t="shared" si="8"/>
        <v>60.293999999999997</v>
      </c>
      <c r="AO277" s="5125">
        <v>60.293999999999997</v>
      </c>
      <c r="AP277" s="5126">
        <f t="shared" si="9"/>
        <v>0</v>
      </c>
    </row>
    <row r="278" spans="1:42">
      <c r="A278" s="5121">
        <v>501</v>
      </c>
      <c r="B278" s="5122">
        <v>20</v>
      </c>
      <c r="C278" s="5123">
        <v>17.065999999999999</v>
      </c>
      <c r="D278" s="5123">
        <v>0.151</v>
      </c>
      <c r="E278" s="5123">
        <v>8</v>
      </c>
      <c r="F278" s="5123">
        <v>0.41399999999999998</v>
      </c>
      <c r="G278" s="5123">
        <v>0</v>
      </c>
      <c r="H278" s="5123">
        <v>6.9050000000000002</v>
      </c>
      <c r="I278" s="5123">
        <v>0</v>
      </c>
      <c r="J278" s="5123">
        <v>0</v>
      </c>
      <c r="K278" s="5123">
        <v>0</v>
      </c>
      <c r="L278" s="5123">
        <v>0</v>
      </c>
      <c r="M278" s="5123">
        <v>0</v>
      </c>
      <c r="N278" s="5123">
        <v>0</v>
      </c>
      <c r="O278" s="5123">
        <v>0</v>
      </c>
      <c r="P278" s="5123">
        <v>0</v>
      </c>
      <c r="Q278" s="5123">
        <v>0</v>
      </c>
      <c r="R278" s="5123">
        <v>0</v>
      </c>
      <c r="S278" s="5123">
        <v>0</v>
      </c>
      <c r="T278" s="5123">
        <v>0</v>
      </c>
      <c r="U278" s="5122">
        <v>20</v>
      </c>
      <c r="V278" s="5123">
        <v>17.315000000000001</v>
      </c>
      <c r="W278" s="5123">
        <v>0</v>
      </c>
      <c r="X278" s="5123">
        <v>7.1980000000000004</v>
      </c>
      <c r="Y278" s="5123">
        <v>0.31</v>
      </c>
      <c r="Z278" s="5123">
        <v>0</v>
      </c>
      <c r="AA278" s="5123">
        <v>6.899</v>
      </c>
      <c r="AB278" s="5123">
        <v>0</v>
      </c>
      <c r="AC278" s="5123">
        <v>0</v>
      </c>
      <c r="AD278" s="5123">
        <v>0</v>
      </c>
      <c r="AE278" s="5123">
        <v>0</v>
      </c>
      <c r="AF278" s="5123">
        <v>0</v>
      </c>
      <c r="AG278" s="5123">
        <v>0</v>
      </c>
      <c r="AH278" s="5123">
        <v>0</v>
      </c>
      <c r="AI278" s="5123">
        <v>0</v>
      </c>
      <c r="AJ278" s="5123">
        <v>0</v>
      </c>
      <c r="AK278" s="5123">
        <v>0</v>
      </c>
      <c r="AL278" s="5123">
        <v>0</v>
      </c>
      <c r="AM278" s="5123">
        <v>0</v>
      </c>
      <c r="AN278" s="5124">
        <f t="shared" si="8"/>
        <v>51.722000000000001</v>
      </c>
      <c r="AO278" s="5125">
        <v>51.722000000000001</v>
      </c>
      <c r="AP278" s="5126">
        <f t="shared" si="9"/>
        <v>0</v>
      </c>
    </row>
    <row r="279" spans="1:42">
      <c r="A279" s="5121">
        <v>502</v>
      </c>
      <c r="B279" s="5122">
        <v>20</v>
      </c>
      <c r="C279" s="5123">
        <v>16.591000000000001</v>
      </c>
      <c r="D279" s="5123">
        <v>0</v>
      </c>
      <c r="E279" s="5123">
        <v>0</v>
      </c>
      <c r="F279" s="5123">
        <v>0</v>
      </c>
      <c r="G279" s="5123">
        <v>0</v>
      </c>
      <c r="H279" s="5123">
        <v>0</v>
      </c>
      <c r="I279" s="5123">
        <v>0</v>
      </c>
      <c r="J279" s="5123">
        <v>0</v>
      </c>
      <c r="K279" s="5123">
        <v>0</v>
      </c>
      <c r="L279" s="5123">
        <v>0</v>
      </c>
      <c r="M279" s="5123">
        <v>0</v>
      </c>
      <c r="N279" s="5123">
        <v>0</v>
      </c>
      <c r="O279" s="5123">
        <v>0</v>
      </c>
      <c r="P279" s="5123">
        <v>0</v>
      </c>
      <c r="Q279" s="5123">
        <v>0</v>
      </c>
      <c r="R279" s="5123">
        <v>0</v>
      </c>
      <c r="S279" s="5123">
        <v>0</v>
      </c>
      <c r="T279" s="5123">
        <v>0</v>
      </c>
      <c r="U279" s="5122">
        <v>20</v>
      </c>
      <c r="V279" s="5123">
        <v>13.917999999999999</v>
      </c>
      <c r="W279" s="5123">
        <v>0</v>
      </c>
      <c r="X279" s="5123">
        <v>1</v>
      </c>
      <c r="Y279" s="5123">
        <v>0</v>
      </c>
      <c r="Z279" s="5123">
        <v>0</v>
      </c>
      <c r="AA279" s="5123">
        <v>0</v>
      </c>
      <c r="AB279" s="5123">
        <v>0</v>
      </c>
      <c r="AC279" s="5123">
        <v>0</v>
      </c>
      <c r="AD279" s="5123">
        <v>0</v>
      </c>
      <c r="AE279" s="5123">
        <v>0</v>
      </c>
      <c r="AF279" s="5123">
        <v>0</v>
      </c>
      <c r="AG279" s="5123">
        <v>0</v>
      </c>
      <c r="AH279" s="5123">
        <v>0</v>
      </c>
      <c r="AI279" s="5123">
        <v>0</v>
      </c>
      <c r="AJ279" s="5123">
        <v>0</v>
      </c>
      <c r="AK279" s="5123">
        <v>0</v>
      </c>
      <c r="AL279" s="5123">
        <v>0</v>
      </c>
      <c r="AM279" s="5123">
        <v>0</v>
      </c>
      <c r="AN279" s="5124">
        <f t="shared" si="8"/>
        <v>34.917999999999999</v>
      </c>
      <c r="AO279" s="5125">
        <v>34.917999999999999</v>
      </c>
      <c r="AP279" s="5126">
        <f t="shared" si="9"/>
        <v>0</v>
      </c>
    </row>
    <row r="280" spans="1:42">
      <c r="A280" s="5121">
        <v>503</v>
      </c>
      <c r="B280" s="5122">
        <v>20</v>
      </c>
      <c r="C280" s="5123">
        <v>16.97</v>
      </c>
      <c r="D280" s="5123">
        <v>0</v>
      </c>
      <c r="E280" s="5123">
        <v>4.0359999999999996</v>
      </c>
      <c r="F280" s="5123">
        <v>0</v>
      </c>
      <c r="G280" s="5123">
        <v>0</v>
      </c>
      <c r="H280" s="5123">
        <v>17.634</v>
      </c>
      <c r="I280" s="5123">
        <v>0</v>
      </c>
      <c r="J280" s="5123">
        <v>0</v>
      </c>
      <c r="K280" s="5123">
        <v>0</v>
      </c>
      <c r="L280" s="5123">
        <v>0</v>
      </c>
      <c r="M280" s="5123">
        <v>0</v>
      </c>
      <c r="N280" s="5123">
        <v>0</v>
      </c>
      <c r="O280" s="5123">
        <v>0</v>
      </c>
      <c r="P280" s="5123">
        <v>4</v>
      </c>
      <c r="Q280" s="5123">
        <v>1</v>
      </c>
      <c r="R280" s="5123">
        <v>0</v>
      </c>
      <c r="S280" s="5123">
        <v>0</v>
      </c>
      <c r="T280" s="5123">
        <v>0</v>
      </c>
      <c r="U280" s="5122">
        <v>20</v>
      </c>
      <c r="V280" s="5123">
        <v>19.475000000000001</v>
      </c>
      <c r="W280" s="5123">
        <v>0</v>
      </c>
      <c r="X280" s="5123">
        <v>3.9990000000000001</v>
      </c>
      <c r="Y280" s="5123">
        <v>0</v>
      </c>
      <c r="Z280" s="5123">
        <v>0</v>
      </c>
      <c r="AA280" s="5123">
        <v>14.978999999999999</v>
      </c>
      <c r="AB280" s="5123">
        <v>0</v>
      </c>
      <c r="AC280" s="5123">
        <v>0</v>
      </c>
      <c r="AD280" s="5123">
        <v>0</v>
      </c>
      <c r="AE280" s="5123">
        <v>0</v>
      </c>
      <c r="AF280" s="5123">
        <v>0</v>
      </c>
      <c r="AG280" s="5123">
        <v>0</v>
      </c>
      <c r="AH280" s="5123">
        <v>0</v>
      </c>
      <c r="AI280" s="5123">
        <v>4</v>
      </c>
      <c r="AJ280" s="5123">
        <v>1</v>
      </c>
      <c r="AK280" s="5123">
        <v>0</v>
      </c>
      <c r="AL280" s="5123">
        <v>0</v>
      </c>
      <c r="AM280" s="5123">
        <v>0</v>
      </c>
      <c r="AN280" s="5124">
        <f t="shared" si="8"/>
        <v>63.453000000000003</v>
      </c>
      <c r="AO280" s="5125">
        <v>63.453000000000003</v>
      </c>
      <c r="AP280" s="5126">
        <f t="shared" si="9"/>
        <v>0</v>
      </c>
    </row>
    <row r="281" spans="1:42">
      <c r="A281" s="5121">
        <v>504</v>
      </c>
      <c r="B281" s="5122">
        <v>20</v>
      </c>
      <c r="C281" s="5123">
        <v>13.46</v>
      </c>
      <c r="D281" s="5123">
        <v>0</v>
      </c>
      <c r="E281" s="5123">
        <v>7.9969999999999999</v>
      </c>
      <c r="F281" s="5123">
        <v>0</v>
      </c>
      <c r="G281" s="5123">
        <v>0</v>
      </c>
      <c r="H281" s="5123">
        <v>5.9820000000000002</v>
      </c>
      <c r="I281" s="5123">
        <v>0</v>
      </c>
      <c r="J281" s="5123">
        <v>0</v>
      </c>
      <c r="K281" s="5123">
        <v>0</v>
      </c>
      <c r="L281" s="5123">
        <v>0</v>
      </c>
      <c r="M281" s="5123">
        <v>0</v>
      </c>
      <c r="N281" s="5123">
        <v>0</v>
      </c>
      <c r="O281" s="5123">
        <v>0</v>
      </c>
      <c r="P281" s="5123">
        <v>1.9990000000000001</v>
      </c>
      <c r="Q281" s="5123">
        <v>0</v>
      </c>
      <c r="R281" s="5123">
        <v>0</v>
      </c>
      <c r="S281" s="5123">
        <v>0</v>
      </c>
      <c r="T281" s="5123">
        <v>0</v>
      </c>
      <c r="U281" s="5122">
        <v>20</v>
      </c>
      <c r="V281" s="5123">
        <v>22.995999999999999</v>
      </c>
      <c r="W281" s="5123">
        <v>0</v>
      </c>
      <c r="X281" s="5123">
        <v>7.992</v>
      </c>
      <c r="Y281" s="5123">
        <v>0</v>
      </c>
      <c r="Z281" s="5123">
        <v>0</v>
      </c>
      <c r="AA281" s="5123">
        <v>5.907</v>
      </c>
      <c r="AB281" s="5123">
        <v>0</v>
      </c>
      <c r="AC281" s="5123">
        <v>0</v>
      </c>
      <c r="AD281" s="5123">
        <v>0</v>
      </c>
      <c r="AE281" s="5123">
        <v>0</v>
      </c>
      <c r="AF281" s="5123">
        <v>0</v>
      </c>
      <c r="AG281" s="5123">
        <v>0</v>
      </c>
      <c r="AH281" s="5123">
        <v>0</v>
      </c>
      <c r="AI281" s="5123">
        <v>1.998</v>
      </c>
      <c r="AJ281" s="5123">
        <v>0</v>
      </c>
      <c r="AK281" s="5123">
        <v>0</v>
      </c>
      <c r="AL281" s="5123">
        <v>0</v>
      </c>
      <c r="AM281" s="5123">
        <v>0</v>
      </c>
      <c r="AN281" s="5124">
        <f t="shared" si="8"/>
        <v>58.893000000000001</v>
      </c>
      <c r="AO281" s="5125">
        <v>58.893000000000001</v>
      </c>
      <c r="AP281" s="5126">
        <f t="shared" si="9"/>
        <v>0</v>
      </c>
    </row>
    <row r="282" spans="1:42">
      <c r="A282" s="5121">
        <v>505</v>
      </c>
      <c r="B282" s="5122">
        <v>20</v>
      </c>
      <c r="C282" s="5123">
        <v>13.500999999999999</v>
      </c>
      <c r="D282" s="5123">
        <v>0</v>
      </c>
      <c r="E282" s="5123">
        <v>7.99</v>
      </c>
      <c r="F282" s="5123">
        <v>0</v>
      </c>
      <c r="G282" s="5123">
        <v>0</v>
      </c>
      <c r="H282" s="5123">
        <v>12.962999999999999</v>
      </c>
      <c r="I282" s="5123">
        <v>0</v>
      </c>
      <c r="J282" s="5123">
        <v>0</v>
      </c>
      <c r="K282" s="5123">
        <v>0</v>
      </c>
      <c r="L282" s="5123">
        <v>0</v>
      </c>
      <c r="M282" s="5123">
        <v>0</v>
      </c>
      <c r="N282" s="5123">
        <v>0</v>
      </c>
      <c r="O282" s="5123">
        <v>0</v>
      </c>
      <c r="P282" s="5123">
        <v>0</v>
      </c>
      <c r="Q282" s="5123">
        <v>0</v>
      </c>
      <c r="R282" s="5123">
        <v>0</v>
      </c>
      <c r="S282" s="5123">
        <v>0</v>
      </c>
      <c r="T282" s="5123">
        <v>0</v>
      </c>
      <c r="U282" s="5122">
        <v>20</v>
      </c>
      <c r="V282" s="5123">
        <v>20.024000000000001</v>
      </c>
      <c r="W282" s="5123">
        <v>0</v>
      </c>
      <c r="X282" s="5123">
        <v>7.9960000000000004</v>
      </c>
      <c r="Y282" s="5123">
        <v>0</v>
      </c>
      <c r="Z282" s="5123">
        <v>0</v>
      </c>
      <c r="AA282" s="5123">
        <v>12.951000000000001</v>
      </c>
      <c r="AB282" s="5123">
        <v>0</v>
      </c>
      <c r="AC282" s="5123">
        <v>0</v>
      </c>
      <c r="AD282" s="5123">
        <v>0</v>
      </c>
      <c r="AE282" s="5123">
        <v>0</v>
      </c>
      <c r="AF282" s="5123">
        <v>0</v>
      </c>
      <c r="AG282" s="5123">
        <v>0</v>
      </c>
      <c r="AH282" s="5123">
        <v>0</v>
      </c>
      <c r="AI282" s="5123">
        <v>0</v>
      </c>
      <c r="AJ282" s="5123">
        <v>0</v>
      </c>
      <c r="AK282" s="5123">
        <v>0</v>
      </c>
      <c r="AL282" s="5123">
        <v>0</v>
      </c>
      <c r="AM282" s="5123">
        <v>0</v>
      </c>
      <c r="AN282" s="5124">
        <f t="shared" si="8"/>
        <v>60.970999999999997</v>
      </c>
      <c r="AO282" s="5125">
        <v>60.970999999999997</v>
      </c>
      <c r="AP282" s="5126">
        <f t="shared" si="9"/>
        <v>0</v>
      </c>
    </row>
    <row r="283" spans="1:42">
      <c r="A283" s="5121">
        <v>506</v>
      </c>
      <c r="B283" s="5122">
        <v>20</v>
      </c>
      <c r="C283" s="5123">
        <v>11.388999999999999</v>
      </c>
      <c r="D283" s="5123">
        <v>0</v>
      </c>
      <c r="E283" s="5123">
        <v>7.9720000000000004</v>
      </c>
      <c r="F283" s="5123">
        <v>0</v>
      </c>
      <c r="G283" s="5123">
        <v>0</v>
      </c>
      <c r="H283" s="5123">
        <v>5.08</v>
      </c>
      <c r="I283" s="5123">
        <v>0</v>
      </c>
      <c r="J283" s="5123">
        <v>0</v>
      </c>
      <c r="K283" s="5123">
        <v>0</v>
      </c>
      <c r="L283" s="5123">
        <v>0</v>
      </c>
      <c r="M283" s="5123">
        <v>0</v>
      </c>
      <c r="N283" s="5123">
        <v>0</v>
      </c>
      <c r="O283" s="5123">
        <v>0</v>
      </c>
      <c r="P283" s="5123">
        <v>0</v>
      </c>
      <c r="Q283" s="5123">
        <v>0</v>
      </c>
      <c r="R283" s="5123">
        <v>0</v>
      </c>
      <c r="S283" s="5123">
        <v>0</v>
      </c>
      <c r="T283" s="5123">
        <v>0</v>
      </c>
      <c r="U283" s="5122">
        <v>20</v>
      </c>
      <c r="V283" s="5123">
        <v>18.521999999999998</v>
      </c>
      <c r="W283" s="5123">
        <v>0</v>
      </c>
      <c r="X283" s="5123">
        <v>7.9859999999999998</v>
      </c>
      <c r="Y283" s="5123">
        <v>0</v>
      </c>
      <c r="Z283" s="5123">
        <v>0</v>
      </c>
      <c r="AA283" s="5123">
        <v>5.0810000000000004</v>
      </c>
      <c r="AB283" s="5123">
        <v>0</v>
      </c>
      <c r="AC283" s="5123">
        <v>0</v>
      </c>
      <c r="AD283" s="5123">
        <v>0</v>
      </c>
      <c r="AE283" s="5123">
        <v>0</v>
      </c>
      <c r="AF283" s="5123">
        <v>0</v>
      </c>
      <c r="AG283" s="5123">
        <v>0</v>
      </c>
      <c r="AH283" s="5123">
        <v>0</v>
      </c>
      <c r="AI283" s="5123">
        <v>0</v>
      </c>
      <c r="AJ283" s="5123">
        <v>0</v>
      </c>
      <c r="AK283" s="5123">
        <v>0</v>
      </c>
      <c r="AL283" s="5123">
        <v>0</v>
      </c>
      <c r="AM283" s="5123">
        <v>0</v>
      </c>
      <c r="AN283" s="5124">
        <f t="shared" si="8"/>
        <v>51.588999999999999</v>
      </c>
      <c r="AO283" s="5125">
        <v>51.588999999999999</v>
      </c>
      <c r="AP283" s="5126">
        <f t="shared" si="9"/>
        <v>0</v>
      </c>
    </row>
    <row r="284" spans="1:42">
      <c r="A284" s="5121">
        <v>507</v>
      </c>
      <c r="B284" s="5122">
        <v>20</v>
      </c>
      <c r="C284" s="5123">
        <v>7.3929999999999998</v>
      </c>
      <c r="D284" s="5123">
        <v>0</v>
      </c>
      <c r="E284" s="5123">
        <v>4</v>
      </c>
      <c r="F284" s="5123">
        <v>0</v>
      </c>
      <c r="G284" s="5123">
        <v>0</v>
      </c>
      <c r="H284" s="5123">
        <v>0</v>
      </c>
      <c r="I284" s="5123">
        <v>0</v>
      </c>
      <c r="J284" s="5123">
        <v>0</v>
      </c>
      <c r="K284" s="5123">
        <v>0</v>
      </c>
      <c r="L284" s="5123">
        <v>0</v>
      </c>
      <c r="M284" s="5123">
        <v>0</v>
      </c>
      <c r="N284" s="5123">
        <v>0</v>
      </c>
      <c r="O284" s="5123">
        <v>0</v>
      </c>
      <c r="P284" s="5123">
        <v>1.43</v>
      </c>
      <c r="Q284" s="5123">
        <v>0</v>
      </c>
      <c r="R284" s="5123">
        <v>0</v>
      </c>
      <c r="S284" s="5123">
        <v>0</v>
      </c>
      <c r="T284" s="5123">
        <v>0</v>
      </c>
      <c r="U284" s="5122">
        <v>20</v>
      </c>
      <c r="V284" s="5123">
        <v>5.3310000000000004</v>
      </c>
      <c r="W284" s="5123">
        <v>0</v>
      </c>
      <c r="X284" s="5123">
        <v>3.9060000000000001</v>
      </c>
      <c r="Y284" s="5123">
        <v>0</v>
      </c>
      <c r="Z284" s="5123">
        <v>0</v>
      </c>
      <c r="AA284" s="5123">
        <v>0</v>
      </c>
      <c r="AB284" s="5123">
        <v>0</v>
      </c>
      <c r="AC284" s="5123">
        <v>0</v>
      </c>
      <c r="AD284" s="5123">
        <v>0</v>
      </c>
      <c r="AE284" s="5123">
        <v>0</v>
      </c>
      <c r="AF284" s="5123">
        <v>0</v>
      </c>
      <c r="AG284" s="5123">
        <v>0</v>
      </c>
      <c r="AH284" s="5123">
        <v>0</v>
      </c>
      <c r="AI284" s="5123">
        <v>1.4650000000000001</v>
      </c>
      <c r="AJ284" s="5123">
        <v>0</v>
      </c>
      <c r="AK284" s="5123">
        <v>0</v>
      </c>
      <c r="AL284" s="5123">
        <v>0</v>
      </c>
      <c r="AM284" s="5123">
        <v>0</v>
      </c>
      <c r="AN284" s="5124">
        <f t="shared" si="8"/>
        <v>30.702000000000002</v>
      </c>
      <c r="AO284" s="5125">
        <v>30.702000000000002</v>
      </c>
      <c r="AP284" s="5126">
        <f t="shared" si="9"/>
        <v>0</v>
      </c>
    </row>
    <row r="285" spans="1:42">
      <c r="A285" s="5121">
        <v>508</v>
      </c>
      <c r="B285" s="5122">
        <v>20</v>
      </c>
      <c r="C285" s="5123">
        <v>20.277999999999999</v>
      </c>
      <c r="D285" s="5123">
        <v>0</v>
      </c>
      <c r="E285" s="5123">
        <v>2.0209999999999999</v>
      </c>
      <c r="F285" s="5123">
        <v>0</v>
      </c>
      <c r="G285" s="5123">
        <v>0</v>
      </c>
      <c r="H285" s="5123">
        <v>9.8409999999999993</v>
      </c>
      <c r="I285" s="5123">
        <v>0</v>
      </c>
      <c r="J285" s="5123">
        <v>0</v>
      </c>
      <c r="K285" s="5123">
        <v>0</v>
      </c>
      <c r="L285" s="5123">
        <v>0</v>
      </c>
      <c r="M285" s="5123">
        <v>0</v>
      </c>
      <c r="N285" s="5123">
        <v>0</v>
      </c>
      <c r="O285" s="5123">
        <v>0</v>
      </c>
      <c r="P285" s="5123">
        <v>0</v>
      </c>
      <c r="Q285" s="5123">
        <v>0</v>
      </c>
      <c r="R285" s="5123">
        <v>0</v>
      </c>
      <c r="S285" s="5123">
        <v>0</v>
      </c>
      <c r="T285" s="5123">
        <v>0</v>
      </c>
      <c r="U285" s="5122">
        <v>20</v>
      </c>
      <c r="V285" s="5123">
        <v>24.207000000000001</v>
      </c>
      <c r="W285" s="5123">
        <v>0</v>
      </c>
      <c r="X285" s="5123">
        <v>5.9989999999999997</v>
      </c>
      <c r="Y285" s="5123">
        <v>0</v>
      </c>
      <c r="Z285" s="5123">
        <v>0</v>
      </c>
      <c r="AA285" s="5123">
        <v>9.7759999999999998</v>
      </c>
      <c r="AB285" s="5123">
        <v>0</v>
      </c>
      <c r="AC285" s="5123">
        <v>0</v>
      </c>
      <c r="AD285" s="5123">
        <v>0</v>
      </c>
      <c r="AE285" s="5123">
        <v>0</v>
      </c>
      <c r="AF285" s="5123">
        <v>0</v>
      </c>
      <c r="AG285" s="5123">
        <v>0</v>
      </c>
      <c r="AH285" s="5123">
        <v>0</v>
      </c>
      <c r="AI285" s="5123">
        <v>0</v>
      </c>
      <c r="AJ285" s="5123">
        <v>0</v>
      </c>
      <c r="AK285" s="5123">
        <v>0</v>
      </c>
      <c r="AL285" s="5123">
        <v>0</v>
      </c>
      <c r="AM285" s="5123">
        <v>0</v>
      </c>
      <c r="AN285" s="5124">
        <f t="shared" si="8"/>
        <v>59.981999999999999</v>
      </c>
      <c r="AO285" s="5125">
        <v>59.981999999999999</v>
      </c>
      <c r="AP285" s="5126">
        <f t="shared" si="9"/>
        <v>0</v>
      </c>
    </row>
    <row r="286" spans="1:42">
      <c r="A286" s="5121">
        <v>509</v>
      </c>
      <c r="B286" s="5122">
        <v>20</v>
      </c>
      <c r="C286" s="5123">
        <v>30.108000000000001</v>
      </c>
      <c r="D286" s="5123">
        <v>0</v>
      </c>
      <c r="E286" s="5123">
        <v>8</v>
      </c>
      <c r="F286" s="5123">
        <v>0</v>
      </c>
      <c r="G286" s="5123">
        <v>0</v>
      </c>
      <c r="H286" s="5123">
        <v>12.337</v>
      </c>
      <c r="I286" s="5123">
        <v>0</v>
      </c>
      <c r="J286" s="5123">
        <v>0</v>
      </c>
      <c r="K286" s="5123">
        <v>0</v>
      </c>
      <c r="L286" s="5123">
        <v>0</v>
      </c>
      <c r="M286" s="5123">
        <v>0</v>
      </c>
      <c r="N286" s="5123">
        <v>0</v>
      </c>
      <c r="O286" s="5123">
        <v>0</v>
      </c>
      <c r="P286" s="5123">
        <v>0</v>
      </c>
      <c r="Q286" s="5123">
        <v>0</v>
      </c>
      <c r="R286" s="5123">
        <v>0</v>
      </c>
      <c r="S286" s="5123">
        <v>0</v>
      </c>
      <c r="T286" s="5123">
        <v>0</v>
      </c>
      <c r="U286" s="5122">
        <v>20</v>
      </c>
      <c r="V286" s="5123">
        <v>39.386000000000003</v>
      </c>
      <c r="W286" s="5123">
        <v>0</v>
      </c>
      <c r="X286" s="5123">
        <v>5.0149999999999997</v>
      </c>
      <c r="Y286" s="5123">
        <v>0</v>
      </c>
      <c r="Z286" s="5123">
        <v>0</v>
      </c>
      <c r="AA286" s="5123">
        <v>11.430999999999999</v>
      </c>
      <c r="AB286" s="5123">
        <v>0</v>
      </c>
      <c r="AC286" s="5123">
        <v>0</v>
      </c>
      <c r="AD286" s="5123">
        <v>0</v>
      </c>
      <c r="AE286" s="5123">
        <v>0</v>
      </c>
      <c r="AF286" s="5123">
        <v>0</v>
      </c>
      <c r="AG286" s="5123">
        <v>0</v>
      </c>
      <c r="AH286" s="5123">
        <v>0</v>
      </c>
      <c r="AI286" s="5123">
        <v>0</v>
      </c>
      <c r="AJ286" s="5123">
        <v>0</v>
      </c>
      <c r="AK286" s="5123">
        <v>0</v>
      </c>
      <c r="AL286" s="5123">
        <v>0</v>
      </c>
      <c r="AM286" s="5123">
        <v>0</v>
      </c>
      <c r="AN286" s="5124">
        <f t="shared" si="8"/>
        <v>75.831999999999994</v>
      </c>
      <c r="AO286" s="5125">
        <v>75.831999999999994</v>
      </c>
      <c r="AP286" s="5126">
        <f t="shared" si="9"/>
        <v>0</v>
      </c>
    </row>
    <row r="287" spans="1:42">
      <c r="A287" s="5121">
        <v>511</v>
      </c>
      <c r="B287" s="5122">
        <v>20</v>
      </c>
      <c r="C287" s="5123">
        <v>23.777000000000001</v>
      </c>
      <c r="D287" s="5123">
        <v>0</v>
      </c>
      <c r="E287" s="5123">
        <v>5.9870000000000001</v>
      </c>
      <c r="F287" s="5123">
        <v>0</v>
      </c>
      <c r="G287" s="5123">
        <v>0</v>
      </c>
      <c r="H287" s="5123">
        <v>0</v>
      </c>
      <c r="I287" s="5123">
        <v>0</v>
      </c>
      <c r="J287" s="5123">
        <v>0</v>
      </c>
      <c r="K287" s="5123">
        <v>0</v>
      </c>
      <c r="L287" s="5123">
        <v>0</v>
      </c>
      <c r="M287" s="5123">
        <v>0</v>
      </c>
      <c r="N287" s="5123">
        <v>0</v>
      </c>
      <c r="O287" s="5123">
        <v>0</v>
      </c>
      <c r="P287" s="5123">
        <v>0</v>
      </c>
      <c r="Q287" s="5123">
        <v>0</v>
      </c>
      <c r="R287" s="5123">
        <v>0</v>
      </c>
      <c r="S287" s="5123">
        <v>0</v>
      </c>
      <c r="T287" s="5123">
        <v>0</v>
      </c>
      <c r="U287" s="5122">
        <v>20</v>
      </c>
      <c r="V287" s="5123">
        <v>23.213999999999999</v>
      </c>
      <c r="W287" s="5123">
        <v>0</v>
      </c>
      <c r="X287" s="5123">
        <v>5.9850000000000003</v>
      </c>
      <c r="Y287" s="5123">
        <v>0</v>
      </c>
      <c r="Z287" s="5123">
        <v>0</v>
      </c>
      <c r="AA287" s="5123">
        <v>0</v>
      </c>
      <c r="AB287" s="5123">
        <v>0</v>
      </c>
      <c r="AC287" s="5123">
        <v>0</v>
      </c>
      <c r="AD287" s="5123">
        <v>0</v>
      </c>
      <c r="AE287" s="5123">
        <v>0</v>
      </c>
      <c r="AF287" s="5123">
        <v>0</v>
      </c>
      <c r="AG287" s="5123">
        <v>0</v>
      </c>
      <c r="AH287" s="5123">
        <v>0</v>
      </c>
      <c r="AI287" s="5123">
        <v>0</v>
      </c>
      <c r="AJ287" s="5123">
        <v>0</v>
      </c>
      <c r="AK287" s="5123">
        <v>0</v>
      </c>
      <c r="AL287" s="5123">
        <v>0</v>
      </c>
      <c r="AM287" s="5123">
        <v>0</v>
      </c>
      <c r="AN287" s="5124">
        <f t="shared" si="8"/>
        <v>49.198999999999998</v>
      </c>
      <c r="AO287" s="5125">
        <v>49.198999999999998</v>
      </c>
      <c r="AP287" s="5126">
        <f t="shared" si="9"/>
        <v>0</v>
      </c>
    </row>
    <row r="288" spans="1:42">
      <c r="A288" s="5121">
        <v>512</v>
      </c>
      <c r="B288" s="5122">
        <v>20</v>
      </c>
      <c r="C288" s="5123">
        <v>17.332999999999998</v>
      </c>
      <c r="D288" s="5123">
        <v>0</v>
      </c>
      <c r="E288" s="5123">
        <v>8</v>
      </c>
      <c r="F288" s="5123">
        <v>0</v>
      </c>
      <c r="G288" s="5123">
        <v>0</v>
      </c>
      <c r="H288" s="5123">
        <v>7.4340000000000002</v>
      </c>
      <c r="I288" s="5123">
        <v>0</v>
      </c>
      <c r="J288" s="5123">
        <v>0</v>
      </c>
      <c r="K288" s="5123">
        <v>0.32400000000000001</v>
      </c>
      <c r="L288" s="5123">
        <v>0</v>
      </c>
      <c r="M288" s="5123">
        <v>0</v>
      </c>
      <c r="N288" s="5123">
        <v>0</v>
      </c>
      <c r="O288" s="5123">
        <v>0</v>
      </c>
      <c r="P288" s="5123">
        <v>0</v>
      </c>
      <c r="Q288" s="5123">
        <v>0</v>
      </c>
      <c r="R288" s="5123">
        <v>0</v>
      </c>
      <c r="S288" s="5123">
        <v>1.123</v>
      </c>
      <c r="T288" s="5123">
        <v>1.6970000000000001</v>
      </c>
      <c r="U288" s="5122">
        <v>20</v>
      </c>
      <c r="V288" s="5123">
        <v>15.772</v>
      </c>
      <c r="W288" s="5123">
        <v>0</v>
      </c>
      <c r="X288" s="5123">
        <v>8</v>
      </c>
      <c r="Y288" s="5123">
        <v>0.104</v>
      </c>
      <c r="Z288" s="5123">
        <v>0</v>
      </c>
      <c r="AA288" s="5123">
        <v>7.4450000000000003</v>
      </c>
      <c r="AB288" s="5123">
        <v>0</v>
      </c>
      <c r="AC288" s="5123">
        <v>0</v>
      </c>
      <c r="AD288" s="5123">
        <v>0.109</v>
      </c>
      <c r="AE288" s="5123">
        <v>0</v>
      </c>
      <c r="AF288" s="5123">
        <v>0</v>
      </c>
      <c r="AG288" s="5123">
        <v>0</v>
      </c>
      <c r="AH288" s="5123">
        <v>0</v>
      </c>
      <c r="AI288" s="5123">
        <v>0</v>
      </c>
      <c r="AJ288" s="5123">
        <v>0</v>
      </c>
      <c r="AK288" s="5123">
        <v>0</v>
      </c>
      <c r="AL288" s="5123">
        <v>0.874</v>
      </c>
      <c r="AM288" s="5123">
        <v>1.7549999999999999</v>
      </c>
      <c r="AN288" s="5124">
        <f t="shared" si="8"/>
        <v>54.058999999999997</v>
      </c>
      <c r="AO288" s="5125">
        <v>54.058999999999997</v>
      </c>
      <c r="AP288" s="5126">
        <f t="shared" si="9"/>
        <v>0</v>
      </c>
    </row>
  </sheetData>
  <sheetProtection algorithmName="SHA-512" hashValue="UQuEuDJkqMXD8hoRulSV96awQgjTMKZw9GA24ihUBCK0KCk69GYeRCZe/tTCbOpiwIBtFh7yb1Fl/ddck7KEyw==" saltValue="L42BG6dYcygrt63YpJQ0pQ==" spinCount="100000" sheet="1" objects="1" scenarios="1"/>
  <pageMargins left="0.7" right="0.7" top="0.75" bottom="0.75" header="0.3" footer="0.3"/>
  <pageSetup orientation="portrait" r:id="rId1"/>
  <headerFooter>
    <oddHeader>&amp;CIntentionally left blank</oddHeader>
  </headerFooter>
  <drawing r:id="rId2"/>
  <legacy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A3"/>
  <sheetViews>
    <sheetView workbookViewId="0">
      <selection activeCell="A3" sqref="A3"/>
    </sheetView>
  </sheetViews>
  <sheetFormatPr defaultRowHeight="12.75"/>
  <sheetData>
    <row r="1" spans="1:79">
      <c r="A1" s="3649" t="s">
        <v>1602</v>
      </c>
      <c r="B1" s="3649"/>
      <c r="C1" s="3649"/>
      <c r="D1" s="3649"/>
      <c r="E1" s="3649"/>
      <c r="F1" s="3649"/>
      <c r="G1" s="3649"/>
      <c r="H1" s="3649"/>
      <c r="I1" s="3649"/>
      <c r="J1" s="3649"/>
      <c r="K1" s="3649"/>
      <c r="L1" s="3649"/>
      <c r="M1" s="3649"/>
      <c r="N1" s="3649"/>
      <c r="O1" s="3649"/>
      <c r="P1" s="3649"/>
      <c r="Q1" s="3649"/>
      <c r="R1" s="3649"/>
      <c r="S1" s="3649"/>
      <c r="T1" s="3649"/>
      <c r="U1" s="3649"/>
      <c r="V1" s="3649"/>
      <c r="W1" s="3649"/>
      <c r="X1" s="3649"/>
      <c r="Y1" s="3649"/>
      <c r="Z1" s="3649"/>
      <c r="AA1" s="3649"/>
      <c r="AB1" s="3649"/>
      <c r="AC1" s="3649"/>
      <c r="AD1" s="3649"/>
      <c r="AE1" s="3649"/>
      <c r="AF1" s="3649"/>
      <c r="AG1" s="3649"/>
      <c r="AH1" s="3649"/>
      <c r="AI1" s="3649"/>
      <c r="AJ1" s="3649"/>
      <c r="AK1" s="3649"/>
      <c r="AL1" s="3649"/>
      <c r="AM1" s="3649"/>
      <c r="AN1" s="3649"/>
      <c r="AO1" s="3649"/>
      <c r="AP1" s="3649"/>
      <c r="AQ1" s="3649"/>
      <c r="AR1" s="3649"/>
      <c r="AS1" s="3649"/>
      <c r="AT1" s="3649"/>
      <c r="AU1" s="3649"/>
      <c r="AV1" s="3649"/>
      <c r="AW1" s="3649"/>
      <c r="AX1" s="3649"/>
      <c r="AY1" s="3649"/>
      <c r="AZ1" s="3649"/>
      <c r="BA1" s="3649"/>
      <c r="BB1" s="3649"/>
      <c r="BC1" s="3649"/>
      <c r="BD1" s="3649"/>
      <c r="BE1" s="3649"/>
      <c r="BF1" s="3649"/>
      <c r="BG1" s="3649"/>
      <c r="BH1" s="3649"/>
      <c r="BI1" s="3649"/>
      <c r="BJ1" s="3649"/>
      <c r="BK1" s="3649"/>
      <c r="BL1" s="3649"/>
      <c r="BM1" s="3649"/>
      <c r="BN1" s="3649"/>
      <c r="BO1" s="3649"/>
      <c r="BP1" s="3649"/>
      <c r="BQ1" s="3649"/>
      <c r="BR1" s="3649"/>
      <c r="BS1" s="3649"/>
      <c r="BT1" s="3649"/>
      <c r="BU1" s="3649"/>
      <c r="BV1" s="3649"/>
      <c r="BW1" s="3649"/>
      <c r="BX1" s="3649"/>
      <c r="BY1" s="3649"/>
      <c r="BZ1" s="3649"/>
      <c r="CA1" s="3649"/>
    </row>
    <row r="2" spans="1:79">
      <c r="A2" s="3651" t="s">
        <v>1017</v>
      </c>
      <c r="B2" s="3651" t="s">
        <v>1561</v>
      </c>
      <c r="C2" s="3651" t="s">
        <v>1603</v>
      </c>
      <c r="D2" s="3651" t="s">
        <v>1604</v>
      </c>
      <c r="E2" s="3651" t="s">
        <v>1562</v>
      </c>
      <c r="F2" s="3651" t="s">
        <v>1605</v>
      </c>
      <c r="G2" s="3651" t="s">
        <v>1606</v>
      </c>
      <c r="H2" s="3651" t="s">
        <v>1563</v>
      </c>
      <c r="I2" s="3651" t="s">
        <v>1607</v>
      </c>
      <c r="J2" s="3651" t="s">
        <v>1608</v>
      </c>
      <c r="K2" s="3651" t="s">
        <v>1564</v>
      </c>
      <c r="L2" s="3651" t="s">
        <v>1609</v>
      </c>
      <c r="M2" s="3651" t="s">
        <v>1610</v>
      </c>
      <c r="N2" s="3651" t="s">
        <v>1565</v>
      </c>
      <c r="O2" s="3651" t="s">
        <v>1611</v>
      </c>
      <c r="P2" s="3651" t="s">
        <v>1612</v>
      </c>
      <c r="Q2" s="3651" t="s">
        <v>1566</v>
      </c>
      <c r="R2" s="3651" t="s">
        <v>1613</v>
      </c>
      <c r="S2" s="3651" t="s">
        <v>1614</v>
      </c>
      <c r="T2" s="3651" t="s">
        <v>1567</v>
      </c>
      <c r="U2" s="3651" t="s">
        <v>1615</v>
      </c>
      <c r="V2" s="3651" t="s">
        <v>1616</v>
      </c>
      <c r="W2" s="3651" t="s">
        <v>1568</v>
      </c>
      <c r="X2" s="3651" t="s">
        <v>1617</v>
      </c>
      <c r="Y2" s="3651" t="s">
        <v>1618</v>
      </c>
      <c r="Z2" s="3651" t="s">
        <v>1569</v>
      </c>
      <c r="AA2" s="3651" t="s">
        <v>1619</v>
      </c>
      <c r="AB2" s="3651" t="s">
        <v>1620</v>
      </c>
      <c r="AC2" s="3651" t="s">
        <v>1570</v>
      </c>
      <c r="AD2" s="3651" t="s">
        <v>1621</v>
      </c>
      <c r="AE2" s="3651" t="s">
        <v>1622</v>
      </c>
      <c r="AF2" s="3651" t="s">
        <v>1571</v>
      </c>
      <c r="AG2" s="3651" t="s">
        <v>1623</v>
      </c>
      <c r="AH2" s="3651" t="s">
        <v>1624</v>
      </c>
      <c r="AI2" s="3651" t="s">
        <v>1572</v>
      </c>
      <c r="AJ2" s="3651" t="s">
        <v>1573</v>
      </c>
      <c r="AK2" s="3651" t="s">
        <v>1625</v>
      </c>
      <c r="AL2" s="3651" t="s">
        <v>1626</v>
      </c>
      <c r="AM2" s="3651" t="s">
        <v>1574</v>
      </c>
      <c r="AN2" s="3651" t="s">
        <v>1575</v>
      </c>
      <c r="AO2" s="3651" t="s">
        <v>1576</v>
      </c>
      <c r="AP2" s="3651" t="s">
        <v>1577</v>
      </c>
      <c r="AQ2" s="3651" t="s">
        <v>1627</v>
      </c>
      <c r="AR2" s="3651" t="s">
        <v>1628</v>
      </c>
      <c r="AS2" s="3651" t="s">
        <v>1578</v>
      </c>
      <c r="AT2" s="3651" t="s">
        <v>1629</v>
      </c>
      <c r="AU2" s="3651" t="s">
        <v>1630</v>
      </c>
      <c r="AV2" s="3651" t="s">
        <v>1579</v>
      </c>
      <c r="AW2" s="3651" t="s">
        <v>1580</v>
      </c>
      <c r="AX2" s="3651" t="s">
        <v>1631</v>
      </c>
      <c r="AY2" s="3651" t="s">
        <v>1632</v>
      </c>
      <c r="AZ2" s="3651" t="s">
        <v>1581</v>
      </c>
      <c r="BA2" s="3651" t="s">
        <v>1633</v>
      </c>
      <c r="BB2" s="3651" t="s">
        <v>1634</v>
      </c>
      <c r="BC2" s="3651" t="s">
        <v>1582</v>
      </c>
      <c r="BD2" s="3651" t="s">
        <v>1583</v>
      </c>
      <c r="BE2" s="3651" t="s">
        <v>1584</v>
      </c>
      <c r="BF2" s="3651" t="s">
        <v>1585</v>
      </c>
      <c r="BG2" s="3651" t="s">
        <v>1586</v>
      </c>
      <c r="BH2" s="3651" t="s">
        <v>1587</v>
      </c>
      <c r="BI2" s="3651" t="s">
        <v>1635</v>
      </c>
      <c r="BJ2" s="3651" t="s">
        <v>1588</v>
      </c>
      <c r="BK2" s="3651" t="s">
        <v>1589</v>
      </c>
      <c r="BL2" s="3651" t="s">
        <v>1590</v>
      </c>
      <c r="BM2" s="3651" t="s">
        <v>1636</v>
      </c>
      <c r="BN2" s="3651" t="s">
        <v>1637</v>
      </c>
      <c r="BO2" s="3651" t="s">
        <v>1591</v>
      </c>
      <c r="BP2" s="3651" t="s">
        <v>1592</v>
      </c>
      <c r="BQ2" s="3651" t="s">
        <v>1593</v>
      </c>
      <c r="BR2" s="3651" t="s">
        <v>1594</v>
      </c>
      <c r="BS2" s="3651" t="s">
        <v>1595</v>
      </c>
      <c r="BT2" s="3651" t="s">
        <v>1596</v>
      </c>
      <c r="BU2" s="3651" t="s">
        <v>1638</v>
      </c>
      <c r="BV2" s="3651" t="s">
        <v>1639</v>
      </c>
      <c r="BW2" s="3651" t="s">
        <v>1597</v>
      </c>
      <c r="BX2" s="3651" t="s">
        <v>1598</v>
      </c>
      <c r="BY2" s="3651" t="s">
        <v>1599</v>
      </c>
      <c r="BZ2" s="3651" t="s">
        <v>1600</v>
      </c>
      <c r="CA2" s="3651" t="s">
        <v>1601</v>
      </c>
    </row>
    <row r="3" spans="1:79">
      <c r="A3">
        <f>'C06'!C1</f>
        <v>270</v>
      </c>
      <c r="B3" s="2624">
        <f>COUNTIF('C06'!$C$76:$C$123,"&lt;0")+COUNTIF('C06'!$C$135:$C$176,"&lt;0")+COUNTIF('C06'!$C$202:$C$248,"&lt;0")+COUNTIF('C06'!$C$261:$C$309,"&lt;0")+COUNTIF('C06'!$C$321:$C$356,"&lt;0")</f>
        <v>0</v>
      </c>
      <c r="C3" s="2624">
        <f>COUNTIF('C06'!$D$76:$D$123,"&lt;0")+COUNTIF('C06'!$D$135:$D$176,"&lt;0")+COUNTIF('C06'!$D$202:$D$248,"&lt;0")+COUNTIF('C06'!$D$261:$D$309,"&lt;0")+COUNTIF('C06'!$D$321:$D$356,"&lt;0")</f>
        <v>0</v>
      </c>
      <c r="D3" s="2624">
        <f>COUNTIF('C06'!$E$76:$E$123,"&lt;0")+COUNTIF('C06'!$E$135:$E$176,"&lt;0")+COUNTIF('C06'!$E$202:$E$248,"&lt;0")+COUNTIF('C06'!$E$261:$E$309,"&lt;0")+COUNTIF('C06'!$E$321:$E$356,"&lt;0")</f>
        <v>0</v>
      </c>
      <c r="E3" s="2624">
        <f>COUNTIF('C07'!$C$35:$C$90,"&lt;0")+COUNTIF('C07'!$C$93:$C$142,"&lt;0")+COUNTIF('C07'!$C$159:$C$210,"&lt;0")+COUNTIF('C07'!$C$213:$C$244,"&lt;0")</f>
        <v>0</v>
      </c>
      <c r="F3" s="2624">
        <f>COUNTIF('C07'!$D$35:$D$90,"&lt;0")+COUNTIF('C07'!$D$93:$D$142,"&lt;0")+COUNTIF('C07'!$D$159:$D$210,"&lt;0")+COUNTIF('C07'!$D$213:$D$244,"&lt;0")</f>
        <v>0</v>
      </c>
      <c r="G3" s="2624">
        <f>COUNTIF('C07'!$E$35:$E$90,"&lt;0")+COUNTIF('C07'!$E$93:$E$142,"&lt;0")+COUNTIF('C07'!$E$159:$E$210,"&lt;0")+COUNTIF('C07'!$E$213:$E$244,"&lt;0")</f>
        <v>0</v>
      </c>
      <c r="H3" s="2624">
        <f>COUNTIF('C08'!$C$49:$C$69,"&lt;0")+COUNTIF('C08'!$C$83:$C$128,"&lt;0")+COUNTIF('C08'!$C$141:$C$196,"&lt;0")+COUNTIF('C08'!$C$209:$C$265,"&lt;0")+COUNTIF('C08'!$C$278:$C$323,"&lt;0")</f>
        <v>0</v>
      </c>
      <c r="I3" s="2624">
        <f>COUNTIF('C08'!$D$49:$D$69,"&lt;0")+COUNTIF('C08'!$D$83:$D$128,"&lt;0")+COUNTIF('C08'!$D$141:$D$196,"&lt;0")+COUNTIF('C08'!$D$209:$D$265,"&lt;0")+COUNTIF('C08'!$D$278:$D$323,"&lt;0")</f>
        <v>0</v>
      </c>
      <c r="J3" s="2624">
        <f>COUNTIF('C08'!$E$49:$E$69,"&lt;0")+COUNTIF('C08'!$E$83:$E$128,"&lt;0")+COUNTIF('C08'!$E$141:$E$196,"&lt;0")+COUNTIF('C08'!$E$209:$E$265,"&lt;0")+COUNTIF('C08'!$E$278:$E$323,"&lt;0")</f>
        <v>0</v>
      </c>
      <c r="K3" s="2624">
        <f>COUNTIF('C010'!$C$69:$C$118,"&lt;0")+COUNTIF('C010'!$C$131:$C$162,"&lt;0")</f>
        <v>0</v>
      </c>
      <c r="L3" s="2624">
        <f>COUNTIF('C010'!$D$69:$D$118,"&lt;0")+COUNTIF('C010'!$D$131:$D$162,"&lt;0")</f>
        <v>0</v>
      </c>
      <c r="M3" s="2624">
        <f>COUNTIF('C010'!$E$69:$E$118,"&lt;0")+COUNTIF('C010'!$E$131:$E$162,"&lt;0")</f>
        <v>0</v>
      </c>
      <c r="N3" s="2624">
        <f>COUNTIF('C011'!$C$38:$C$62,"&lt;0")+COUNTIF('C011'!$C$74:$C$142,"&lt;0")+COUNTIF('C011'!$C$144:$C$179,"&lt;0")</f>
        <v>0</v>
      </c>
      <c r="O3" s="2624">
        <f>COUNTIF('C011'!$D$38:$D$62,"&lt;0")+COUNTIF('C011'!$D$74:$D$142,"&lt;0")+COUNTIF('C011'!$D$144:$D$179,"&lt;0")</f>
        <v>0</v>
      </c>
      <c r="P3" s="2624">
        <f>COUNTIF('C011'!$E$38:$E$62,"&lt;0")+COUNTIF('C011'!$E$74:$E$142,"&lt;0")+COUNTIF('C011'!$E$144:$E$179,"&lt;0")</f>
        <v>0</v>
      </c>
      <c r="Q3" s="2624">
        <f>COUNTIF('C012'!$C$33:$C$65,"&lt;0")+COUNTIF('C012'!$C$75:$C$123,"&lt;0")</f>
        <v>0</v>
      </c>
      <c r="R3" s="2624">
        <f>COUNTIF('C012'!$D$33:$D$65,"&lt;0")+COUNTIF('C012'!$D$75:$D$123,"&lt;0")</f>
        <v>0</v>
      </c>
      <c r="S3" s="2624">
        <f>COUNTIF('C012'!$E$33:$E$65,"&lt;0")+COUNTIF('C012'!$E$75:$E$123,"&lt;0")</f>
        <v>0</v>
      </c>
      <c r="T3" s="2624">
        <f>COUNTIF('C013'!$C$39:$C$63,"&lt;0")+COUNTIF('C013'!$C$73:$C$141,"&lt;0")+COUNTIF('C013'!$C$143:$C$178,"&lt;0")</f>
        <v>0</v>
      </c>
      <c r="U3" s="2624">
        <f>COUNTIF('C013'!$D$39:$D$63,"&lt;0")+COUNTIF('C013'!$D$73:$D$141,"&lt;0")+COUNTIF('C013'!$D$143:$D$178,"&lt;0")</f>
        <v>0</v>
      </c>
      <c r="V3" s="2624">
        <f>COUNTIF('C013'!$E$39:$E$63,"&lt;0")+COUNTIF('C013'!$E$73:$E$141,"&lt;0")+COUNTIF('C013'!$E$143:$E$178,"&lt;0")</f>
        <v>0</v>
      </c>
      <c r="W3" s="2624">
        <f>COUNTIF('C014'!$C$34:$C$63,"&lt;0")+COUNTIF('C014'!$C$75:$C$142,"&lt;0")+COUNTIF('C014'!$C$144:$C$179,"&lt;0")</f>
        <v>0</v>
      </c>
      <c r="X3" s="2624">
        <f>COUNTIF('C014'!$D$34:$D$63,"&lt;0")+COUNTIF('C014'!$D$75:$D$142,"&lt;0")+COUNTIF('C014'!$D$144:$D$179,"&lt;0")</f>
        <v>0</v>
      </c>
      <c r="Y3" s="2624">
        <f>COUNTIF('C014'!$E$34:$E$63,"&lt;0")+COUNTIF('C014'!$E$75:$E$142,"&lt;0")+COUNTIF('C014'!$E$144:$E$179,"&lt;0")</f>
        <v>0</v>
      </c>
      <c r="Z3" s="2624">
        <f>COUNTIF('C015'!$C$39:$C$98,"&lt;0")+COUNTIF('C015'!$C$101:$C$174,"&lt;0")</f>
        <v>0</v>
      </c>
      <c r="AA3" s="2624">
        <f>COUNTIF('C015'!$D$39:$D$98,"&lt;0")+COUNTIF('C015'!$D$101:$D$174,"&lt;0")</f>
        <v>0</v>
      </c>
      <c r="AB3" s="2624">
        <f>COUNTIF('C015'!$E$39:$E$98,"&lt;0")+COUNTIF('C015'!$E$101:$E$174,"&lt;0")</f>
        <v>0</v>
      </c>
      <c r="AC3">
        <f>COUNTIF('C016'!$C$61:$C$143,"&lt;0")</f>
        <v>0</v>
      </c>
      <c r="AD3">
        <f>COUNTIF('C016'!$D$61:$D$143,"&lt;0")</f>
        <v>0</v>
      </c>
      <c r="AE3">
        <f>COUNTIF('C016'!$E$61:$E$143,"&lt;0")</f>
        <v>0</v>
      </c>
      <c r="AF3" s="2624">
        <f>COUNTIF('C018'!$C$34:$C$62,"&lt;0")+COUNTIF('C018'!$C$73:$C$141,"&lt;0")+COUNTIF('C018'!$C$144:$C$182,"&lt;0")</f>
        <v>0</v>
      </c>
      <c r="AG3" s="2624">
        <f>COUNTIF('C018'!$D$34:$D$62,"&lt;0")+COUNTIF('C018'!$D$73:$D$141,"&lt;0")+COUNTIF('C018'!$D$144:$D$182,"&lt;0")</f>
        <v>0</v>
      </c>
      <c r="AH3" s="2624">
        <f>COUNTIF('C018'!$E$34:$E$62,"&lt;0")+COUNTIF('C018'!$E$73:$E$141,"&lt;0")+COUNTIF('C018'!$E$144:$E$182,"&lt;0")</f>
        <v>0</v>
      </c>
      <c r="AI3">
        <f>COUNTIF('C019'!$C$30:$E$30,"&lt;0")</f>
        <v>0</v>
      </c>
      <c r="AJ3" s="2624">
        <f>COUNTIF('C022'!$C$33:$C$64,"&lt;0")+COUNTIF('C022'!$C$73:$C$153,"&lt;0")+COUNTIF('C022'!$C$156:$C$167,"&lt;0")</f>
        <v>0</v>
      </c>
      <c r="AK3" s="2624">
        <f>COUNTIF('C022'!$D$33:$D$64,"&lt;0")+COUNTIF('C022'!$D$73:$D$153,"&lt;0")+COUNTIF('C022'!$D$156:$D$167,"&lt;0")</f>
        <v>0</v>
      </c>
      <c r="AL3" s="2624">
        <f>COUNTIF('C022'!$E$33:$E$64,"&lt;0")+COUNTIF('C022'!$E$73:$E$153,"&lt;0")+COUNTIF('C022'!$E$156:$E$167,"&lt;0")</f>
        <v>0</v>
      </c>
      <c r="AM3" s="2624">
        <f>COUNTIF('C024'!$C$63:$C$99,"&lt;0")+COUNTIF('C024'!$D$63:$D$99,"&lt;0")+COUNTIF('C024'!$E$63:$E$99,"&lt;0")</f>
        <v>0</v>
      </c>
      <c r="AN3" s="2624">
        <f>COUNTIF('C026'!$C$26:$C$79,"&lt;0")+COUNTIF('C026'!$D$26:$D$79,"&lt;0")+COUNTIF('C026'!$E$26:$E$79,"&lt;0")</f>
        <v>0</v>
      </c>
      <c r="AO3" s="2624">
        <f>COUNTIF('C028'!$C$36:$C$53,"&lt;0")+COUNTIF('C028'!$C$66:$C$107,"&lt;0")+COUNTIF('C028'!$D$36:$D$53,"&lt;0")+COUNTIF('C028'!$D$66:$D$107,"&lt;0")+COUNTIF('C028'!$E$36:$E$53,"&lt;0")+COUNTIF('C028'!$E$66:$E$107,"&lt;0")</f>
        <v>0</v>
      </c>
      <c r="AP3" s="2624">
        <f>COUNTIF('C029'!$C$37:$C$66,"&lt;0")+COUNTIF('C029'!$C$76:$C$121,"&lt;0")+COUNTIF('C029'!$C$132:$C$183,"&lt;0")</f>
        <v>0</v>
      </c>
      <c r="AQ3" s="2624">
        <f>COUNTIF('C029'!$D$37:$D$66,"&lt;0")+COUNTIF('C029'!$D$76:$D$121,"&lt;0")+COUNTIF('C029'!$D$132:$D$183,"&lt;0")</f>
        <v>0</v>
      </c>
      <c r="AR3" s="2624">
        <f>COUNTIF('C029'!$E$37:$E$66,"&lt;0")+COUNTIF('C029'!$E$76:$E$121,"&lt;0")+COUNTIF('C029'!$E$132:$E$183,"&lt;0")</f>
        <v>0</v>
      </c>
      <c r="AS3" s="2624">
        <f>COUNTIF('C030'!$C$42:$C$65,"&lt;0")+COUNTIF('C030'!$C$77:$C$124,"&lt;0")+COUNTIF('C030'!$C$126:$C$210,"&lt;0")+COUNTIF('C030'!$C$212:$C$261,"&lt;0")</f>
        <v>0</v>
      </c>
      <c r="AT3" s="2624">
        <f>COUNTIF('C030'!$D$42:$D$65,"&lt;0")+COUNTIF('C030'!$D$77:$D$124,"&lt;0")+COUNTIF('C030'!$D$126:$D$210,"&lt;0")+COUNTIF('C030'!$D$212:$D$261,"&lt;0")</f>
        <v>0</v>
      </c>
      <c r="AU3" s="2624">
        <f>COUNTIF('C030'!$E$42:$E$65,"&lt;0")+COUNTIF('C030'!$E$77:$E$124,"&lt;0")+COUNTIF('C030'!$E$126:$E$210,"&lt;0")+COUNTIF('C030'!$E$212:$E$261,"&lt;0")</f>
        <v>0</v>
      </c>
      <c r="AV3">
        <f>COUNTIF('C033'!$C$28:$E$28,"&lt;0")</f>
        <v>0</v>
      </c>
      <c r="AW3" s="2624">
        <f>COUNTIF('C034'!$C$45:$C$64,"&lt;0")+COUNTIF('C034'!$C$77:$C$115,"&lt;0")+COUNTIF('C034'!$C$116:$C$186,"&lt;0")</f>
        <v>0</v>
      </c>
      <c r="AX3" s="2624">
        <f>COUNTIF('C034'!$D$45:$D$64,"&lt;0")+COUNTIF('C034'!$D$77:$D$115,"&lt;0")+COUNTIF('C034'!$D$116:$D$186,"&lt;0")</f>
        <v>0</v>
      </c>
      <c r="AY3" s="2624">
        <f>COUNTIF('C034'!$E$45:$E$64,"&lt;0")+COUNTIF('C034'!$E$77:$E$115,"&lt;0")+COUNTIF('C034'!$E$116:$E$186,"&lt;0")</f>
        <v>0</v>
      </c>
      <c r="AZ3" s="2624">
        <f>COUNTIF('C035'!$C$45:$C$99,"&lt;0")+COUNTIF('C035'!$C$101:$C$146,"&lt;0")+COUNTIF('C035'!$C$163:$C$212,"&lt;0")+COUNTIF('C035'!$C$215:$C$246,"&lt;0")</f>
        <v>0</v>
      </c>
      <c r="BA3" s="2624">
        <f>COUNTIF('C035'!$D$45:$D$99,"&lt;0")+COUNTIF('C035'!$D$101:$D$146,"&lt;0")+COUNTIF('C035'!$D$163:$D$212,"&lt;0")+COUNTIF('C035'!$D$215:$D$246,"&lt;0")</f>
        <v>0</v>
      </c>
      <c r="BB3" s="2624">
        <f>COUNTIF('C035'!$E$45:$E$99,"&lt;0")+COUNTIF('C035'!$E$101:$E$146,"&lt;0")+COUNTIF('C035'!$E$163:$E$212,"&lt;0")+COUNTIF('C035'!$E$215:$E$246,"&lt;0")</f>
        <v>0</v>
      </c>
      <c r="BC3" s="2624">
        <f>COUNTIF('C042'!$C$41:$C$45,"&lt;0")+COUNTIF('C042'!$D$41:$D$45,"&lt;0")+COUNTIF('C042'!$E$41:$E$45,"&lt;0")</f>
        <v>0</v>
      </c>
      <c r="BD3">
        <f>COUNTIF('C044'!$C$33:$E$33,"&lt;0")</f>
        <v>0</v>
      </c>
      <c r="BE3">
        <f>COUNTIF('C045'!$C$28:$E$28,"&lt;0")</f>
        <v>0</v>
      </c>
      <c r="BF3" s="2624">
        <f>COUNTIF('C047'!$C$39:$C$43,"&lt;0")+COUNTIF('C047'!$D$39:$D$43,"&lt;0")</f>
        <v>0</v>
      </c>
      <c r="BG3" s="2624">
        <f>COUNTIF('C051'!$C$19:$C$37,"&lt;0")+COUNTIF('C051'!$D$19:$D$37,"&lt;0")+COUNTIF('C051'!$E$19:$E$37,"&lt;0")</f>
        <v>0</v>
      </c>
      <c r="BH3" s="2624">
        <f>COUNTIF('C053'!$C$23:$C$58,"&lt;0")+COUNTIF('C053'!$C$71:$C$113,"&lt;0")+COUNTIF('C053'!$C$125:$C$257,"&lt;0")+COUNTIF('C053'!$C$258:$C$276,"&lt;0")</f>
        <v>0</v>
      </c>
      <c r="BI3" s="2624">
        <f>COUNTIF('C053'!$D$23:$D$58,"&lt;0")+COUNTIF('C053'!$D$71:$D$113,"&lt;0")+COUNTIF('C053'!$D$125:$D$257,"&lt;0")+COUNTIF('C053'!$D$258:$D$276,"&lt;0")</f>
        <v>0</v>
      </c>
      <c r="BJ3" s="2624">
        <f>COUNTIF('C055'!$C$27:$C$40,"&lt;0")+COUNTIF('C055'!$D$27:$D$40,"&lt;0")+COUNTIF('C055'!$E$40,"&lt;0")</f>
        <v>0</v>
      </c>
      <c r="BK3" s="2624">
        <f>COUNTIF('C056'!$C$33:$C$52,"&lt;0")+COUNTIF('C056'!$D$33:$D$52,"&lt;0")+COUNTIF('C056'!$E$33:$E$52,"&lt;0")</f>
        <v>0</v>
      </c>
      <c r="BL3" s="2624">
        <f>COUNTIF('C057'!$C$28:$C$82,"&lt;0")+COUNTIF('C057'!$C$84:$C$129,"&lt;0")+COUNTIF('C057'!$C$146:$C$195,"&lt;0")</f>
        <v>0</v>
      </c>
      <c r="BM3" s="2624">
        <f>COUNTIF('C057'!$D$28:$D$82,"&lt;0")+COUNTIF('C057'!$D$84:$D$129,"&lt;0")+COUNTIF('C057'!$D$146:$D$195,"&lt;0")</f>
        <v>0</v>
      </c>
      <c r="BN3" s="2624">
        <f>COUNTIF('C057'!$E$28:$E$82,"&lt;0")+COUNTIF('C057'!$E$84:$E$129,"&lt;0")+COUNTIF('C057'!$E$146:$E$195,"&lt;0")</f>
        <v>0</v>
      </c>
      <c r="BO3" s="2624">
        <f>COUNTIF('C062'!$C$44:$C$46,"&lt;0")+COUNTIF('C062'!$D$44:$D$46,"&lt;0")+COUNTIF('C062'!$E$44:$E$46,"&lt;0")+COUNTIF('C062'!$F$48:$F$51,"&lt;0")</f>
        <v>0</v>
      </c>
      <c r="BP3" s="2624">
        <f>COUNTIF('C063'!$C$44:$C$46,"&lt;0")+COUNTIF('C063'!$D$44:$D$46,"&lt;0")+COUNTIF('C063'!$E$44:$E$46,"&lt;0")+COUNTIF('C063'!$F$48:$F$51,"&lt;0")</f>
        <v>0</v>
      </c>
      <c r="BQ3" s="2624">
        <f>COUNTIF('C066'!$C$32:$C$33,"&lt;0")+COUNTIF('C066'!$D$32:$D$33,"&lt;0")+COUNTIF('C066'!$E$32:$E$33,"&lt;0")+COUNTIF('C066'!$F$35:$F$36,"&lt;0")</f>
        <v>0</v>
      </c>
      <c r="BR3" s="2624">
        <f>COUNTIF('C067'!$C$32:$E$32,"&lt;0")+COUNTIF('C067'!$F$34,"&lt;0")</f>
        <v>0</v>
      </c>
      <c r="BS3" s="2624">
        <f>COUNTIF('C068'!$C$33:$E$34,"&lt;0")+COUNTIF('C068'!$F$36:$F$37,"&lt;0")</f>
        <v>0</v>
      </c>
      <c r="BT3" s="2624">
        <f>COUNTIF('C078'!$C$34:$C$65,"&lt;0")+COUNTIF('C078'!$C$76:$C$123,"&lt;0")+COUNTIF('C078'!$C$150:$C$207,"&lt;0")+COUNTIF('C078'!$C$209:$C$251,"&lt;0")</f>
        <v>0</v>
      </c>
      <c r="BU3" s="2624">
        <f>COUNTIF('C078'!$D$34:$D$65,"&lt;0")+COUNTIF('C078'!$D$76:$D$123,"&lt;0")+COUNTIF('C078'!$D$150:$D$207,"&lt;0")+COUNTIF('C078'!$D$209:$D$251,"&lt;0")</f>
        <v>0</v>
      </c>
      <c r="BV3" s="2624">
        <f>COUNTIF('C078'!$E$34:$E$65,"&lt;0")+COUNTIF('C078'!$E$76:$E$123,"&lt;0")+COUNTIF('C078'!$E$150:$E$207,"&lt;0")+COUNTIF('C078'!$E$209:$E$251,"&lt;0")</f>
        <v>0</v>
      </c>
      <c r="BW3" s="2624">
        <f>COUNTIF('C080'!$C$32:$E$32,"&lt;0")+COUNTIF('C080'!$F$34,"&lt;0")</f>
        <v>0</v>
      </c>
      <c r="BX3" s="2624">
        <f>COUNTIF('C082'!$C$32:$E$32,"&lt;0")+COUNTIF('C082'!$F$34,"&lt;0")</f>
        <v>0</v>
      </c>
      <c r="BY3" s="2624">
        <f>COUNTIF('C083'!$C$32:$E$32,"&lt;0")+COUNTIF('C083'!$F$34,"&lt;0")</f>
        <v>0</v>
      </c>
      <c r="BZ3" s="2624">
        <f>COUNTIF('C084'!$C$32:$E$32,"&lt;0")+COUNTIF('C084'!$F$34,"&lt;0")</f>
        <v>0</v>
      </c>
      <c r="CA3" s="2624">
        <f>COUNTIF('C086'!$C$32:$E$32,"&lt;0")+COUNTIF('C086'!$F$34,"&lt;0")</f>
        <v>0</v>
      </c>
    </row>
  </sheetData>
  <pageMargins left="0.7" right="0.7" top="0.75" bottom="0.75" header="0.3" footer="0.3"/>
  <pageSetup orientation="portrait" r:id="rId1"/>
  <headerFooter>
    <oddHeader>&amp;CIntentionally left blank</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Y3"/>
  <sheetViews>
    <sheetView topLeftCell="AC1" workbookViewId="0">
      <selection activeCell="L5" sqref="L5"/>
    </sheetView>
  </sheetViews>
  <sheetFormatPr defaultRowHeight="12.75"/>
  <cols>
    <col min="41" max="41" width="10.140625" customWidth="1"/>
    <col min="43" max="43" width="11" customWidth="1"/>
    <col min="44" max="44" width="10.85546875" customWidth="1"/>
    <col min="45" max="45" width="12.42578125" customWidth="1"/>
    <col min="46" max="46" width="11.5703125" customWidth="1"/>
    <col min="47" max="47" width="11.7109375" customWidth="1"/>
    <col min="48" max="48" width="11" customWidth="1"/>
    <col min="49" max="49" width="12.42578125" customWidth="1"/>
    <col min="50" max="50" width="11.28515625" customWidth="1"/>
    <col min="51" max="51" width="11.85546875" customWidth="1"/>
  </cols>
  <sheetData>
    <row r="1" spans="1:51">
      <c r="A1" s="3649" t="s">
        <v>1560</v>
      </c>
      <c r="B1" s="3649"/>
      <c r="C1" s="3649"/>
      <c r="D1" s="3649"/>
      <c r="E1" s="3649"/>
      <c r="F1" s="3649"/>
      <c r="G1" s="3649"/>
      <c r="H1" s="3649"/>
      <c r="I1" s="3649"/>
      <c r="J1" s="3649"/>
      <c r="K1" s="3649"/>
      <c r="L1" s="3649"/>
      <c r="M1" s="3649"/>
      <c r="N1" s="3649"/>
      <c r="O1" s="3649"/>
      <c r="P1" s="3649"/>
      <c r="Q1" s="3649"/>
      <c r="R1" s="3649"/>
      <c r="S1" s="3649"/>
      <c r="T1" s="3649"/>
      <c r="U1" s="3649"/>
      <c r="V1" s="3649"/>
      <c r="W1" s="3649"/>
      <c r="X1" s="3649"/>
      <c r="Y1" s="3649"/>
      <c r="Z1" s="3649"/>
      <c r="AA1" s="3649"/>
      <c r="AB1" s="3649"/>
      <c r="AC1" s="3649"/>
      <c r="AD1" s="3649"/>
      <c r="AE1" s="3649"/>
      <c r="AF1" s="3649"/>
      <c r="AG1" s="3649"/>
      <c r="AH1" s="3649"/>
      <c r="AI1" s="3649"/>
      <c r="AJ1" s="3649"/>
      <c r="AK1" s="3649"/>
      <c r="AL1" s="3649"/>
      <c r="AM1" s="3649"/>
      <c r="AN1" s="3649"/>
      <c r="AO1" s="3649"/>
      <c r="AP1" s="3649"/>
    </row>
    <row r="2" spans="1:51">
      <c r="A2" s="3650" t="s">
        <v>1017</v>
      </c>
      <c r="B2" s="3650" t="s">
        <v>1561</v>
      </c>
      <c r="C2" s="3650" t="s">
        <v>1562</v>
      </c>
      <c r="D2" s="3650" t="s">
        <v>1563</v>
      </c>
      <c r="E2" s="3650" t="s">
        <v>1564</v>
      </c>
      <c r="F2" s="3650" t="s">
        <v>1565</v>
      </c>
      <c r="G2" s="3650" t="s">
        <v>1566</v>
      </c>
      <c r="H2" s="3650" t="s">
        <v>1567</v>
      </c>
      <c r="I2" s="3650" t="s">
        <v>1568</v>
      </c>
      <c r="J2" s="3650" t="s">
        <v>1569</v>
      </c>
      <c r="K2" s="3650" t="s">
        <v>1570</v>
      </c>
      <c r="L2" s="3650" t="s">
        <v>1571</v>
      </c>
      <c r="M2" s="3650" t="s">
        <v>1572</v>
      </c>
      <c r="N2" s="3650" t="s">
        <v>1573</v>
      </c>
      <c r="O2" s="3650" t="s">
        <v>1574</v>
      </c>
      <c r="P2" s="3650" t="s">
        <v>1575</v>
      </c>
      <c r="Q2" s="3650" t="s">
        <v>1576</v>
      </c>
      <c r="R2" s="3650" t="s">
        <v>1577</v>
      </c>
      <c r="S2" s="3650" t="s">
        <v>1578</v>
      </c>
      <c r="T2" s="3650" t="s">
        <v>1579</v>
      </c>
      <c r="U2" s="3650" t="s">
        <v>1580</v>
      </c>
      <c r="V2" s="3650" t="s">
        <v>1581</v>
      </c>
      <c r="W2" s="3650" t="s">
        <v>1582</v>
      </c>
      <c r="X2" s="3650" t="s">
        <v>1583</v>
      </c>
      <c r="Y2" s="3650" t="s">
        <v>1584</v>
      </c>
      <c r="Z2" s="3650" t="s">
        <v>1585</v>
      </c>
      <c r="AA2" s="3650" t="s">
        <v>1586</v>
      </c>
      <c r="AB2" s="3650" t="s">
        <v>1587</v>
      </c>
      <c r="AC2" s="3650" t="s">
        <v>1588</v>
      </c>
      <c r="AD2" s="3650" t="s">
        <v>1589</v>
      </c>
      <c r="AE2" s="3650" t="s">
        <v>1590</v>
      </c>
      <c r="AF2" s="3650" t="s">
        <v>1591</v>
      </c>
      <c r="AG2" s="3650" t="s">
        <v>1592</v>
      </c>
      <c r="AH2" s="3650" t="s">
        <v>1593</v>
      </c>
      <c r="AI2" s="3650" t="s">
        <v>1594</v>
      </c>
      <c r="AJ2" s="3650" t="s">
        <v>1595</v>
      </c>
      <c r="AK2" s="3650" t="s">
        <v>1596</v>
      </c>
      <c r="AL2" s="3650" t="s">
        <v>1597</v>
      </c>
      <c r="AM2" s="3650" t="s">
        <v>1598</v>
      </c>
      <c r="AN2" s="3650" t="s">
        <v>1599</v>
      </c>
      <c r="AO2" s="3650" t="s">
        <v>1600</v>
      </c>
      <c r="AP2" s="3650" t="s">
        <v>1601</v>
      </c>
      <c r="AQ2" s="3819" t="s">
        <v>1715</v>
      </c>
      <c r="AR2" s="3819" t="s">
        <v>1716</v>
      </c>
      <c r="AS2" s="3819" t="s">
        <v>1717</v>
      </c>
      <c r="AT2" s="3819" t="s">
        <v>1718</v>
      </c>
      <c r="AU2" s="3819" t="s">
        <v>1719</v>
      </c>
      <c r="AV2" s="3819" t="s">
        <v>1720</v>
      </c>
      <c r="AW2" s="3819" t="s">
        <v>1721</v>
      </c>
      <c r="AX2" s="3819" t="s">
        <v>1722</v>
      </c>
      <c r="AY2" s="3819" t="s">
        <v>1723</v>
      </c>
    </row>
    <row r="3" spans="1:51">
      <c r="A3">
        <f>'C06'!$C$1</f>
        <v>270</v>
      </c>
      <c r="B3" s="2624">
        <f>COUNTIF('C06'!$C$10:$C$47,"&lt;0")+COUNTIF('C06'!$D$9:$D$47,"&lt;0")+COUNTIF('C06'!$E$9:$E$47,"&lt;0")</f>
        <v>0</v>
      </c>
      <c r="C3" s="2624">
        <f>COUNTIF('C07'!$C$10:$C$18,"&lt;0")+COUNTIF('C07'!$D$10:$D$18,"&lt;0")+COUNTIF('C07'!$E$10:$E$18,"&lt;0")+COUNTIF('C07'!$E$21,"=ERROR")</f>
        <v>0</v>
      </c>
      <c r="D3" s="2624">
        <f>COUNTIF('C08'!$C$9:$C$31,"&lt;0")+COUNTIF('C08'!$D$9:$D$27,"&lt;0")+COUNTIF('C08'!$E$9:$E$27,"&lt;0")</f>
        <v>0</v>
      </c>
      <c r="E3" s="2624">
        <f>COUNTIF('C010'!$C$9:$C$47,"&lt;0")+COUNTIF('C010'!$D$9:$D$47,"&lt;0")+COUNTIF('C010'!$E$9:$E$45,"&lt;0")+COUNTIF('C010'!$F$9:$F$46,"&lt;0")</f>
        <v>0</v>
      </c>
      <c r="F3" s="2624">
        <f>COUNTIF('C011'!$C$9:$C$26,"&lt;0")+COUNTIF('C011'!$D$9:$D$26,"&lt;0")+COUNTIF('C011'!$E$9:$E$25,"&lt;0")</f>
        <v>0</v>
      </c>
      <c r="G3" s="2624">
        <f>COUNTIF('C012'!$C$9:$C$22,"&lt;0")+COUNTIF('C012'!$D$9:$D$22,"&lt;0")+COUNTIF('C012'!$E$9:$E$21,"&lt;0")</f>
        <v>0</v>
      </c>
      <c r="H3" s="2624">
        <f>COUNTIF('C013'!$C$9:$C$26,"&lt;0")+COUNTIF('C013'!$D$9:$D$26,"&lt;0")+COUNTIF('C013'!$E$9:$E$25,"&lt;0")</f>
        <v>0</v>
      </c>
      <c r="I3" s="2624">
        <f>COUNTIF('C014'!$C$9:$C$21,"&lt;0")+COUNTIF('C014'!$D$9:$D$21,"&lt;0")+COUNTIF('C014'!$E$9:$E$20,"&lt;0")</f>
        <v>0</v>
      </c>
      <c r="J3" s="2624">
        <f>COUNTIF('C015'!$C$9:$C$22,"&lt;0")+COUNTIF('C015'!$D$9:$D$22,"&lt;0")+COUNTIF('C015'!$E$9:$E$21,"&lt;0")</f>
        <v>0</v>
      </c>
      <c r="K3" s="2624">
        <f>COUNTIF('C016'!$C$9:$C$41,"&lt;0")+COUNTIF('C016'!$D$9:$D$41,"&lt;0")+COUNTIF('C016'!$E$9:$E$41,"&lt;0")+COUNTIF('C016'!$F$9:$F$41,"&lt;0")</f>
        <v>0</v>
      </c>
      <c r="L3" s="2624">
        <f>COUNTIF('C018'!$C$9:$C$22,"&lt;0")+COUNTIF('C018'!$D$9:$D$22,"&lt;0")+COUNTIF('C018'!$E$9:$E$21,"&lt;0")</f>
        <v>0</v>
      </c>
      <c r="M3" s="2624">
        <f>COUNTIF('C019'!$C$9:$C$25,"&lt;0")+COUNTIF('C019'!$D$9:$D$24,"&lt;0")+COUNTIF('C019'!$E$9:$E$24,"&lt;0")</f>
        <v>0</v>
      </c>
      <c r="N3" s="2624">
        <f>COUNTIF('C022'!$C$9:$C$21,"&lt;0")+COUNTIF('C022'!$D$9:$D$21,"&lt;0")+COUNTIF('C022'!$E$9:$E$20,"&lt;0")</f>
        <v>0</v>
      </c>
      <c r="O3" s="2624">
        <f>COUNTIF('C024'!$C$9:$C$30,"&lt;0")+COUNTIF('C024'!$D$9:$D$30,"&lt;0")+COUNTIF('C024'!$E$9:$E$29,"&lt;0")</f>
        <v>0</v>
      </c>
      <c r="P3" s="2624">
        <f>COUNTIF('C026'!$C$9:$C$20,"&lt;0")+COUNTIF('C026'!$D$9:$D$20,"&lt;0")+COUNTIF('C026'!$E$9:$E$19,"&lt;0")</f>
        <v>0</v>
      </c>
      <c r="Q3" s="2624">
        <f>COUNTIF('C028'!$C$9:$C$23,"&lt;0")+COUNTIF('C028'!$D$9:$D$23,"&lt;0")+COUNTIF('C028'!$E$9:$E$22,"&lt;0")</f>
        <v>0</v>
      </c>
      <c r="R3" s="2624">
        <f>COUNTIF('C029'!$C$9:$C$25,"&lt;0")+COUNTIF('C029'!$D$9:$D$25,"&lt;0")+COUNTIF('C029'!$E$9:$E$24,"&lt;0")</f>
        <v>0</v>
      </c>
      <c r="S3" s="2624">
        <f>COUNTIF('C030'!$C$9:$C$26,"&lt;0")+COUNTIF('C030'!$D$9:$D$26,"&lt;0")+COUNTIF('C030'!$E$9:$E$25,"&lt;0")</f>
        <v>0</v>
      </c>
      <c r="T3" s="2624">
        <f>COUNTIF('C033'!$C$9:$C$23,"&lt;0")+COUNTIF('C033'!$D$9:$D$23,"&lt;0")+COUNTIF('C033'!$E$9:$E$23,"&lt;0")</f>
        <v>0</v>
      </c>
      <c r="U3" s="2624">
        <f>COUNTIF('C034'!$C$9:$C$33,"&lt;0")+COUNTIF('C034'!$D$9:$D$33,"&lt;0")+COUNTIF('C034'!$E$9:$E$32,"&lt;0")</f>
        <v>0</v>
      </c>
      <c r="V3" s="2624">
        <f>COUNTIF('C035'!$C$9:$C$19,"&lt;0")+COUNTIF('C035'!$D$9:$D$19,"&lt;0")+COUNTIF('C035'!$E$9:$E$19,"&lt;0")</f>
        <v>0</v>
      </c>
      <c r="W3" s="2624">
        <f>COUNTIF('C042'!$C$9:$C$36,"&lt;0")+COUNTIF('C042'!$D$9:$D$36,"&lt;0")+COUNTIF('C042'!$E$9:$E$35,"&lt;0")+COUNTIF('C042'!$F$9:$F$35,"&lt;0")</f>
        <v>0</v>
      </c>
      <c r="X3" s="2624">
        <f>COUNTIF('C044'!$C$9:$C$28,"&lt;0")+COUNTIF('C044'!$D$9:$D$28,"&lt;0")+COUNTIF('C044'!$E$9:$E$28,"&lt;0")+COUNTIF('C044'!$F$9:$F$28,"&lt;0")</f>
        <v>0</v>
      </c>
      <c r="Y3" s="2624">
        <f>COUNTIF('C045'!$C$9:$C$23,"&lt;0")+COUNTIF('C045'!$D$9:$D$23,"&lt;0")+COUNTIF('C045'!$E$9:$E$23,"&lt;0")</f>
        <v>0</v>
      </c>
      <c r="Z3" s="2624">
        <f>COUNTIF('C047'!$C$9:$C$33,"&lt;0")+COUNTIF('C047'!$D$9:$D$33,"&lt;0")</f>
        <v>0</v>
      </c>
      <c r="AA3">
        <f>COUNTIF('C051'!$C$13:$E$13,"&lt;0")</f>
        <v>0</v>
      </c>
      <c r="AB3" s="2624">
        <f>COUNTIF('C053'!$C$9:$C$12,"&lt;0")+COUNTIF('C053'!$D$9:$D$12,"&lt;0")+COUNTIF('C053'!$E$9,"&lt;0")</f>
        <v>0</v>
      </c>
      <c r="AC3" s="2624">
        <f>COUNTIF('C055'!$C$9:$C$23,"&lt;0")+COUNTIF('C055'!$D$9:$D$23,"&lt;0")+COUNTIF('C055'!$E$9,"&lt;0")</f>
        <v>0</v>
      </c>
      <c r="AD3" s="2624">
        <f>COUNTIF('C056'!$C$9:$C$16,"&lt;0")+COUNTIF('C056'!$D$9:$D$16,"&lt;0")+COUNTIF('C056'!$E$9,"&lt;0")</f>
        <v>0</v>
      </c>
      <c r="AE3" s="2624">
        <f>COUNTIF('C057'!$C$9:$C$16,"&lt;0")+COUNTIF('C057'!$D$9:$D$16,"&lt;0")+COUNTIF('C057'!$E$9:$E$16,"&lt;0")</f>
        <v>0</v>
      </c>
      <c r="AF3" s="2624">
        <f>COUNTIF('C062'!$C$9:$C$40,"&lt;0")+COUNTIF('C062'!$D$9:$D$40,"&lt;0")+COUNTIF('C062'!$E$9:$E$40,"&lt;0")+COUNTIF('C062'!$F$9:$F$40,"&lt;0")</f>
        <v>0</v>
      </c>
      <c r="AG3" s="2624">
        <f>COUNTIF('C063'!$C$9:$C$40,"&lt;0")+COUNTIF('C063'!$D$9:$D$40,"&lt;0")+COUNTIF('C063'!$E$9:$E$40,"&lt;0")+COUNTIF('C063'!$F$9:$F$40,"&lt;0")</f>
        <v>0</v>
      </c>
      <c r="AH3" s="2624">
        <f>COUNTIF('C066'!$C$9:$C$28,"&lt;0")+COUNTIF('C066'!$D$9:$D$28,"&lt;0")+COUNTIF('C066'!$E$9:$E$28,"&lt;0")+COUNTIF('C066'!$F$9:$F$28,"&lt;0")</f>
        <v>0</v>
      </c>
      <c r="AI3" s="2624">
        <f>COUNTIF('C067'!$C$9:$C$28,"&lt;0")+COUNTIF('C067'!$D$9:$D$28,"&lt;0")+COUNTIF('C067'!$E$9:$E$28,"&lt;0")+COUNTIF('C067'!$F$9:$F$28,"&lt;0")</f>
        <v>0</v>
      </c>
      <c r="AJ3" s="2624">
        <f>COUNTIF('C068'!$C$9:$C$29,"&lt;0")+COUNTIF('C068'!$D$9:$D$29,"&lt;0")+COUNTIF('C068'!$E$9:$E$29,"&lt;0")+COUNTIF('C068'!$F$9:$F$29,"&lt;0")</f>
        <v>0</v>
      </c>
      <c r="AK3" s="2624">
        <f>COUNTIF('C078'!$C$9:$C$21,"&lt;0")+COUNTIF('C078'!$D$9:$D$21,"&lt;0")+COUNTIF('C078'!$E$9:$E$21,"&lt;0")</f>
        <v>0</v>
      </c>
      <c r="AL3" s="2624">
        <f>COUNTIF('C080'!$C$9:$C$29,"&lt;0")+COUNTIF('C080'!$D$9:$D$29,"&lt;0")+COUNTIF('C080'!$E$9:$E$29,"&lt;0")+COUNTIF('C080'!$F$9:$F$29,"&lt;0")</f>
        <v>0</v>
      </c>
      <c r="AM3" s="2624">
        <f>COUNTIF('C082'!$C$9:$C$29,"&lt;0")+COUNTIF('C082'!$D$9:$D$29,"&lt;0")+COUNTIF('C082'!$E$9:$E$29,"&lt;0")+COUNTIF('C082'!$F$9:$F$29,"&lt;0")</f>
        <v>0</v>
      </c>
      <c r="AN3" s="2624">
        <f>COUNTIF('C083'!$C$9:$C$29,"&lt;0")+COUNTIF('C083'!$D$9:$D$29,"&lt;0")+COUNTIF('C083'!$E$9:$E$29,"&lt;0")+COUNTIF('C083'!$F$9:$F$29,"&lt;0")</f>
        <v>0</v>
      </c>
      <c r="AO3" s="2624">
        <f>COUNTIF('C084'!$C$9:$C$29,"&lt;0")+COUNTIF('C084'!$D$9:$D$29,"&lt;0")+COUNTIF('C084'!$E$9:$E$29,"&lt;0")+COUNTIF('C084'!$F$9:$F$29,"&lt;0")</f>
        <v>0</v>
      </c>
      <c r="AP3" s="2624">
        <f>COUNTIF('C086'!$C$9:$C$29,"&lt;0")+COUNTIF('C086'!$D$9:$D$29,"&lt;0")+COUNTIF('C086'!$E$9:$E$29,"&lt;0")+COUNTIF('C086'!$F$9:$F$29,"&lt;0")</f>
        <v>0</v>
      </c>
    </row>
  </sheetData>
  <pageMargins left="0.7" right="0.7" top="0.75" bottom="0.75" header="0.3" footer="0.3"/>
  <pageSetup orientation="portrait" r:id="rId1"/>
  <headerFooter>
    <oddHeader>&amp;CIntentionally left blank</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6" tint="-0.249977111117893"/>
    <pageSetUpPr fitToPage="1"/>
  </sheetPr>
  <dimension ref="A1:L49"/>
  <sheetViews>
    <sheetView topLeftCell="A24" workbookViewId="0">
      <selection activeCell="H27" sqref="H27"/>
    </sheetView>
  </sheetViews>
  <sheetFormatPr defaultColWidth="10.7109375" defaultRowHeight="15"/>
  <cols>
    <col min="1" max="1" width="18.140625" style="4576" customWidth="1"/>
    <col min="2" max="2" width="4.28515625" style="4685" customWidth="1"/>
    <col min="3" max="3" width="14.140625" style="4576" customWidth="1"/>
    <col min="4" max="4" width="6.5703125" style="4576" customWidth="1"/>
    <col min="5" max="5" width="14.140625" style="4576" customWidth="1"/>
    <col min="6" max="6" width="7" style="4576" customWidth="1"/>
    <col min="7" max="7" width="13.85546875" style="4576" customWidth="1"/>
    <col min="8" max="8" width="8.42578125" style="4576" customWidth="1"/>
    <col min="9" max="9" width="13" style="4576" customWidth="1"/>
    <col min="10" max="10" width="18.7109375" style="4576" customWidth="1"/>
    <col min="11" max="11" width="3" style="4576" customWidth="1"/>
    <col min="12" max="12" width="20.85546875" style="4576" customWidth="1"/>
    <col min="13" max="16384" width="10.7109375" style="4576"/>
  </cols>
  <sheetData>
    <row r="1" spans="1:12" ht="12" customHeight="1">
      <c r="A1" s="4569" t="s">
        <v>2161</v>
      </c>
      <c r="B1" s="4570"/>
      <c r="C1" s="4571"/>
      <c r="D1" s="4572" t="s">
        <v>2162</v>
      </c>
      <c r="E1" s="4572"/>
      <c r="F1" s="4573"/>
      <c r="G1" s="4573"/>
      <c r="H1" s="4573"/>
      <c r="I1" s="4574" t="s">
        <v>987</v>
      </c>
      <c r="J1" s="4575">
        <f>OPEN!$B$4</f>
        <v>270</v>
      </c>
      <c r="L1" s="4288" t="s">
        <v>866</v>
      </c>
    </row>
    <row r="2" spans="1:12" ht="12" customHeight="1">
      <c r="A2" s="4577" t="s">
        <v>2163</v>
      </c>
      <c r="B2" s="4578"/>
      <c r="C2" s="4579"/>
      <c r="D2" s="4580" t="s">
        <v>2164</v>
      </c>
      <c r="E2" s="4580"/>
      <c r="F2" s="4580"/>
      <c r="G2" s="4580"/>
      <c r="H2" s="4580"/>
      <c r="I2" s="4579"/>
      <c r="J2" s="4581"/>
    </row>
    <row r="3" spans="1:12" ht="12" customHeight="1">
      <c r="A3" s="4582">
        <f>OPEN!$N$3</f>
        <v>42522</v>
      </c>
      <c r="B3" s="4578"/>
      <c r="C3" s="4578"/>
      <c r="D3" s="4572" t="s">
        <v>2165</v>
      </c>
      <c r="E3" s="4579"/>
      <c r="F3" s="4579"/>
      <c r="G3" s="4573"/>
      <c r="H3" s="4573"/>
      <c r="I3" s="4581"/>
      <c r="J3" s="4581"/>
    </row>
    <row r="4" spans="1:12">
      <c r="A4" s="4583" t="str">
        <f>OPEN!$N$2</f>
        <v>2016-2017</v>
      </c>
      <c r="B4" s="4584"/>
      <c r="C4" s="4583"/>
      <c r="D4" s="4583"/>
      <c r="E4" s="4583"/>
      <c r="F4" s="4583"/>
      <c r="G4" s="4583"/>
      <c r="H4" s="4583"/>
      <c r="I4" s="4583"/>
      <c r="J4" s="4583"/>
    </row>
    <row r="5" spans="1:12" ht="12" customHeight="1">
      <c r="A5" s="4580" t="s">
        <v>2166</v>
      </c>
      <c r="B5" s="4584"/>
      <c r="C5" s="4583"/>
      <c r="D5" s="4583"/>
      <c r="E5" s="4583"/>
      <c r="F5" s="4583"/>
      <c r="G5" s="4583"/>
      <c r="H5" s="4583"/>
      <c r="I5" s="4583"/>
      <c r="J5" s="4583"/>
    </row>
    <row r="6" spans="1:12" ht="3" customHeight="1">
      <c r="A6" s="4569"/>
      <c r="B6" s="4570"/>
      <c r="C6" s="4585"/>
      <c r="D6" s="4586"/>
      <c r="E6" s="4587"/>
      <c r="F6" s="4586"/>
      <c r="G6" s="4587"/>
      <c r="H6" s="4586"/>
      <c r="I6" s="4587"/>
      <c r="J6" s="4585"/>
    </row>
    <row r="7" spans="1:12" ht="12" customHeight="1">
      <c r="A7" s="4569"/>
      <c r="B7" s="4570"/>
      <c r="C7" s="4588" t="s">
        <v>1121</v>
      </c>
      <c r="D7" s="4589"/>
      <c r="E7" s="4590"/>
      <c r="F7" s="4589"/>
      <c r="G7" s="4590"/>
      <c r="H7" s="4591" t="s">
        <v>2167</v>
      </c>
      <c r="I7" s="4592"/>
      <c r="J7" s="4593" t="s">
        <v>1121</v>
      </c>
    </row>
    <row r="8" spans="1:12">
      <c r="A8" s="4569"/>
      <c r="B8" s="4570"/>
      <c r="C8" s="4588" t="s">
        <v>2168</v>
      </c>
      <c r="D8" s="4591" t="s">
        <v>2169</v>
      </c>
      <c r="E8" s="4592"/>
      <c r="F8" s="4591" t="s">
        <v>2170</v>
      </c>
      <c r="G8" s="4592"/>
      <c r="H8" s="4591" t="s">
        <v>2171</v>
      </c>
      <c r="I8" s="4592"/>
      <c r="J8" s="4593" t="str">
        <f>"7-1-"&amp;OPEN!$Q$5&amp;" to 6-30-"&amp;OPEN!$S$5</f>
        <v>7-1-2016 to 6-30-2017</v>
      </c>
    </row>
    <row r="9" spans="1:12" ht="15.75" thickBot="1">
      <c r="A9" s="4594"/>
      <c r="B9" s="4595"/>
      <c r="C9" s="4596" t="s">
        <v>2172</v>
      </c>
      <c r="D9" s="4597" t="s">
        <v>2173</v>
      </c>
      <c r="E9" s="4598" t="s">
        <v>2174</v>
      </c>
      <c r="F9" s="4597" t="s">
        <v>2173</v>
      </c>
      <c r="G9" s="4598" t="s">
        <v>2174</v>
      </c>
      <c r="H9" s="4597" t="s">
        <v>2175</v>
      </c>
      <c r="I9" s="4599" t="s">
        <v>2176</v>
      </c>
      <c r="J9" s="4600"/>
    </row>
    <row r="10" spans="1:12" ht="3" customHeight="1" thickTop="1">
      <c r="A10" s="4601"/>
      <c r="B10" s="4602"/>
      <c r="C10" s="4603"/>
      <c r="D10" s="4604"/>
      <c r="E10" s="4603"/>
      <c r="F10" s="4604"/>
      <c r="G10" s="4605"/>
      <c r="H10" s="4606"/>
      <c r="I10" s="4603"/>
      <c r="J10" s="4607"/>
    </row>
    <row r="11" spans="1:12">
      <c r="A11" s="4608" t="s">
        <v>2177</v>
      </c>
      <c r="B11" s="4570"/>
      <c r="C11" s="4589"/>
      <c r="D11" s="4609"/>
      <c r="E11" s="4590"/>
      <c r="F11" s="4610"/>
      <c r="G11" s="4589"/>
      <c r="H11" s="4611"/>
      <c r="I11" s="4612"/>
      <c r="J11" s="4613"/>
    </row>
    <row r="12" spans="1:12">
      <c r="A12" s="4569" t="s">
        <v>2178</v>
      </c>
      <c r="B12" s="4570">
        <v>1</v>
      </c>
      <c r="C12" s="4614">
        <v>8730</v>
      </c>
      <c r="D12" s="4615">
        <v>0.58750000000000002</v>
      </c>
      <c r="E12" s="4616">
        <f>C12*D12</f>
        <v>5129</v>
      </c>
      <c r="F12" s="4617">
        <v>0.04</v>
      </c>
      <c r="G12" s="4618">
        <f>SUM(C12*F12)</f>
        <v>349</v>
      </c>
      <c r="H12" s="4619">
        <v>2.5499999999999998</v>
      </c>
      <c r="I12" s="4618">
        <f>C12*H12</f>
        <v>22262</v>
      </c>
      <c r="J12" s="4618">
        <f t="shared" ref="J12:J18" si="0">SUM(E12+G12+I12)</f>
        <v>27740</v>
      </c>
    </row>
    <row r="13" spans="1:12">
      <c r="A13" s="4569" t="s">
        <v>2179</v>
      </c>
      <c r="B13" s="4570">
        <v>2</v>
      </c>
      <c r="C13" s="4620">
        <v>6076</v>
      </c>
      <c r="D13" s="4615">
        <v>0.58750000000000002</v>
      </c>
      <c r="E13" s="4616">
        <f>C13*D13</f>
        <v>3570</v>
      </c>
      <c r="F13" s="4617">
        <v>0.04</v>
      </c>
      <c r="G13" s="4618">
        <f>SUM(C13*F13)</f>
        <v>243</v>
      </c>
      <c r="H13" s="4621">
        <v>2.65</v>
      </c>
      <c r="I13" s="4618">
        <f>C13*H13</f>
        <v>16101</v>
      </c>
      <c r="J13" s="4618">
        <f t="shared" si="0"/>
        <v>19914</v>
      </c>
    </row>
    <row r="14" spans="1:12">
      <c r="A14" s="4569" t="s">
        <v>2180</v>
      </c>
      <c r="B14" s="4570">
        <v>3</v>
      </c>
      <c r="C14" s="4620">
        <v>9248</v>
      </c>
      <c r="D14" s="4615">
        <v>0.58750000000000002</v>
      </c>
      <c r="E14" s="4616">
        <f>C14*D14</f>
        <v>5433</v>
      </c>
      <c r="F14" s="4617">
        <v>0.04</v>
      </c>
      <c r="G14" s="4618">
        <f>SUM(C14*F14)</f>
        <v>370</v>
      </c>
      <c r="H14" s="4622">
        <v>2.75</v>
      </c>
      <c r="I14" s="4623">
        <f>C14*H14</f>
        <v>25432</v>
      </c>
      <c r="J14" s="4618">
        <f t="shared" si="0"/>
        <v>31235</v>
      </c>
    </row>
    <row r="15" spans="1:12">
      <c r="A15" s="4569" t="s">
        <v>2181</v>
      </c>
      <c r="B15" s="4570">
        <v>4</v>
      </c>
      <c r="C15" s="4620">
        <v>12559</v>
      </c>
      <c r="D15" s="4615">
        <v>3.3675000000000002</v>
      </c>
      <c r="E15" s="4616">
        <f>C15*D15</f>
        <v>42292</v>
      </c>
      <c r="F15" s="4617">
        <v>0.04</v>
      </c>
      <c r="G15" s="4624">
        <f>SUM(C15*F15)</f>
        <v>502</v>
      </c>
      <c r="H15" s="4625"/>
      <c r="I15" s="4626"/>
      <c r="J15" s="4616">
        <f t="shared" si="0"/>
        <v>42794</v>
      </c>
    </row>
    <row r="16" spans="1:12">
      <c r="A16" s="4569" t="s">
        <v>2182</v>
      </c>
      <c r="B16" s="4570">
        <v>5</v>
      </c>
      <c r="C16" s="4620">
        <v>5798</v>
      </c>
      <c r="D16" s="4615">
        <v>2.9674999999999998</v>
      </c>
      <c r="E16" s="4627">
        <f>C16*D16</f>
        <v>17206</v>
      </c>
      <c r="F16" s="4617">
        <v>0.04</v>
      </c>
      <c r="G16" s="4628">
        <f>SUM(C16*F16)</f>
        <v>232</v>
      </c>
      <c r="H16" s="4629">
        <v>0.4</v>
      </c>
      <c r="I16" s="4616">
        <f>C16*H16</f>
        <v>2319</v>
      </c>
      <c r="J16" s="4616">
        <f t="shared" si="0"/>
        <v>19757</v>
      </c>
    </row>
    <row r="17" spans="1:10">
      <c r="A17" s="4569" t="s">
        <v>2016</v>
      </c>
      <c r="B17" s="4570">
        <v>6</v>
      </c>
      <c r="C17" s="4620">
        <v>1191</v>
      </c>
      <c r="D17" s="4630"/>
      <c r="E17" s="4626"/>
      <c r="F17" s="4631"/>
      <c r="G17" s="4632"/>
      <c r="H17" s="4619">
        <v>3.35</v>
      </c>
      <c r="I17" s="4616">
        <f>C17*H17</f>
        <v>3990</v>
      </c>
      <c r="J17" s="4618">
        <f t="shared" si="0"/>
        <v>3990</v>
      </c>
    </row>
    <row r="18" spans="1:10">
      <c r="A18" s="4574" t="s">
        <v>1121</v>
      </c>
      <c r="B18" s="4633">
        <v>7</v>
      </c>
      <c r="C18" s="4634">
        <f>SUM(C12:C17)</f>
        <v>43602</v>
      </c>
      <c r="D18" s="4630"/>
      <c r="E18" s="4616">
        <f>SUM(E12:E16)</f>
        <v>73630</v>
      </c>
      <c r="F18" s="4635"/>
      <c r="G18" s="4618">
        <f>SUM(G12:G16)</f>
        <v>1696</v>
      </c>
      <c r="H18" s="4636"/>
      <c r="I18" s="4637">
        <f>SUM(I12:I17)</f>
        <v>70104</v>
      </c>
      <c r="J18" s="4623">
        <f t="shared" si="0"/>
        <v>145430</v>
      </c>
    </row>
    <row r="19" spans="1:10" ht="3.75" customHeight="1">
      <c r="A19" s="4569"/>
      <c r="B19" s="4570"/>
      <c r="C19" s="4638"/>
      <c r="D19" s="4639"/>
      <c r="E19" s="4640"/>
      <c r="F19" s="4631"/>
      <c r="G19" s="4641"/>
      <c r="H19" s="4642"/>
      <c r="I19" s="4643"/>
      <c r="J19" s="4644"/>
    </row>
    <row r="20" spans="1:10">
      <c r="A20" s="4608" t="s">
        <v>2183</v>
      </c>
      <c r="B20" s="4570"/>
      <c r="C20" s="4645"/>
      <c r="D20" s="4639"/>
      <c r="E20" s="4640"/>
      <c r="F20" s="4631"/>
      <c r="G20" s="4646"/>
      <c r="H20" s="4647"/>
      <c r="I20" s="4648"/>
      <c r="J20" s="4649"/>
    </row>
    <row r="21" spans="1:10">
      <c r="A21" s="4569" t="s">
        <v>2178</v>
      </c>
      <c r="B21" s="4570">
        <v>8</v>
      </c>
      <c r="C21" s="4614">
        <v>237</v>
      </c>
      <c r="D21" s="4615">
        <v>0.28999999999999998</v>
      </c>
      <c r="E21" s="4616">
        <f>C21*D21</f>
        <v>69</v>
      </c>
      <c r="F21" s="4631"/>
      <c r="G21" s="4646"/>
      <c r="H21" s="4650">
        <v>1.7</v>
      </c>
      <c r="I21" s="4624">
        <f>C21*H21</f>
        <v>403</v>
      </c>
      <c r="J21" s="4618">
        <f t="shared" ref="J21:J26" si="1">SUM(E21+G21+I21)</f>
        <v>472</v>
      </c>
    </row>
    <row r="22" spans="1:10">
      <c r="A22" s="4569" t="s">
        <v>2184</v>
      </c>
      <c r="B22" s="4570">
        <v>9</v>
      </c>
      <c r="C22" s="4614">
        <v>165</v>
      </c>
      <c r="D22" s="4615">
        <v>0.28999999999999998</v>
      </c>
      <c r="E22" s="4616">
        <f>C22*D22</f>
        <v>48</v>
      </c>
      <c r="F22" s="4631"/>
      <c r="G22" s="4646"/>
      <c r="H22" s="4619">
        <v>1.8</v>
      </c>
      <c r="I22" s="4618">
        <f>C22*H22</f>
        <v>297</v>
      </c>
      <c r="J22" s="4618">
        <f t="shared" si="1"/>
        <v>345</v>
      </c>
    </row>
    <row r="23" spans="1:10">
      <c r="A23" s="4569" t="s">
        <v>2185</v>
      </c>
      <c r="B23" s="4570">
        <v>10</v>
      </c>
      <c r="C23" s="4620">
        <v>259</v>
      </c>
      <c r="D23" s="4615">
        <v>0.28999999999999998</v>
      </c>
      <c r="E23" s="4651">
        <f>C23*D23</f>
        <v>75</v>
      </c>
      <c r="F23" s="4631"/>
      <c r="G23" s="4646"/>
      <c r="H23" s="4622">
        <v>1.9</v>
      </c>
      <c r="I23" s="4652">
        <f>C23*H23</f>
        <v>492</v>
      </c>
      <c r="J23" s="4618">
        <f t="shared" si="1"/>
        <v>567</v>
      </c>
    </row>
    <row r="24" spans="1:10">
      <c r="A24" s="4569" t="s">
        <v>2181</v>
      </c>
      <c r="B24" s="4570">
        <v>11</v>
      </c>
      <c r="C24" s="4620">
        <v>3344</v>
      </c>
      <c r="D24" s="4615">
        <v>1.66</v>
      </c>
      <c r="E24" s="4651">
        <f>C24*D24</f>
        <v>5551</v>
      </c>
      <c r="F24" s="4631"/>
      <c r="G24" s="4646"/>
      <c r="H24" s="4625"/>
      <c r="I24" s="4626"/>
      <c r="J24" s="4616">
        <f t="shared" si="1"/>
        <v>5551</v>
      </c>
    </row>
    <row r="25" spans="1:10">
      <c r="A25" s="4569" t="s">
        <v>2182</v>
      </c>
      <c r="B25" s="4570">
        <v>12</v>
      </c>
      <c r="C25" s="4620">
        <v>847</v>
      </c>
      <c r="D25" s="4615">
        <v>1.36</v>
      </c>
      <c r="E25" s="4651">
        <f>C25*D25</f>
        <v>1152</v>
      </c>
      <c r="F25" s="4631"/>
      <c r="G25" s="4646"/>
      <c r="H25" s="4629">
        <v>0.3</v>
      </c>
      <c r="I25" s="4616">
        <f>C25*H25</f>
        <v>254</v>
      </c>
      <c r="J25" s="4616">
        <f t="shared" si="1"/>
        <v>1406</v>
      </c>
    </row>
    <row r="26" spans="1:10">
      <c r="A26" s="4569" t="s">
        <v>2016</v>
      </c>
      <c r="B26" s="4570">
        <v>13</v>
      </c>
      <c r="C26" s="4620">
        <v>0</v>
      </c>
      <c r="D26" s="4653"/>
      <c r="E26" s="4654"/>
      <c r="F26" s="4631"/>
      <c r="G26" s="4646"/>
      <c r="H26" s="4619">
        <v>2.0499999999999998</v>
      </c>
      <c r="I26" s="4616">
        <f>C26*H26</f>
        <v>0</v>
      </c>
      <c r="J26" s="4618">
        <f t="shared" si="1"/>
        <v>0</v>
      </c>
    </row>
    <row r="27" spans="1:10">
      <c r="A27" s="4574" t="s">
        <v>1121</v>
      </c>
      <c r="B27" s="4655">
        <v>14</v>
      </c>
      <c r="C27" s="4634">
        <f>SUM(C21:C26)</f>
        <v>4852</v>
      </c>
      <c r="D27" s="4653"/>
      <c r="E27" s="4637">
        <f>SUM(E21:E25)</f>
        <v>6895</v>
      </c>
      <c r="F27" s="4631"/>
      <c r="G27" s="4646"/>
      <c r="H27" s="4656"/>
      <c r="I27" s="4637">
        <f>SUM(I21:I26)</f>
        <v>1446</v>
      </c>
      <c r="J27" s="4623">
        <f>SUM(J21:J26)</f>
        <v>8341</v>
      </c>
    </row>
    <row r="28" spans="1:10" ht="3" customHeight="1">
      <c r="A28" s="4574"/>
      <c r="B28" s="4655"/>
      <c r="C28" s="4638"/>
      <c r="D28" s="4653"/>
      <c r="E28" s="4657"/>
      <c r="F28" s="4631"/>
      <c r="G28" s="4646"/>
      <c r="H28" s="4658"/>
      <c r="I28" s="4659"/>
      <c r="J28" s="4644"/>
    </row>
    <row r="29" spans="1:10">
      <c r="A29" s="4608" t="s">
        <v>2186</v>
      </c>
      <c r="B29" s="4570"/>
      <c r="C29" s="4645"/>
      <c r="D29" s="4639"/>
      <c r="E29" s="4640"/>
      <c r="F29" s="4631"/>
      <c r="G29" s="4646"/>
      <c r="H29" s="4658"/>
      <c r="I29" s="4660"/>
      <c r="J29" s="4649"/>
    </row>
    <row r="30" spans="1:10">
      <c r="A30" s="4569" t="s">
        <v>2178</v>
      </c>
      <c r="B30" s="4570">
        <v>15</v>
      </c>
      <c r="C30" s="4614"/>
      <c r="D30" s="4615">
        <v>7.0000000000000007E-2</v>
      </c>
      <c r="E30" s="4616">
        <f>C30*D30</f>
        <v>0</v>
      </c>
      <c r="F30" s="4631"/>
      <c r="G30" s="4646"/>
      <c r="H30" s="4650"/>
      <c r="I30" s="4624">
        <f>C30*H30</f>
        <v>0</v>
      </c>
      <c r="J30" s="4618">
        <f t="shared" ref="J30:J35" si="2">SUM(E30+G30+I30)</f>
        <v>0</v>
      </c>
    </row>
    <row r="31" spans="1:10">
      <c r="A31" s="4569" t="s">
        <v>2184</v>
      </c>
      <c r="B31" s="4570">
        <v>16</v>
      </c>
      <c r="C31" s="4614"/>
      <c r="D31" s="4615">
        <v>7.0000000000000007E-2</v>
      </c>
      <c r="E31" s="4616">
        <f>C31*D31</f>
        <v>0</v>
      </c>
      <c r="F31" s="4631"/>
      <c r="G31" s="4646"/>
      <c r="H31" s="4619"/>
      <c r="I31" s="4618">
        <f>C31*H31</f>
        <v>0</v>
      </c>
      <c r="J31" s="4618">
        <f t="shared" si="2"/>
        <v>0</v>
      </c>
    </row>
    <row r="32" spans="1:10">
      <c r="A32" s="4569" t="s">
        <v>2185</v>
      </c>
      <c r="B32" s="4570">
        <v>17</v>
      </c>
      <c r="C32" s="4620"/>
      <c r="D32" s="4615">
        <v>7.0000000000000007E-2</v>
      </c>
      <c r="E32" s="4651">
        <f>C32*D32</f>
        <v>0</v>
      </c>
      <c r="F32" s="4631"/>
      <c r="G32" s="4646"/>
      <c r="H32" s="4622"/>
      <c r="I32" s="4652">
        <f>C32*H32</f>
        <v>0</v>
      </c>
      <c r="J32" s="4618">
        <f t="shared" si="2"/>
        <v>0</v>
      </c>
    </row>
    <row r="33" spans="1:10">
      <c r="A33" s="4569" t="s">
        <v>2181</v>
      </c>
      <c r="B33" s="4570">
        <v>18</v>
      </c>
      <c r="C33" s="4620"/>
      <c r="D33" s="4615">
        <v>0.84</v>
      </c>
      <c r="E33" s="4651">
        <f>C33*D33</f>
        <v>0</v>
      </c>
      <c r="F33" s="4631"/>
      <c r="G33" s="4646"/>
      <c r="H33" s="4625"/>
      <c r="I33" s="4626"/>
      <c r="J33" s="4616">
        <f t="shared" si="2"/>
        <v>0</v>
      </c>
    </row>
    <row r="34" spans="1:10">
      <c r="A34" s="4569" t="s">
        <v>2182</v>
      </c>
      <c r="B34" s="4570">
        <v>19</v>
      </c>
      <c r="C34" s="4620"/>
      <c r="D34" s="4615">
        <v>0.42</v>
      </c>
      <c r="E34" s="4651">
        <f>C34*D34</f>
        <v>0</v>
      </c>
      <c r="F34" s="4631"/>
      <c r="G34" s="4646"/>
      <c r="H34" s="4629">
        <v>0.15</v>
      </c>
      <c r="I34" s="4616">
        <f>C34*H34</f>
        <v>0</v>
      </c>
      <c r="J34" s="4616">
        <f t="shared" si="2"/>
        <v>0</v>
      </c>
    </row>
    <row r="35" spans="1:10">
      <c r="A35" s="4569" t="s">
        <v>2016</v>
      </c>
      <c r="B35" s="4570">
        <v>20</v>
      </c>
      <c r="C35" s="4620"/>
      <c r="D35" s="4653"/>
      <c r="E35" s="4654"/>
      <c r="F35" s="4631"/>
      <c r="G35" s="4646"/>
      <c r="H35" s="4619"/>
      <c r="I35" s="4616">
        <f>C35*H35</f>
        <v>0</v>
      </c>
      <c r="J35" s="4618">
        <f t="shared" si="2"/>
        <v>0</v>
      </c>
    </row>
    <row r="36" spans="1:10">
      <c r="A36" s="4574" t="s">
        <v>1121</v>
      </c>
      <c r="B36" s="4655">
        <v>21</v>
      </c>
      <c r="C36" s="4634">
        <f>SUM(C30:C35)</f>
        <v>0</v>
      </c>
      <c r="D36" s="4653"/>
      <c r="E36" s="4637">
        <f>SUM(E30:E34)</f>
        <v>0</v>
      </c>
      <c r="F36" s="4631"/>
      <c r="G36" s="4646"/>
      <c r="H36" s="4656"/>
      <c r="I36" s="4637">
        <f>SUM(I30:I35)</f>
        <v>0</v>
      </c>
      <c r="J36" s="4623">
        <f>SUM(J30:J35)</f>
        <v>0</v>
      </c>
    </row>
    <row r="37" spans="1:10" ht="3" customHeight="1">
      <c r="A37" s="4569"/>
      <c r="B37" s="4570"/>
      <c r="C37" s="4638"/>
      <c r="D37" s="4661"/>
      <c r="E37" s="4657"/>
      <c r="F37" s="4631"/>
      <c r="G37" s="4646"/>
      <c r="H37" s="4656"/>
      <c r="I37" s="4643"/>
      <c r="J37" s="4644"/>
    </row>
    <row r="38" spans="1:10">
      <c r="A38" s="4608" t="s">
        <v>2187</v>
      </c>
      <c r="B38" s="4570"/>
      <c r="C38" s="4645"/>
      <c r="D38" s="4661"/>
      <c r="E38" s="4640"/>
      <c r="F38" s="4631"/>
      <c r="G38" s="4646"/>
      <c r="H38" s="4656"/>
      <c r="I38" s="4648"/>
      <c r="J38" s="4649"/>
    </row>
    <row r="39" spans="1:10">
      <c r="A39" s="4608" t="s">
        <v>2188</v>
      </c>
      <c r="B39" s="4570"/>
      <c r="C39" s="4645"/>
      <c r="D39" s="4661"/>
      <c r="E39" s="4640"/>
      <c r="F39" s="4631"/>
      <c r="G39" s="4646"/>
      <c r="H39" s="4656"/>
      <c r="I39" s="4648"/>
      <c r="J39" s="4649"/>
    </row>
    <row r="40" spans="1:10">
      <c r="A40" s="4569" t="s">
        <v>2189</v>
      </c>
      <c r="B40" s="4570">
        <v>22</v>
      </c>
      <c r="C40" s="4614"/>
      <c r="D40" s="4615">
        <v>0.2</v>
      </c>
      <c r="E40" s="4616">
        <f>C40*D40</f>
        <v>0</v>
      </c>
      <c r="F40" s="4662"/>
      <c r="G40" s="4646"/>
      <c r="H40" s="4619"/>
      <c r="I40" s="4663">
        <f>C40*H40</f>
        <v>0</v>
      </c>
      <c r="J40" s="4618">
        <f>SUM(E40+G40+I40)</f>
        <v>0</v>
      </c>
    </row>
    <row r="41" spans="1:10">
      <c r="A41" s="4569" t="s">
        <v>2190</v>
      </c>
      <c r="B41" s="4570">
        <v>23</v>
      </c>
      <c r="C41" s="4614"/>
      <c r="D41" s="4664"/>
      <c r="E41" s="4616">
        <f>C41*D41</f>
        <v>0</v>
      </c>
      <c r="F41" s="4631"/>
      <c r="G41" s="4646"/>
      <c r="H41" s="4665"/>
      <c r="I41" s="4666"/>
      <c r="J41" s="4616">
        <f>SUM(E41+G41+I41)</f>
        <v>0</v>
      </c>
    </row>
    <row r="42" spans="1:10">
      <c r="A42" s="4574" t="s">
        <v>1121</v>
      </c>
      <c r="B42" s="4570">
        <v>24</v>
      </c>
      <c r="C42" s="4667">
        <f>SUM(C40:C41)</f>
        <v>0</v>
      </c>
      <c r="D42" s="4653"/>
      <c r="E42" s="4651">
        <f>SUM(E40:E41)</f>
        <v>0</v>
      </c>
      <c r="F42" s="4631"/>
      <c r="G42" s="4646"/>
      <c r="H42" s="4658"/>
      <c r="I42" s="4618">
        <f>I40</f>
        <v>0</v>
      </c>
      <c r="J42" s="4616">
        <f>SUM(J40:J41)</f>
        <v>0</v>
      </c>
    </row>
    <row r="43" spans="1:10" ht="3.75" customHeight="1">
      <c r="A43" s="4569"/>
      <c r="B43" s="4570"/>
      <c r="C43" s="4668"/>
      <c r="D43" s="4631"/>
      <c r="E43" s="4666"/>
      <c r="F43" s="4631"/>
      <c r="G43" s="4646"/>
      <c r="H43" s="4656"/>
      <c r="I43" s="4640"/>
      <c r="J43" s="4644"/>
    </row>
    <row r="44" spans="1:10">
      <c r="A44" s="4608" t="s">
        <v>2191</v>
      </c>
      <c r="B44" s="4570"/>
      <c r="C44" s="4669"/>
      <c r="D44" s="4631"/>
      <c r="E44" s="4670"/>
      <c r="F44" s="4631"/>
      <c r="G44" s="4646"/>
      <c r="H44" s="4656"/>
      <c r="I44" s="4640"/>
      <c r="J44" s="4649"/>
    </row>
    <row r="45" spans="1:10" ht="15.75" thickBot="1">
      <c r="A45" s="4608" t="s">
        <v>2192</v>
      </c>
      <c r="B45" s="4655">
        <v>25</v>
      </c>
      <c r="C45" s="4671" t="s">
        <v>1251</v>
      </c>
      <c r="D45" s="4631"/>
      <c r="E45" s="4672" t="s">
        <v>1189</v>
      </c>
      <c r="F45" s="4631"/>
      <c r="G45" s="4646"/>
      <c r="H45" s="4673" t="s">
        <v>1187</v>
      </c>
      <c r="I45" s="4674"/>
      <c r="J45" s="4675">
        <f>I45</f>
        <v>0</v>
      </c>
    </row>
    <row r="46" spans="1:10" ht="3" customHeight="1" thickTop="1">
      <c r="A46" s="4601"/>
      <c r="B46" s="4602"/>
      <c r="C46" s="4676"/>
      <c r="D46" s="4677"/>
      <c r="E46" s="4678"/>
      <c r="F46" s="4679"/>
      <c r="G46" s="4678"/>
      <c r="H46" s="4679"/>
      <c r="I46" s="4678"/>
      <c r="J46" s="4644"/>
    </row>
    <row r="47" spans="1:10">
      <c r="A47" s="4608" t="s">
        <v>2193</v>
      </c>
      <c r="B47" s="4570"/>
      <c r="C47" s="4680"/>
      <c r="D47" s="4681"/>
      <c r="E47" s="4641"/>
      <c r="F47" s="4682"/>
      <c r="G47" s="4641"/>
      <c r="H47" s="4682"/>
      <c r="I47" s="4641"/>
      <c r="J47" s="4649"/>
    </row>
    <row r="48" spans="1:10" ht="15.75" thickBot="1">
      <c r="A48" s="4608" t="s">
        <v>2194</v>
      </c>
      <c r="B48" s="4655">
        <v>26</v>
      </c>
      <c r="C48" s="4683" t="s">
        <v>1251</v>
      </c>
      <c r="D48" s="4681"/>
      <c r="E48" s="4684">
        <f>SUM(E18+E27+E36+E42)</f>
        <v>80525</v>
      </c>
      <c r="F48" s="4682"/>
      <c r="G48" s="4684">
        <f>SUM(G18)</f>
        <v>1696</v>
      </c>
      <c r="H48" s="4682"/>
      <c r="I48" s="4684">
        <f>SUM(I18+I27+I36+I42+I45)</f>
        <v>71550</v>
      </c>
      <c r="J48" s="4618">
        <f>SUM(E48+G48+I48)</f>
        <v>153771</v>
      </c>
    </row>
    <row r="49" spans="1:10" ht="15.75" thickTop="1">
      <c r="A49" s="4601"/>
      <c r="B49" s="4602"/>
      <c r="C49" s="4601"/>
      <c r="D49" s="4601"/>
      <c r="E49" s="4601"/>
      <c r="F49" s="4601"/>
      <c r="G49" s="4601"/>
      <c r="H49" s="4601"/>
      <c r="I49" s="4601"/>
      <c r="J49" s="4601"/>
    </row>
  </sheetData>
  <sheetProtection algorithmName="SHA-512" hashValue="SzpcGOkJtDC9Y/LsTtef/zizBgi180/W93r8DjwpcoH8kDcfaAwfuF/dzGhR0D6IwFlwBrlxeHn7HdibC8jX+g==" saltValue="adt3jSQ6wPLkpGoIhVSDVw==" spinCount="100000" sheet="1" objects="1" scenarios="1"/>
  <dataValidations count="3">
    <dataValidation type="whole" operator="greaterThanOrEqual" showInputMessage="1" showErrorMessage="1" errorTitle="Invalid Data Entry" error="Enter a positive whole number or press the delete key or enter a zero." sqref="I45">
      <formula1>0</formula1>
    </dataValidation>
    <dataValidation type="decimal" operator="greaterThanOrEqual" showInputMessage="1" showErrorMessage="1" errorTitle="Invalid Data Entry" error="Enter price or press the delete key or enter a zero." sqref="H12:H14 H17 H21:H23 H26 H30:H32 H35 H40 D41">
      <formula1>0</formula1>
    </dataValidation>
    <dataValidation type="whole" operator="greaterThanOrEqual" showInputMessage="1" showErrorMessage="1" errorTitle="Invalid Data Entry" error="Enter a positive whole number or press the delete key or enter zero." sqref="C12:C17 C21:C26 C30:C35 C40:C41">
      <formula1>0</formula1>
    </dataValidation>
  </dataValidations>
  <hyperlinks>
    <hyperlink ref="L1" location="Contents!A1" display="Return to Contents page"/>
  </hyperlinks>
  <printOptions horizontalCentered="1" verticalCentered="1"/>
  <pageMargins left="0.25" right="0.25" top="0.25" bottom="0.25" header="0.25" footer="0.25"/>
  <pageSetup scale="88" orientation="portrait" blackAndWhite="1" r:id="rId1"/>
  <headerFooter alignWithMargins="0">
    <oddFooter xml:space="preserve">&amp;L&amp;D     &amp;T </oddFooter>
  </headerFooter>
  <rowBreaks count="1" manualBreakCount="1">
    <brk id="49" max="6553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6" tint="-0.249977111117893"/>
  </sheetPr>
  <dimension ref="A1:X139"/>
  <sheetViews>
    <sheetView topLeftCell="A2" zoomScaleNormal="100" workbookViewId="0">
      <selection activeCell="B58" sqref="B58"/>
    </sheetView>
  </sheetViews>
  <sheetFormatPr defaultColWidth="10.7109375" defaultRowHeight="14.25"/>
  <cols>
    <col min="1" max="1" width="3.7109375" style="4688" customWidth="1"/>
    <col min="2" max="2" width="28.7109375" style="4688" customWidth="1"/>
    <col min="3" max="3" width="0.85546875" style="4688" customWidth="1"/>
    <col min="4" max="4" width="17" style="4688" customWidth="1"/>
    <col min="5" max="5" width="1.140625" style="4688" customWidth="1"/>
    <col min="6" max="6" width="14.140625" style="4688" customWidth="1"/>
    <col min="7" max="7" width="3.140625" style="4688" customWidth="1"/>
    <col min="8" max="8" width="13.140625" style="4688" customWidth="1"/>
    <col min="9" max="9" width="3" style="4688" customWidth="1"/>
    <col min="10" max="10" width="15.28515625" style="4688" customWidth="1"/>
    <col min="11" max="11" width="3.42578125" style="4688" customWidth="1"/>
    <col min="12" max="12" width="16.7109375" style="4688" customWidth="1"/>
    <col min="13" max="13" width="3.28515625" style="4688" customWidth="1"/>
    <col min="14" max="14" width="15.5703125" style="4688" customWidth="1"/>
    <col min="15" max="15" width="3.5703125" style="4688" customWidth="1"/>
    <col min="16" max="16" width="14.140625" style="4687" customWidth="1"/>
    <col min="17" max="17" width="3.28515625" style="4687" customWidth="1"/>
    <col min="18" max="18" width="14.140625" style="4687" customWidth="1"/>
    <col min="19" max="19" width="2.85546875" style="4689" customWidth="1"/>
    <col min="20" max="20" width="3.42578125" style="4689" customWidth="1"/>
    <col min="21" max="21" width="2.5703125" style="4689" customWidth="1"/>
    <col min="22" max="22" width="3.28515625" style="4689" customWidth="1"/>
    <col min="23" max="23" width="18" style="4689" customWidth="1"/>
    <col min="24" max="16384" width="10.7109375" style="4689"/>
  </cols>
  <sheetData>
    <row r="1" spans="1:23">
      <c r="A1" s="4686" t="s">
        <v>2195</v>
      </c>
      <c r="B1" s="4686"/>
      <c r="C1" s="4686"/>
      <c r="D1" s="4686"/>
      <c r="E1" s="4686"/>
      <c r="F1" s="4686"/>
      <c r="G1" s="4686"/>
      <c r="H1" s="4686"/>
      <c r="I1" s="4686"/>
      <c r="J1" s="4686"/>
      <c r="K1" s="4686"/>
      <c r="L1" s="4686"/>
      <c r="M1" s="4686"/>
      <c r="N1" s="4686"/>
      <c r="O1" s="4686"/>
      <c r="R1" s="4288"/>
      <c r="S1" s="4688"/>
      <c r="T1" s="4688"/>
      <c r="U1" s="4688"/>
      <c r="W1" s="4288" t="s">
        <v>866</v>
      </c>
    </row>
    <row r="2" spans="1:23">
      <c r="A2" s="4686" t="s">
        <v>2196</v>
      </c>
      <c r="B2" s="4690">
        <f>OPEN!$N$3</f>
        <v>42522</v>
      </c>
      <c r="C2" s="4686"/>
      <c r="D2" s="4686"/>
      <c r="E2" s="4686"/>
      <c r="F2" s="4686"/>
      <c r="G2" s="4686"/>
      <c r="H2" s="4686"/>
      <c r="I2" s="4686"/>
      <c r="J2" s="4686"/>
      <c r="K2" s="4686"/>
      <c r="L2" s="4686"/>
      <c r="M2" s="4686"/>
      <c r="N2" s="4686"/>
      <c r="O2" s="4686"/>
      <c r="R2" s="4686"/>
      <c r="S2" s="4688"/>
      <c r="T2" s="4688"/>
      <c r="U2" s="4688"/>
    </row>
    <row r="3" spans="1:23">
      <c r="A3" s="4691" t="s">
        <v>2197</v>
      </c>
      <c r="B3" s="4692"/>
      <c r="C3" s="4692"/>
      <c r="D3" s="4692"/>
      <c r="E3" s="4692"/>
      <c r="F3" s="4692"/>
      <c r="G3" s="4692"/>
      <c r="H3" s="4692"/>
      <c r="I3" s="4692"/>
      <c r="J3" s="4692"/>
      <c r="K3" s="4692"/>
      <c r="L3" s="4692"/>
      <c r="M3" s="4692"/>
      <c r="N3" s="4692"/>
      <c r="O3" s="4686"/>
      <c r="R3" s="4686"/>
      <c r="S3" s="4688"/>
      <c r="T3" s="4688"/>
      <c r="U3" s="4688"/>
    </row>
    <row r="4" spans="1:23">
      <c r="A4" s="4686"/>
      <c r="B4" s="4686"/>
      <c r="C4" s="4686"/>
      <c r="D4" s="4686"/>
      <c r="E4" s="4686"/>
      <c r="F4" s="4686"/>
      <c r="G4" s="4686"/>
      <c r="H4" s="4686"/>
      <c r="I4" s="4686"/>
      <c r="J4" s="4686"/>
      <c r="K4" s="4693"/>
      <c r="L4" s="4694" t="s">
        <v>1019</v>
      </c>
      <c r="M4" s="4694"/>
      <c r="N4" s="4695">
        <f>OPEN!$B$4</f>
        <v>270</v>
      </c>
      <c r="O4" s="4686"/>
      <c r="R4" s="4686"/>
      <c r="S4" s="4688"/>
      <c r="T4" s="4688"/>
      <c r="U4" s="4688"/>
    </row>
    <row r="5" spans="1:23" ht="12" customHeight="1">
      <c r="A5" s="4691" t="str">
        <f>OPEN!$N$2</f>
        <v>2016-2017</v>
      </c>
      <c r="B5" s="4692"/>
      <c r="C5" s="4692"/>
      <c r="D5" s="4692"/>
      <c r="E5" s="4692"/>
      <c r="F5" s="4692"/>
      <c r="G5" s="4692"/>
      <c r="H5" s="4692"/>
      <c r="I5" s="4692"/>
      <c r="J5" s="4692"/>
      <c r="K5" s="4692"/>
      <c r="L5" s="4692"/>
      <c r="M5" s="4692"/>
      <c r="N5" s="4692"/>
      <c r="O5" s="4686"/>
      <c r="R5" s="4686"/>
      <c r="S5" s="4688"/>
      <c r="T5" s="4688"/>
      <c r="U5" s="4688"/>
    </row>
    <row r="6" spans="1:23" ht="12" customHeight="1">
      <c r="A6" s="4691" t="s">
        <v>2198</v>
      </c>
      <c r="B6" s="4692"/>
      <c r="C6" s="4692"/>
      <c r="D6" s="4692"/>
      <c r="E6" s="4692"/>
      <c r="F6" s="4692"/>
      <c r="G6" s="4692"/>
      <c r="H6" s="4692"/>
      <c r="I6" s="4692"/>
      <c r="J6" s="4692"/>
      <c r="K6" s="4692"/>
      <c r="L6" s="4692"/>
      <c r="M6" s="4692"/>
      <c r="N6" s="4692"/>
      <c r="O6" s="4686"/>
      <c r="R6" s="4686"/>
      <c r="S6" s="4688"/>
      <c r="T6" s="4688"/>
      <c r="U6" s="4688"/>
    </row>
    <row r="7" spans="1:23" ht="12" customHeight="1">
      <c r="A7" s="4691" t="s">
        <v>2199</v>
      </c>
      <c r="B7" s="4692"/>
      <c r="C7" s="4692"/>
      <c r="D7" s="4692"/>
      <c r="E7" s="4692"/>
      <c r="F7" s="4692"/>
      <c r="G7" s="4692"/>
      <c r="H7" s="4692"/>
      <c r="I7" s="4692"/>
      <c r="J7" s="4692"/>
      <c r="K7" s="4692"/>
      <c r="L7" s="4692"/>
      <c r="M7" s="4692"/>
      <c r="N7" s="4692"/>
      <c r="O7" s="4686"/>
      <c r="R7" s="4686"/>
      <c r="S7" s="4688"/>
      <c r="T7" s="4688"/>
      <c r="U7" s="4688"/>
    </row>
    <row r="8" spans="1:23" ht="12" customHeight="1">
      <c r="A8" s="4691" t="str">
        <f>"and In Lieu of Taxes on Industrial Revenue Bonds for July 1, "&amp;OPEN!$Q$5&amp;" to December 31, "&amp;OPEN!$Q$5</f>
        <v>and In Lieu of Taxes on Industrial Revenue Bonds for July 1, 2016 to December 31, 2016</v>
      </c>
      <c r="B8" s="4692"/>
      <c r="C8" s="4692"/>
      <c r="D8" s="4692"/>
      <c r="E8" s="4692"/>
      <c r="F8" s="4692"/>
      <c r="G8" s="4692"/>
      <c r="H8" s="4692"/>
      <c r="I8" s="4692"/>
      <c r="J8" s="4692"/>
      <c r="K8" s="4692"/>
      <c r="L8" s="4692"/>
      <c r="M8" s="4692"/>
      <c r="N8" s="4692"/>
      <c r="O8" s="4686"/>
      <c r="R8" s="4686"/>
      <c r="S8" s="4688"/>
      <c r="T8" s="4688"/>
      <c r="U8" s="4688"/>
    </row>
    <row r="9" spans="1:23" ht="6" customHeight="1">
      <c r="A9" s="4696"/>
      <c r="B9" s="4686"/>
      <c r="C9" s="4686"/>
      <c r="D9" s="4686"/>
      <c r="E9" s="4686"/>
      <c r="F9" s="4686"/>
      <c r="G9" s="4686"/>
      <c r="H9" s="4686"/>
      <c r="I9" s="4686"/>
      <c r="J9" s="4686"/>
      <c r="K9" s="4686"/>
      <c r="L9" s="4686"/>
      <c r="M9" s="4686"/>
      <c r="N9" s="4686"/>
      <c r="O9" s="4686"/>
      <c r="R9" s="4686"/>
      <c r="S9" s="4688"/>
      <c r="T9" s="4688"/>
      <c r="U9" s="4688"/>
    </row>
    <row r="10" spans="1:23">
      <c r="A10" s="4692" t="s">
        <v>2200</v>
      </c>
      <c r="B10" s="4692"/>
      <c r="C10" s="4692"/>
      <c r="D10" s="4692"/>
      <c r="E10" s="4692"/>
      <c r="F10" s="4692"/>
      <c r="G10" s="4692"/>
      <c r="H10" s="4692"/>
      <c r="I10" s="4692"/>
      <c r="J10" s="4692"/>
      <c r="K10" s="4692"/>
      <c r="L10" s="4692"/>
      <c r="M10" s="4692"/>
      <c r="N10" s="4692"/>
      <c r="O10" s="4686"/>
      <c r="R10" s="4686"/>
      <c r="S10" s="4688"/>
      <c r="T10" s="4688"/>
      <c r="U10" s="4688"/>
    </row>
    <row r="11" spans="1:23">
      <c r="A11" s="4692" t="str">
        <f>"For New Levies Made in "&amp;OPEN!$O$4&amp;" School Year Until March, "&amp;OPEN!$S$5&amp;".  For new levies made in "&amp;OPEN!$P$4</f>
        <v>For New Levies Made in 2015-2016 School Year Until March, 2017.  For new levies made in 2016-2017</v>
      </c>
      <c r="B11" s="4692"/>
      <c r="C11" s="4692"/>
      <c r="D11" s="4692"/>
      <c r="E11" s="4692"/>
      <c r="F11" s="4692"/>
      <c r="G11" s="4692"/>
      <c r="H11" s="4692"/>
      <c r="I11" s="4692"/>
      <c r="J11" s="4692"/>
      <c r="K11" s="4692"/>
      <c r="L11" s="4692"/>
      <c r="M11" s="4692"/>
      <c r="N11" s="4692"/>
      <c r="O11" s="4686"/>
      <c r="R11" s="4686"/>
      <c r="S11" s="4688"/>
      <c r="T11" s="4688"/>
      <c r="U11" s="4688"/>
    </row>
    <row r="12" spans="1:23">
      <c r="A12" s="4692" t="str">
        <f>"revenues will not be received until March, "&amp;OPEN!$U$5</f>
        <v>revenues will not be received until March, 2018</v>
      </c>
      <c r="B12" s="4692"/>
      <c r="C12" s="4692"/>
      <c r="D12" s="4692"/>
      <c r="E12" s="4692"/>
      <c r="F12" s="4692"/>
      <c r="G12" s="4692"/>
      <c r="H12" s="4692"/>
      <c r="I12" s="4692"/>
      <c r="J12" s="4692"/>
      <c r="K12" s="4692"/>
      <c r="L12" s="4692"/>
      <c r="M12" s="4692"/>
      <c r="N12" s="4692"/>
      <c r="O12" s="4686"/>
      <c r="R12" s="4686"/>
      <c r="S12" s="4688"/>
      <c r="T12" s="4688"/>
      <c r="U12" s="4688"/>
    </row>
    <row r="13" spans="1:23" ht="8.1" customHeight="1">
      <c r="A13" s="4692"/>
      <c r="B13" s="4692"/>
      <c r="C13" s="4692"/>
      <c r="D13" s="4692"/>
      <c r="E13" s="4692"/>
      <c r="F13" s="4692"/>
      <c r="G13" s="4692"/>
      <c r="H13" s="4692"/>
      <c r="I13" s="4692"/>
      <c r="J13" s="4692"/>
      <c r="K13" s="4692"/>
      <c r="L13" s="4692"/>
      <c r="M13" s="4692"/>
      <c r="N13" s="4692"/>
      <c r="O13" s="4686"/>
      <c r="R13" s="4686"/>
      <c r="S13" s="4688"/>
      <c r="T13" s="4688"/>
      <c r="U13" s="4688"/>
    </row>
    <row r="14" spans="1:23">
      <c r="A14" s="4697"/>
      <c r="B14" s="4697"/>
      <c r="C14" s="4697"/>
      <c r="D14" s="4698">
        <v>1</v>
      </c>
      <c r="E14" s="4699"/>
      <c r="F14" s="4698">
        <v>2</v>
      </c>
      <c r="G14" s="4699"/>
      <c r="H14" s="4698">
        <v>3</v>
      </c>
      <c r="I14" s="4698"/>
      <c r="J14" s="4698">
        <v>4</v>
      </c>
      <c r="K14" s="4699"/>
      <c r="L14" s="4698">
        <v>5</v>
      </c>
      <c r="M14" s="4699"/>
      <c r="N14" s="4698">
        <v>6</v>
      </c>
      <c r="O14" s="4686"/>
      <c r="P14" s="4698">
        <v>7</v>
      </c>
      <c r="R14" s="4698">
        <v>8</v>
      </c>
      <c r="S14" s="4700"/>
      <c r="T14" s="4700"/>
      <c r="U14" s="4700"/>
    </row>
    <row r="15" spans="1:23">
      <c r="A15" s="4697"/>
      <c r="B15" s="4697"/>
      <c r="C15" s="4697"/>
      <c r="D15" s="4699" t="str">
        <f>OPEN!$O$5&amp;" Taxes Levied"</f>
        <v>2014 Taxes Levied</v>
      </c>
      <c r="E15" s="4699"/>
      <c r="F15" s="4699" t="s">
        <v>2201</v>
      </c>
      <c r="G15" s="4699"/>
      <c r="H15" s="4699" t="s">
        <v>1258</v>
      </c>
      <c r="I15" s="4699"/>
      <c r="J15" s="4699" t="s">
        <v>2201</v>
      </c>
      <c r="K15" s="4699"/>
      <c r="L15" s="4699" t="s">
        <v>2202</v>
      </c>
      <c r="M15" s="4699"/>
      <c r="N15" s="4699" t="s">
        <v>2203</v>
      </c>
      <c r="O15" s="4686"/>
      <c r="P15" s="4699"/>
      <c r="R15" s="4701" t="s">
        <v>2204</v>
      </c>
      <c r="S15" s="4700"/>
      <c r="T15" s="4700"/>
      <c r="U15" s="4700"/>
    </row>
    <row r="16" spans="1:23">
      <c r="A16" s="4697"/>
      <c r="B16" s="4697"/>
      <c r="C16" s="4697"/>
      <c r="D16" s="4699" t="s">
        <v>2205</v>
      </c>
      <c r="E16" s="4699"/>
      <c r="F16" s="4699" t="s">
        <v>2206</v>
      </c>
      <c r="G16" s="4699"/>
      <c r="H16" s="4699" t="s">
        <v>2207</v>
      </c>
      <c r="I16" s="4699"/>
      <c r="J16" s="4699" t="s">
        <v>2208</v>
      </c>
      <c r="K16" s="4699"/>
      <c r="L16" s="4699" t="s">
        <v>2207</v>
      </c>
      <c r="M16" s="4699"/>
      <c r="N16" s="4699" t="s">
        <v>2209</v>
      </c>
      <c r="O16" s="4686"/>
      <c r="P16" s="4699" t="s">
        <v>2210</v>
      </c>
      <c r="R16" s="4701" t="s">
        <v>2211</v>
      </c>
      <c r="S16" s="4700"/>
      <c r="T16" s="4700"/>
      <c r="U16" s="4700"/>
      <c r="W16" s="4689" t="s">
        <v>2212</v>
      </c>
    </row>
    <row r="17" spans="1:23" ht="15" customHeight="1">
      <c r="A17" s="4702">
        <v>1</v>
      </c>
      <c r="B17" s="4686" t="s">
        <v>2213</v>
      </c>
      <c r="C17" s="4686"/>
      <c r="D17" s="4703" t="s">
        <v>2214</v>
      </c>
      <c r="E17" s="4686"/>
      <c r="F17" s="4704" t="s">
        <v>787</v>
      </c>
      <c r="G17" s="4686"/>
      <c r="H17" s="4705" t="s">
        <v>787</v>
      </c>
      <c r="I17" s="4706"/>
      <c r="J17" s="4707">
        <f>IF(W17=0,0,ROUND(W17/W36,4))</f>
        <v>0.39760000000000001</v>
      </c>
      <c r="K17" s="4686"/>
      <c r="L17" s="4705" t="s">
        <v>1782</v>
      </c>
      <c r="M17" s="4686"/>
      <c r="N17" s="4705" t="s">
        <v>1782</v>
      </c>
      <c r="O17" s="4686"/>
      <c r="P17" s="4709" t="s">
        <v>787</v>
      </c>
      <c r="R17" s="4709" t="s">
        <v>787</v>
      </c>
      <c r="S17" s="4700"/>
      <c r="T17" s="4700"/>
      <c r="U17" s="4700"/>
      <c r="W17" s="4706">
        <f>OPEN!F22</f>
        <v>1304286</v>
      </c>
    </row>
    <row r="18" spans="1:23" ht="15" customHeight="1">
      <c r="A18" s="4702">
        <v>2</v>
      </c>
      <c r="B18" s="4686" t="s">
        <v>2215</v>
      </c>
      <c r="C18" s="4686"/>
      <c r="D18" s="4708">
        <f>OPEN!$F$23</f>
        <v>1005230</v>
      </c>
      <c r="E18" s="4686"/>
      <c r="F18" s="4707">
        <f t="shared" ref="F18:F35" si="0">IF(D18=0,0,ROUND(D18/$D$36,4))</f>
        <v>0.50870000000000004</v>
      </c>
      <c r="G18" s="4686"/>
      <c r="H18" s="4708">
        <f t="shared" ref="H18:H35" si="1">F18*$H$36</f>
        <v>26217</v>
      </c>
      <c r="I18" s="4706"/>
      <c r="J18" s="4707">
        <f>IF(W18=0,0,ROUND(W18/W36,4))</f>
        <v>0.30640000000000001</v>
      </c>
      <c r="K18" s="4686"/>
      <c r="L18" s="4708">
        <f t="shared" ref="L18:L35" si="2">F18*$L$36</f>
        <v>578</v>
      </c>
      <c r="M18" s="4686"/>
      <c r="N18" s="4708">
        <f t="shared" ref="N18:N35" si="3">F18*$N$36</f>
        <v>0</v>
      </c>
      <c r="O18" s="4686"/>
      <c r="P18" s="4708">
        <f t="shared" ref="P18:P35" si="4">F18*$P$36</f>
        <v>2219</v>
      </c>
      <c r="R18" s="4708">
        <f>F18*$R$36</f>
        <v>3741</v>
      </c>
      <c r="S18" s="4700"/>
      <c r="T18" s="4700"/>
      <c r="U18" s="4700"/>
      <c r="W18" s="4706">
        <f>OPEN!F23</f>
        <v>1005230</v>
      </c>
    </row>
    <row r="19" spans="1:23" ht="15" customHeight="1">
      <c r="A19" s="4702">
        <v>3</v>
      </c>
      <c r="B19" s="4686" t="s">
        <v>995</v>
      </c>
      <c r="C19" s="4686"/>
      <c r="D19" s="4708">
        <f>OPEN!$F$24</f>
        <v>0</v>
      </c>
      <c r="E19" s="4686"/>
      <c r="F19" s="4707">
        <f t="shared" si="0"/>
        <v>0</v>
      </c>
      <c r="G19" s="4686"/>
      <c r="H19" s="4708">
        <f t="shared" si="1"/>
        <v>0</v>
      </c>
      <c r="I19" s="4706"/>
      <c r="J19" s="4707">
        <f>IF(W19=0,0,ROUND(W19/W36,4))</f>
        <v>0</v>
      </c>
      <c r="K19" s="4686"/>
      <c r="L19" s="4708">
        <f t="shared" si="2"/>
        <v>0</v>
      </c>
      <c r="M19" s="4686"/>
      <c r="N19" s="4708">
        <f t="shared" si="3"/>
        <v>0</v>
      </c>
      <c r="O19" s="4686"/>
      <c r="P19" s="4708">
        <f t="shared" si="4"/>
        <v>0</v>
      </c>
      <c r="R19" s="4708">
        <f t="shared" ref="R19:R35" si="5">F19*$R$36</f>
        <v>0</v>
      </c>
      <c r="S19" s="4700"/>
      <c r="T19" s="4700"/>
      <c r="U19" s="4700"/>
      <c r="W19" s="4706">
        <f>OPEN!F24</f>
        <v>0</v>
      </c>
    </row>
    <row r="20" spans="1:23" ht="15" customHeight="1">
      <c r="A20" s="4702">
        <v>4</v>
      </c>
      <c r="B20" s="4686" t="s">
        <v>996</v>
      </c>
      <c r="C20" s="4686"/>
      <c r="D20" s="4708">
        <f>OPEN!$F$25</f>
        <v>543625</v>
      </c>
      <c r="E20" s="4686"/>
      <c r="F20" s="4707">
        <f t="shared" si="0"/>
        <v>0.27510000000000001</v>
      </c>
      <c r="G20" s="4686"/>
      <c r="H20" s="4708">
        <f t="shared" si="1"/>
        <v>14178</v>
      </c>
      <c r="I20" s="4706"/>
      <c r="J20" s="4707">
        <f>IF(W20=0,0,ROUND(W20/W36,4))</f>
        <v>0.16569999999999999</v>
      </c>
      <c r="K20" s="4686"/>
      <c r="L20" s="4708">
        <f t="shared" si="2"/>
        <v>313</v>
      </c>
      <c r="M20" s="4686"/>
      <c r="N20" s="4708">
        <f t="shared" si="3"/>
        <v>0</v>
      </c>
      <c r="O20" s="4686"/>
      <c r="P20" s="4708">
        <f t="shared" si="4"/>
        <v>1200</v>
      </c>
      <c r="R20" s="4708">
        <f t="shared" si="5"/>
        <v>2023</v>
      </c>
      <c r="S20" s="4700"/>
      <c r="T20" s="4700"/>
      <c r="U20" s="4700"/>
      <c r="W20" s="4706">
        <f>OPEN!F25</f>
        <v>543625</v>
      </c>
    </row>
    <row r="21" spans="1:23" ht="15" customHeight="1">
      <c r="A21" s="4702">
        <v>5</v>
      </c>
      <c r="B21" s="4686" t="s">
        <v>999</v>
      </c>
      <c r="C21" s="4686"/>
      <c r="D21" s="4708">
        <f>OPEN!$F$31</f>
        <v>0</v>
      </c>
      <c r="E21" s="4686"/>
      <c r="F21" s="4707">
        <f t="shared" si="0"/>
        <v>0</v>
      </c>
      <c r="G21" s="4686"/>
      <c r="H21" s="4708">
        <f t="shared" si="1"/>
        <v>0</v>
      </c>
      <c r="I21" s="4706"/>
      <c r="J21" s="4707">
        <f>IF(W21=0,0,ROUND(W21/W36,4))</f>
        <v>0</v>
      </c>
      <c r="K21" s="4686"/>
      <c r="L21" s="4708">
        <f t="shared" si="2"/>
        <v>0</v>
      </c>
      <c r="M21" s="4686"/>
      <c r="N21" s="4708">
        <f t="shared" si="3"/>
        <v>0</v>
      </c>
      <c r="O21" s="4686"/>
      <c r="P21" s="4708">
        <f t="shared" si="4"/>
        <v>0</v>
      </c>
      <c r="R21" s="4708">
        <f t="shared" si="5"/>
        <v>0</v>
      </c>
      <c r="S21" s="4700"/>
      <c r="T21" s="4700"/>
      <c r="U21" s="4700"/>
      <c r="W21" s="4706">
        <f>OPEN!F31</f>
        <v>0</v>
      </c>
    </row>
    <row r="22" spans="1:23" ht="15" customHeight="1">
      <c r="A22" s="4702">
        <v>6</v>
      </c>
      <c r="B22" s="4686" t="str">
        <f>OPEN!$O$44</f>
        <v>Bond and Interest #1</v>
      </c>
      <c r="C22" s="4686"/>
      <c r="D22" s="4708">
        <f>OPEN!$F$28</f>
        <v>291007</v>
      </c>
      <c r="E22" s="4686"/>
      <c r="F22" s="4707">
        <f t="shared" si="0"/>
        <v>0.14729999999999999</v>
      </c>
      <c r="G22" s="4686"/>
      <c r="H22" s="4708">
        <f t="shared" si="1"/>
        <v>7592</v>
      </c>
      <c r="I22" s="4706"/>
      <c r="J22" s="4707">
        <f>IF(W22=0,0,ROUND(W22/W36,4))</f>
        <v>8.8700000000000001E-2</v>
      </c>
      <c r="K22" s="4686"/>
      <c r="L22" s="4708">
        <f t="shared" si="2"/>
        <v>167</v>
      </c>
      <c r="M22" s="4686"/>
      <c r="N22" s="4708">
        <f t="shared" si="3"/>
        <v>0</v>
      </c>
      <c r="O22" s="4686"/>
      <c r="P22" s="4708">
        <f t="shared" si="4"/>
        <v>643</v>
      </c>
      <c r="R22" s="4708">
        <f t="shared" si="5"/>
        <v>1083</v>
      </c>
      <c r="S22" s="4700"/>
      <c r="T22" s="4700"/>
      <c r="U22" s="4700"/>
      <c r="W22" s="4706">
        <f>OPEN!F28</f>
        <v>291007</v>
      </c>
    </row>
    <row r="23" spans="1:23" ht="15" customHeight="1">
      <c r="A23" s="4702">
        <v>7</v>
      </c>
      <c r="B23" s="4686" t="str">
        <f>OPEN!$O$45</f>
        <v>Bond and Interest #2</v>
      </c>
      <c r="C23" s="4686"/>
      <c r="D23" s="4708">
        <f>OPEN!$F$29</f>
        <v>0</v>
      </c>
      <c r="E23" s="4686"/>
      <c r="F23" s="4707">
        <f t="shared" si="0"/>
        <v>0</v>
      </c>
      <c r="G23" s="4686"/>
      <c r="H23" s="4708">
        <f t="shared" si="1"/>
        <v>0</v>
      </c>
      <c r="I23" s="4706"/>
      <c r="J23" s="4707">
        <f>IF(W23=0,0,ROUND(W23/W36,4))</f>
        <v>0</v>
      </c>
      <c r="K23" s="4686"/>
      <c r="L23" s="4708">
        <f t="shared" si="2"/>
        <v>0</v>
      </c>
      <c r="M23" s="4686"/>
      <c r="N23" s="4708">
        <f t="shared" si="3"/>
        <v>0</v>
      </c>
      <c r="O23" s="4686"/>
      <c r="P23" s="4708">
        <f t="shared" si="4"/>
        <v>0</v>
      </c>
      <c r="R23" s="4708">
        <f t="shared" si="5"/>
        <v>0</v>
      </c>
      <c r="S23" s="4700"/>
      <c r="T23" s="4700"/>
      <c r="U23" s="4700"/>
      <c r="W23" s="4706">
        <f>OPEN!F29</f>
        <v>0</v>
      </c>
    </row>
    <row r="24" spans="1:23" ht="15" customHeight="1">
      <c r="A24" s="4702">
        <v>8</v>
      </c>
      <c r="B24" s="4686" t="s">
        <v>2216</v>
      </c>
      <c r="C24" s="4686"/>
      <c r="D24" s="4708">
        <f>OPEN!$F$32</f>
        <v>0</v>
      </c>
      <c r="E24" s="4686"/>
      <c r="F24" s="4707">
        <f t="shared" si="0"/>
        <v>0</v>
      </c>
      <c r="G24" s="4686"/>
      <c r="H24" s="4708">
        <f t="shared" si="1"/>
        <v>0</v>
      </c>
      <c r="I24" s="4706"/>
      <c r="J24" s="4707">
        <f>IF(W24=0,0,ROUND(W24/W36,4))</f>
        <v>0</v>
      </c>
      <c r="K24" s="4686"/>
      <c r="L24" s="4708">
        <f t="shared" si="2"/>
        <v>0</v>
      </c>
      <c r="M24" s="4686"/>
      <c r="N24" s="4708">
        <f t="shared" si="3"/>
        <v>0</v>
      </c>
      <c r="O24" s="4686"/>
      <c r="P24" s="4708">
        <f t="shared" si="4"/>
        <v>0</v>
      </c>
      <c r="R24" s="4708">
        <f t="shared" si="5"/>
        <v>0</v>
      </c>
      <c r="S24" s="4700"/>
      <c r="T24" s="4700"/>
      <c r="U24" s="4700"/>
      <c r="W24" s="4706">
        <f>OPEN!F32</f>
        <v>0</v>
      </c>
    </row>
    <row r="25" spans="1:23" ht="15" customHeight="1">
      <c r="A25" s="4702">
        <v>9</v>
      </c>
      <c r="B25" s="4686" t="str">
        <f>OPEN!$O$49</f>
        <v>Recreation Commission</v>
      </c>
      <c r="C25" s="4686"/>
      <c r="D25" s="4708">
        <f>OPEN!$F$36</f>
        <v>136307</v>
      </c>
      <c r="E25" s="4686"/>
      <c r="F25" s="4707">
        <f t="shared" si="0"/>
        <v>6.9000000000000006E-2</v>
      </c>
      <c r="G25" s="4686"/>
      <c r="H25" s="4708">
        <f t="shared" si="1"/>
        <v>3556</v>
      </c>
      <c r="I25" s="4706"/>
      <c r="J25" s="4707">
        <f>IF(W25=0,0,ROUND(W25/W36,4))</f>
        <v>4.1599999999999998E-2</v>
      </c>
      <c r="K25" s="4686"/>
      <c r="L25" s="4708">
        <f t="shared" si="2"/>
        <v>78</v>
      </c>
      <c r="M25" s="4686"/>
      <c r="N25" s="4708">
        <f t="shared" si="3"/>
        <v>0</v>
      </c>
      <c r="O25" s="4686"/>
      <c r="P25" s="4708">
        <f t="shared" si="4"/>
        <v>301</v>
      </c>
      <c r="R25" s="4708">
        <f t="shared" si="5"/>
        <v>507</v>
      </c>
      <c r="S25" s="4700"/>
      <c r="T25" s="4700"/>
      <c r="U25" s="4700"/>
      <c r="W25" s="4706">
        <f>OPEN!F36</f>
        <v>136307</v>
      </c>
    </row>
    <row r="26" spans="1:23" ht="15" customHeight="1">
      <c r="A26" s="4702">
        <v>10</v>
      </c>
      <c r="B26" s="4686" t="str">
        <f>OPEN!$Q$56</f>
        <v>Rec Comm Employee Bnfts</v>
      </c>
      <c r="C26" s="4686"/>
      <c r="D26" s="4708">
        <f>OPEN!$F$38</f>
        <v>0</v>
      </c>
      <c r="E26" s="4686"/>
      <c r="F26" s="4707">
        <f t="shared" si="0"/>
        <v>0</v>
      </c>
      <c r="G26" s="4686"/>
      <c r="H26" s="4708">
        <f t="shared" si="1"/>
        <v>0</v>
      </c>
      <c r="I26" s="4706"/>
      <c r="J26" s="4707">
        <f>IF(W26=0,0,ROUND(W26/W36,4))</f>
        <v>0</v>
      </c>
      <c r="K26" s="4686"/>
      <c r="L26" s="4708">
        <f t="shared" si="2"/>
        <v>0</v>
      </c>
      <c r="M26" s="4686"/>
      <c r="N26" s="4708">
        <f t="shared" si="3"/>
        <v>0</v>
      </c>
      <c r="O26" s="4686"/>
      <c r="P26" s="4708">
        <f t="shared" si="4"/>
        <v>0</v>
      </c>
      <c r="R26" s="4708">
        <f t="shared" si="5"/>
        <v>0</v>
      </c>
      <c r="S26" s="4700"/>
      <c r="T26" s="4700"/>
      <c r="U26" s="4700"/>
      <c r="W26" s="4706">
        <f>OPEN!F38</f>
        <v>0</v>
      </c>
    </row>
    <row r="27" spans="1:23" ht="15" customHeight="1">
      <c r="A27" s="4702">
        <v>11</v>
      </c>
      <c r="B27" s="4710" t="s">
        <v>998</v>
      </c>
      <c r="C27" s="4710"/>
      <c r="D27" s="4708">
        <f>OPEN!$F$30</f>
        <v>0</v>
      </c>
      <c r="E27" s="4686"/>
      <c r="F27" s="4707">
        <f t="shared" si="0"/>
        <v>0</v>
      </c>
      <c r="G27" s="4686"/>
      <c r="H27" s="4708">
        <f t="shared" si="1"/>
        <v>0</v>
      </c>
      <c r="I27" s="4706"/>
      <c r="J27" s="4707">
        <f>IF(W27=0,0,ROUND(W27/W36,4))</f>
        <v>0</v>
      </c>
      <c r="K27" s="4686"/>
      <c r="L27" s="4708">
        <f t="shared" si="2"/>
        <v>0</v>
      </c>
      <c r="M27" s="4686"/>
      <c r="N27" s="4708">
        <f t="shared" si="3"/>
        <v>0</v>
      </c>
      <c r="O27" s="4686"/>
      <c r="P27" s="4708">
        <f t="shared" si="4"/>
        <v>0</v>
      </c>
      <c r="R27" s="4708">
        <f t="shared" si="5"/>
        <v>0</v>
      </c>
      <c r="S27" s="4700"/>
      <c r="T27" s="4700"/>
      <c r="U27" s="4700"/>
      <c r="W27" s="4706">
        <f>OPEN!F30</f>
        <v>0</v>
      </c>
    </row>
    <row r="28" spans="1:23" ht="15" customHeight="1">
      <c r="A28" s="4702">
        <v>13</v>
      </c>
      <c r="B28" s="4710" t="s">
        <v>1005</v>
      </c>
      <c r="C28" s="4710"/>
      <c r="D28" s="4708">
        <f>OPEN!$F$26</f>
        <v>0</v>
      </c>
      <c r="E28" s="4686"/>
      <c r="F28" s="4707">
        <f t="shared" si="0"/>
        <v>0</v>
      </c>
      <c r="G28" s="4686"/>
      <c r="H28" s="4708">
        <f t="shared" si="1"/>
        <v>0</v>
      </c>
      <c r="I28" s="4706"/>
      <c r="J28" s="4707">
        <f>IF(W28=0,0,ROUND(W28/W36,4))</f>
        <v>0</v>
      </c>
      <c r="K28" s="4686"/>
      <c r="L28" s="4708">
        <f t="shared" si="2"/>
        <v>0</v>
      </c>
      <c r="M28" s="4686"/>
      <c r="N28" s="4708">
        <f t="shared" si="3"/>
        <v>0</v>
      </c>
      <c r="O28" s="4686"/>
      <c r="P28" s="4708">
        <f t="shared" si="4"/>
        <v>0</v>
      </c>
      <c r="R28" s="4708">
        <f t="shared" si="5"/>
        <v>0</v>
      </c>
      <c r="S28" s="4700"/>
      <c r="T28" s="4700"/>
      <c r="U28" s="4700"/>
      <c r="W28" s="4706">
        <f>OPEN!F26</f>
        <v>0</v>
      </c>
    </row>
    <row r="29" spans="1:23" ht="15" customHeight="1">
      <c r="A29" s="4702">
        <v>14</v>
      </c>
      <c r="B29" s="4686" t="s">
        <v>997</v>
      </c>
      <c r="C29" s="4686"/>
      <c r="D29" s="4708">
        <f>OPEN!$F$27</f>
        <v>0</v>
      </c>
      <c r="E29" s="4686"/>
      <c r="F29" s="4707">
        <f t="shared" si="0"/>
        <v>0</v>
      </c>
      <c r="G29" s="4686"/>
      <c r="H29" s="4708">
        <f t="shared" si="1"/>
        <v>0</v>
      </c>
      <c r="I29" s="4706"/>
      <c r="J29" s="4707">
        <f>IF(W29=0,0,ROUND(W29/W36,4))</f>
        <v>0</v>
      </c>
      <c r="K29" s="4686"/>
      <c r="L29" s="4708">
        <f t="shared" si="2"/>
        <v>0</v>
      </c>
      <c r="M29" s="4686"/>
      <c r="N29" s="4708">
        <f t="shared" si="3"/>
        <v>0</v>
      </c>
      <c r="O29" s="4686"/>
      <c r="P29" s="4708">
        <f t="shared" si="4"/>
        <v>0</v>
      </c>
      <c r="R29" s="4708">
        <f t="shared" si="5"/>
        <v>0</v>
      </c>
      <c r="S29" s="4700"/>
      <c r="T29" s="4700"/>
      <c r="U29" s="4700"/>
      <c r="W29" s="4706">
        <f>OPEN!F27</f>
        <v>0</v>
      </c>
    </row>
    <row r="30" spans="1:23" ht="15" customHeight="1">
      <c r="A30" s="4702">
        <v>15</v>
      </c>
      <c r="B30" s="4686" t="s">
        <v>1001</v>
      </c>
      <c r="C30" s="4686"/>
      <c r="D30" s="4708">
        <f>OPEN!$F$33</f>
        <v>0</v>
      </c>
      <c r="E30" s="4686"/>
      <c r="F30" s="4707">
        <f t="shared" si="0"/>
        <v>0</v>
      </c>
      <c r="G30" s="4686"/>
      <c r="H30" s="4708">
        <f t="shared" si="1"/>
        <v>0</v>
      </c>
      <c r="I30" s="4706"/>
      <c r="J30" s="4707">
        <f>IF(W30=0,0,ROUND(W30/W36,4))</f>
        <v>0</v>
      </c>
      <c r="K30" s="4686"/>
      <c r="L30" s="4708">
        <f t="shared" si="2"/>
        <v>0</v>
      </c>
      <c r="M30" s="4686"/>
      <c r="N30" s="4708">
        <f t="shared" si="3"/>
        <v>0</v>
      </c>
      <c r="O30" s="4686"/>
      <c r="P30" s="4708">
        <f t="shared" si="4"/>
        <v>0</v>
      </c>
      <c r="R30" s="4708">
        <f t="shared" si="5"/>
        <v>0</v>
      </c>
      <c r="S30" s="4700"/>
      <c r="T30" s="4700"/>
      <c r="U30" s="4700"/>
      <c r="W30" s="4706">
        <f>OPEN!F33</f>
        <v>0</v>
      </c>
    </row>
    <row r="31" spans="1:23" ht="15" customHeight="1">
      <c r="A31" s="4702">
        <v>16</v>
      </c>
      <c r="B31" s="4686" t="s">
        <v>1006</v>
      </c>
      <c r="C31" s="4686"/>
      <c r="D31" s="4708">
        <f>OPEN!$F$39</f>
        <v>0</v>
      </c>
      <c r="E31" s="4686"/>
      <c r="F31" s="4707">
        <f t="shared" si="0"/>
        <v>0</v>
      </c>
      <c r="G31" s="4686"/>
      <c r="H31" s="4708">
        <f t="shared" si="1"/>
        <v>0</v>
      </c>
      <c r="I31" s="4706"/>
      <c r="J31" s="4707">
        <f>IF(W31=0,0,ROUND(W31/W36,4))</f>
        <v>0</v>
      </c>
      <c r="K31" s="4686"/>
      <c r="L31" s="4708">
        <f t="shared" si="2"/>
        <v>0</v>
      </c>
      <c r="M31" s="4686"/>
      <c r="N31" s="4708">
        <f t="shared" si="3"/>
        <v>0</v>
      </c>
      <c r="O31" s="4686"/>
      <c r="P31" s="4708">
        <f t="shared" si="4"/>
        <v>0</v>
      </c>
      <c r="R31" s="4708">
        <f t="shared" si="5"/>
        <v>0</v>
      </c>
      <c r="S31" s="4700"/>
      <c r="T31" s="4700"/>
      <c r="U31" s="4700"/>
      <c r="W31" s="4706">
        <f>OPEN!F39</f>
        <v>0</v>
      </c>
    </row>
    <row r="32" spans="1:23" ht="15" customHeight="1">
      <c r="A32" s="4702">
        <v>17</v>
      </c>
      <c r="B32" s="4686" t="s">
        <v>1004</v>
      </c>
      <c r="C32" s="4686"/>
      <c r="D32" s="4708">
        <f>OPEN!$F$34</f>
        <v>0</v>
      </c>
      <c r="E32" s="4686"/>
      <c r="F32" s="4707">
        <f t="shared" si="0"/>
        <v>0</v>
      </c>
      <c r="G32" s="4686"/>
      <c r="H32" s="4708">
        <f t="shared" si="1"/>
        <v>0</v>
      </c>
      <c r="I32" s="4706"/>
      <c r="J32" s="4707">
        <f>IF(W32=0,0,ROUND(W32/W36,4))</f>
        <v>0</v>
      </c>
      <c r="K32" s="4686"/>
      <c r="L32" s="4708">
        <f t="shared" si="2"/>
        <v>0</v>
      </c>
      <c r="M32" s="4686"/>
      <c r="N32" s="4708">
        <f t="shared" si="3"/>
        <v>0</v>
      </c>
      <c r="O32" s="4686"/>
      <c r="P32" s="4708">
        <f t="shared" si="4"/>
        <v>0</v>
      </c>
      <c r="R32" s="4708">
        <f t="shared" si="5"/>
        <v>0</v>
      </c>
      <c r="S32" s="4700"/>
      <c r="T32" s="4700"/>
      <c r="U32" s="4700"/>
      <c r="W32" s="4706">
        <f>OPEN!F34</f>
        <v>0</v>
      </c>
    </row>
    <row r="33" spans="1:23" ht="15" customHeight="1">
      <c r="A33" s="4702">
        <v>18</v>
      </c>
      <c r="B33" s="4686" t="s">
        <v>2217</v>
      </c>
      <c r="C33" s="4686"/>
      <c r="D33" s="4708">
        <f>OPEN!$F$35</f>
        <v>0</v>
      </c>
      <c r="E33" s="4686"/>
      <c r="F33" s="4707">
        <f t="shared" si="0"/>
        <v>0</v>
      </c>
      <c r="G33" s="4686"/>
      <c r="H33" s="4708">
        <f t="shared" si="1"/>
        <v>0</v>
      </c>
      <c r="I33" s="4706"/>
      <c r="J33" s="4707">
        <f>IF(W33=0,0,ROUND(W33/W36,4))</f>
        <v>0</v>
      </c>
      <c r="K33" s="4686"/>
      <c r="L33" s="4708">
        <f t="shared" si="2"/>
        <v>0</v>
      </c>
      <c r="M33" s="4686"/>
      <c r="N33" s="4708">
        <f t="shared" si="3"/>
        <v>0</v>
      </c>
      <c r="O33" s="4686"/>
      <c r="P33" s="4708">
        <f t="shared" si="4"/>
        <v>0</v>
      </c>
      <c r="R33" s="4708">
        <f t="shared" si="5"/>
        <v>0</v>
      </c>
      <c r="S33" s="4700"/>
      <c r="T33" s="4700"/>
      <c r="U33" s="4700"/>
      <c r="W33" s="4706">
        <f>OPEN!F35</f>
        <v>0</v>
      </c>
    </row>
    <row r="34" spans="1:23" ht="15" customHeight="1">
      <c r="A34" s="4702">
        <v>19</v>
      </c>
      <c r="B34" s="4686" t="s">
        <v>365</v>
      </c>
      <c r="C34" s="4686"/>
      <c r="D34" s="4708">
        <f>OPEN!$F$40</f>
        <v>0</v>
      </c>
      <c r="E34" s="4686"/>
      <c r="F34" s="4707">
        <f t="shared" si="0"/>
        <v>0</v>
      </c>
      <c r="G34" s="4686"/>
      <c r="H34" s="4708">
        <f t="shared" si="1"/>
        <v>0</v>
      </c>
      <c r="I34" s="4706"/>
      <c r="J34" s="4707">
        <f>IF(W34=0,0,ROUND(W34/W36,4))</f>
        <v>0</v>
      </c>
      <c r="K34" s="4686"/>
      <c r="L34" s="4708">
        <f t="shared" si="2"/>
        <v>0</v>
      </c>
      <c r="M34" s="4686"/>
      <c r="N34" s="4708">
        <f t="shared" si="3"/>
        <v>0</v>
      </c>
      <c r="O34" s="4686"/>
      <c r="P34" s="4708">
        <f t="shared" si="4"/>
        <v>0</v>
      </c>
      <c r="R34" s="4708">
        <f t="shared" si="5"/>
        <v>0</v>
      </c>
      <c r="S34" s="4700"/>
      <c r="T34" s="4700"/>
      <c r="U34" s="4700"/>
      <c r="W34" s="4706">
        <f>OPEN!$F$40</f>
        <v>0</v>
      </c>
    </row>
    <row r="35" spans="1:23" ht="15" customHeight="1">
      <c r="A35" s="4702">
        <v>20</v>
      </c>
      <c r="B35" s="4686" t="s">
        <v>1232</v>
      </c>
      <c r="C35" s="4686"/>
      <c r="D35" s="4706">
        <f>OPEN!$F$41</f>
        <v>0</v>
      </c>
      <c r="E35" s="4686"/>
      <c r="F35" s="4711">
        <f t="shared" si="0"/>
        <v>0</v>
      </c>
      <c r="G35" s="4686"/>
      <c r="H35" s="4706">
        <f t="shared" si="1"/>
        <v>0</v>
      </c>
      <c r="I35" s="4706"/>
      <c r="J35" s="4711">
        <f>IF(W35=0,0,ROUND(W35/W36,4))</f>
        <v>0</v>
      </c>
      <c r="K35" s="4686"/>
      <c r="L35" s="4706">
        <f t="shared" si="2"/>
        <v>0</v>
      </c>
      <c r="M35" s="4686"/>
      <c r="N35" s="4706">
        <f t="shared" si="3"/>
        <v>0</v>
      </c>
      <c r="O35" s="4686"/>
      <c r="P35" s="4706">
        <f t="shared" si="4"/>
        <v>0</v>
      </c>
      <c r="R35" s="4708">
        <f t="shared" si="5"/>
        <v>0</v>
      </c>
      <c r="S35" s="4700"/>
      <c r="T35" s="4700"/>
      <c r="U35" s="4700"/>
      <c r="W35" s="4708">
        <f>OPEN!$F$41</f>
        <v>0</v>
      </c>
    </row>
    <row r="36" spans="1:23" ht="15" customHeight="1" thickBot="1">
      <c r="A36" s="4702">
        <v>21</v>
      </c>
      <c r="B36" s="4686" t="s">
        <v>1121</v>
      </c>
      <c r="C36" s="4686"/>
      <c r="D36" s="4712">
        <f>SUM(D17:D35)</f>
        <v>1976169</v>
      </c>
      <c r="E36" s="4686"/>
      <c r="F36" s="4713">
        <f>ROUND(SUM(F17:F35),2)</f>
        <v>1</v>
      </c>
      <c r="G36" s="4686" t="s">
        <v>2218</v>
      </c>
      <c r="H36" s="4712">
        <f>'F110'!$B$90*0.67</f>
        <v>51538</v>
      </c>
      <c r="I36" s="4686" t="s">
        <v>2219</v>
      </c>
      <c r="J36" s="4713">
        <f>ROUND(SUM(J17:J35),2)</f>
        <v>1</v>
      </c>
      <c r="K36" s="4686" t="s">
        <v>2218</v>
      </c>
      <c r="L36" s="4712">
        <f>'F110'!$G$90*0.67</f>
        <v>1136</v>
      </c>
      <c r="M36" s="4686" t="s">
        <v>2219</v>
      </c>
      <c r="N36" s="4712">
        <f>'F110'!$K$90*0.67</f>
        <v>0</v>
      </c>
      <c r="O36" s="4686" t="s">
        <v>2219</v>
      </c>
      <c r="P36" s="4712">
        <f>'F110'!$B$93*0.67</f>
        <v>4362</v>
      </c>
      <c r="Q36" s="4687" t="s">
        <v>2219</v>
      </c>
      <c r="R36" s="4982">
        <f>'F110'!$G$93*0.67</f>
        <v>7354</v>
      </c>
      <c r="S36" s="4714" t="s">
        <v>2219</v>
      </c>
      <c r="T36" s="4714"/>
      <c r="U36" s="4714"/>
      <c r="W36" s="4715">
        <f>SUM(W17:W35)</f>
        <v>3280455</v>
      </c>
    </row>
    <row r="37" spans="1:23" ht="12.75" customHeight="1" thickTop="1">
      <c r="A37" s="4686"/>
      <c r="B37" s="4686"/>
      <c r="C37" s="4686"/>
      <c r="D37" s="4686"/>
      <c r="E37" s="4686"/>
      <c r="F37" s="4686"/>
      <c r="G37" s="4686"/>
      <c r="H37" s="4686"/>
      <c r="I37" s="4686"/>
      <c r="J37" s="4686"/>
      <c r="K37" s="4686"/>
      <c r="L37" s="4686"/>
      <c r="M37" s="4686"/>
      <c r="N37" s="4686"/>
      <c r="O37" s="4686"/>
      <c r="R37" s="4686"/>
      <c r="S37" s="4688"/>
      <c r="T37" s="4688"/>
      <c r="U37" s="4688"/>
    </row>
    <row r="38" spans="1:23" s="4688" customFormat="1" ht="13.5" customHeight="1">
      <c r="A38" s="4686"/>
      <c r="B38" s="4686"/>
      <c r="C38" s="4686"/>
      <c r="D38" s="4686"/>
      <c r="E38" s="4686"/>
      <c r="F38" s="4686"/>
      <c r="G38" s="4686"/>
      <c r="H38" s="4686"/>
      <c r="I38" s="4686"/>
      <c r="J38" s="4686"/>
      <c r="K38" s="4686"/>
      <c r="L38" s="4686"/>
      <c r="M38" s="4686"/>
      <c r="N38" s="4686"/>
      <c r="O38" s="4686"/>
      <c r="P38" s="4686"/>
      <c r="Q38" s="4686"/>
      <c r="R38" s="4686"/>
    </row>
    <row r="39" spans="1:23" s="4688" customFormat="1">
      <c r="A39" s="4686" t="s">
        <v>2220</v>
      </c>
      <c r="B39" s="4686" t="str">
        <f>"Do not include taxes levied for any funds in which a budget will not be made in "&amp;OPEN!$P$4&amp;"."</f>
        <v>Do not include taxes levied for any funds in which a budget will not be made in 2016-2017.</v>
      </c>
      <c r="C39" s="4686"/>
      <c r="D39" s="4686"/>
      <c r="E39" s="4686"/>
      <c r="F39" s="4686"/>
      <c r="G39" s="4686"/>
      <c r="H39" s="4686"/>
      <c r="I39" s="4686"/>
      <c r="J39" s="4686"/>
      <c r="K39" s="4686"/>
      <c r="L39" s="4686"/>
      <c r="M39" s="4686"/>
      <c r="N39" s="4686"/>
      <c r="O39" s="4686"/>
      <c r="P39" s="4686"/>
      <c r="Q39" s="4686"/>
      <c r="R39" s="4686"/>
    </row>
    <row r="40" spans="1:23" s="4688" customFormat="1">
      <c r="A40" s="4686" t="s">
        <v>2221</v>
      </c>
      <c r="B40" s="4686" t="s">
        <v>2222</v>
      </c>
      <c r="C40" s="4686"/>
      <c r="D40" s="4686"/>
      <c r="E40" s="4686"/>
      <c r="F40" s="4686"/>
      <c r="G40" s="4686"/>
      <c r="H40" s="4686"/>
      <c r="I40" s="4686"/>
      <c r="J40" s="4686"/>
      <c r="K40" s="4686"/>
      <c r="L40" s="4686"/>
      <c r="M40" s="4686"/>
      <c r="N40" s="4686"/>
      <c r="O40" s="4686"/>
      <c r="P40" s="4686"/>
      <c r="Q40" s="4686"/>
      <c r="R40" s="4686"/>
    </row>
    <row r="41" spans="1:23" s="4688" customFormat="1">
      <c r="A41" s="4686" t="s">
        <v>2218</v>
      </c>
      <c r="B41" s="4686" t="s">
        <v>2223</v>
      </c>
      <c r="C41" s="4686"/>
      <c r="D41" s="4686"/>
      <c r="E41" s="4686"/>
      <c r="F41" s="4686"/>
      <c r="G41" s="4686"/>
      <c r="H41" s="4686"/>
      <c r="I41" s="4686"/>
      <c r="J41" s="4686"/>
      <c r="K41" s="4686"/>
      <c r="L41" s="4686"/>
      <c r="M41" s="4686"/>
      <c r="N41" s="4686"/>
      <c r="O41" s="4686"/>
      <c r="P41" s="4686"/>
      <c r="Q41" s="4686"/>
      <c r="R41" s="4686"/>
    </row>
    <row r="42" spans="1:23" s="4688" customFormat="1">
      <c r="A42" s="4686" t="s">
        <v>2224</v>
      </c>
      <c r="B42" s="4686" t="s">
        <v>2225</v>
      </c>
      <c r="C42" s="4686"/>
      <c r="D42" s="4686"/>
      <c r="E42" s="4686"/>
      <c r="F42" s="4686"/>
      <c r="G42" s="4686"/>
      <c r="H42" s="4686"/>
      <c r="I42" s="4686"/>
      <c r="J42" s="4686"/>
      <c r="K42" s="4686"/>
      <c r="L42" s="4686"/>
      <c r="M42" s="4686"/>
      <c r="N42" s="4686"/>
      <c r="O42" s="4686"/>
      <c r="P42" s="4686"/>
      <c r="Q42" s="4686"/>
      <c r="R42" s="4686"/>
    </row>
    <row r="43" spans="1:23" s="4688" customFormat="1">
      <c r="A43" s="4686" t="s">
        <v>2219</v>
      </c>
      <c r="B43" s="4686" t="s">
        <v>2226</v>
      </c>
      <c r="C43" s="4686"/>
      <c r="D43" s="4686"/>
      <c r="E43" s="4686"/>
      <c r="F43" s="4686"/>
      <c r="G43" s="4686"/>
      <c r="H43" s="4686"/>
      <c r="I43" s="4686"/>
      <c r="J43" s="4686"/>
      <c r="K43" s="4686"/>
      <c r="L43" s="4686"/>
      <c r="M43" s="4686"/>
      <c r="N43" s="4686"/>
      <c r="O43" s="4686"/>
      <c r="P43" s="4686"/>
      <c r="Q43" s="4686"/>
      <c r="R43" s="4686"/>
    </row>
    <row r="44" spans="1:23" s="4688" customFormat="1">
      <c r="A44" s="4686" t="s">
        <v>2227</v>
      </c>
      <c r="B44" s="4686" t="str">
        <f>"Includes the total "&amp;OPEN!$O$5&amp;" General Fund taxes levied."</f>
        <v>Includes the total 2014 General Fund taxes levied.</v>
      </c>
      <c r="C44" s="4686"/>
      <c r="D44" s="4686"/>
      <c r="E44" s="4686"/>
      <c r="F44" s="4686"/>
      <c r="G44" s="4686"/>
      <c r="H44" s="4686"/>
      <c r="I44" s="4686"/>
      <c r="J44" s="4686"/>
      <c r="K44" s="4686"/>
      <c r="L44" s="4686"/>
      <c r="M44" s="4686"/>
      <c r="N44" s="4686"/>
      <c r="O44" s="4686"/>
      <c r="P44" s="4686"/>
      <c r="Q44" s="4686"/>
      <c r="R44" s="4686"/>
    </row>
    <row r="45" spans="1:23" s="4688" customFormat="1" ht="15" customHeight="1">
      <c r="A45" s="4686" t="s">
        <v>2228</v>
      </c>
      <c r="B45" s="4697" t="s">
        <v>2225</v>
      </c>
      <c r="C45" s="4686"/>
      <c r="D45" s="4686"/>
      <c r="E45" s="4686"/>
      <c r="F45" s="4686"/>
      <c r="G45" s="4686"/>
      <c r="H45" s="4686"/>
      <c r="I45" s="4686"/>
      <c r="J45" s="4686"/>
      <c r="K45" s="4686"/>
      <c r="L45" s="4686"/>
      <c r="M45" s="4686"/>
      <c r="N45" s="4686"/>
      <c r="O45" s="4686"/>
      <c r="P45" s="4686"/>
      <c r="Q45" s="4686"/>
      <c r="R45" s="4686"/>
    </row>
    <row r="46" spans="1:23" s="4688" customFormat="1" hidden="1">
      <c r="A46" s="4686"/>
      <c r="B46" s="4686"/>
      <c r="C46" s="4686"/>
      <c r="D46" s="4686"/>
      <c r="E46" s="4686"/>
      <c r="F46" s="4686"/>
      <c r="G46" s="4686"/>
      <c r="H46" s="4686"/>
      <c r="I46" s="4686"/>
      <c r="J46" s="4686"/>
      <c r="K46" s="4686"/>
      <c r="L46" s="4686"/>
      <c r="M46" s="4686"/>
      <c r="N46" s="4686"/>
      <c r="O46" s="4686"/>
      <c r="P46" s="4686"/>
      <c r="Q46" s="4686"/>
      <c r="R46" s="4686"/>
    </row>
    <row r="47" spans="1:23" s="4688" customFormat="1" hidden="1">
      <c r="A47" s="4686"/>
      <c r="B47" s="4686"/>
      <c r="C47" s="4686"/>
      <c r="D47" s="4686"/>
      <c r="E47" s="4686"/>
      <c r="F47" s="4686"/>
      <c r="G47" s="4686"/>
      <c r="H47" s="4686"/>
      <c r="I47" s="4686"/>
      <c r="J47" s="4686"/>
      <c r="K47" s="4686"/>
      <c r="L47" s="4686"/>
      <c r="M47" s="4686"/>
      <c r="N47" s="4686"/>
      <c r="O47" s="4686"/>
      <c r="P47" s="4686"/>
      <c r="Q47" s="4686"/>
      <c r="R47" s="4686"/>
    </row>
    <row r="48" spans="1:23" s="4688" customFormat="1" ht="12.75" hidden="1" customHeight="1">
      <c r="A48" s="4686"/>
      <c r="B48" s="4697"/>
      <c r="C48" s="4692"/>
      <c r="D48" s="4716"/>
      <c r="E48" s="4692"/>
      <c r="F48" s="4692"/>
      <c r="G48" s="4692"/>
      <c r="H48" s="4692"/>
      <c r="I48" s="4692"/>
      <c r="J48" s="4692"/>
      <c r="K48" s="4692"/>
      <c r="L48" s="4692"/>
      <c r="M48" s="4686"/>
      <c r="N48" s="4686"/>
      <c r="O48" s="4686"/>
      <c r="P48" s="4686"/>
      <c r="Q48" s="4686"/>
      <c r="R48" s="4686"/>
    </row>
    <row r="49" spans="1:21" s="4688" customFormat="1" ht="12.75" hidden="1" customHeight="1">
      <c r="A49" s="4686"/>
      <c r="B49" s="4696"/>
      <c r="C49" s="4686"/>
      <c r="D49" s="4686"/>
      <c r="E49" s="4686"/>
      <c r="F49" s="4691"/>
      <c r="G49" s="4686"/>
      <c r="H49" s="4691"/>
      <c r="I49" s="4691"/>
      <c r="J49" s="4691"/>
      <c r="K49" s="4686"/>
      <c r="L49" s="4686"/>
      <c r="M49" s="4686"/>
      <c r="N49" s="4686"/>
      <c r="O49" s="4686"/>
      <c r="P49" s="4686"/>
      <c r="Q49" s="4686"/>
      <c r="R49" s="4686"/>
    </row>
    <row r="50" spans="1:21" s="4688" customFormat="1" ht="18.75" hidden="1" customHeight="1">
      <c r="A50" s="4686"/>
      <c r="B50" s="4686"/>
      <c r="C50" s="4686"/>
      <c r="D50" s="4686"/>
      <c r="E50" s="4686"/>
      <c r="F50" s="4691"/>
      <c r="G50" s="4686"/>
      <c r="H50" s="4717"/>
      <c r="I50" s="4691"/>
      <c r="J50" s="4691"/>
      <c r="K50" s="4686"/>
      <c r="L50" s="4686"/>
      <c r="M50" s="4686"/>
      <c r="N50" s="4686"/>
      <c r="O50" s="4686"/>
      <c r="P50" s="4686"/>
      <c r="Q50" s="4686"/>
      <c r="R50" s="4686"/>
    </row>
    <row r="51" spans="1:21" hidden="1">
      <c r="A51" s="4686"/>
      <c r="B51" s="4696"/>
      <c r="C51" s="4686"/>
      <c r="D51" s="4686"/>
      <c r="E51" s="4686"/>
      <c r="F51" s="4718"/>
      <c r="G51" s="4710"/>
      <c r="H51" s="4706"/>
      <c r="I51" s="4719"/>
      <c r="J51" s="4719"/>
      <c r="K51" s="4686"/>
      <c r="L51" s="4686"/>
      <c r="M51" s="4686"/>
      <c r="N51" s="4686"/>
      <c r="O51" s="4686"/>
      <c r="R51" s="4686"/>
      <c r="S51" s="4688"/>
      <c r="T51" s="4688"/>
      <c r="U51" s="4688"/>
    </row>
    <row r="52" spans="1:21" hidden="1">
      <c r="A52" s="4686"/>
      <c r="B52" s="4696"/>
      <c r="C52" s="4686"/>
      <c r="D52" s="4686"/>
      <c r="E52" s="4686"/>
      <c r="F52" s="4706"/>
      <c r="G52" s="4710"/>
      <c r="H52" s="4706"/>
      <c r="I52" s="4714"/>
      <c r="J52" s="4714"/>
      <c r="K52" s="4686"/>
      <c r="L52" s="4686"/>
      <c r="M52" s="4686"/>
      <c r="N52" s="4686"/>
      <c r="O52" s="4686"/>
      <c r="R52" s="4686"/>
      <c r="S52" s="4688"/>
      <c r="T52" s="4688"/>
      <c r="U52" s="4688"/>
    </row>
    <row r="53" spans="1:21" hidden="1">
      <c r="A53" s="4686"/>
      <c r="B53" s="4696"/>
      <c r="C53" s="4686"/>
      <c r="D53" s="4686"/>
      <c r="E53" s="4686"/>
      <c r="F53" s="4710"/>
      <c r="G53" s="4710"/>
      <c r="H53" s="4710"/>
      <c r="I53" s="4686"/>
      <c r="J53" s="4686"/>
      <c r="K53" s="4686"/>
      <c r="L53" s="4686"/>
      <c r="M53" s="4686"/>
      <c r="N53" s="4686"/>
      <c r="O53" s="4686"/>
      <c r="R53" s="4686"/>
      <c r="S53" s="4688"/>
      <c r="T53" s="4688"/>
      <c r="U53" s="4688"/>
    </row>
    <row r="54" spans="1:21" hidden="1">
      <c r="A54" s="4686"/>
      <c r="B54" s="4696"/>
      <c r="C54" s="4686"/>
      <c r="D54" s="4686"/>
      <c r="E54" s="4686"/>
      <c r="F54" s="4706"/>
      <c r="G54" s="4710"/>
      <c r="H54" s="4706"/>
      <c r="I54" s="4719"/>
      <c r="J54" s="4719"/>
      <c r="K54" s="4686"/>
      <c r="L54" s="4686"/>
      <c r="M54" s="4686"/>
      <c r="N54" s="4686"/>
      <c r="O54" s="4686"/>
      <c r="R54" s="4686"/>
      <c r="S54" s="4688"/>
      <c r="T54" s="4688"/>
      <c r="U54" s="4688"/>
    </row>
    <row r="55" spans="1:21" hidden="1">
      <c r="A55" s="4686"/>
      <c r="B55" s="4696"/>
      <c r="C55" s="4686"/>
      <c r="D55" s="4686"/>
      <c r="E55" s="4686"/>
      <c r="F55" s="4720"/>
      <c r="G55" s="4710"/>
      <c r="H55" s="4720"/>
      <c r="I55" s="4710"/>
      <c r="J55" s="4710"/>
      <c r="K55" s="4686"/>
      <c r="L55" s="4686"/>
      <c r="M55" s="4686"/>
      <c r="N55" s="4686"/>
      <c r="O55" s="4686"/>
      <c r="R55" s="4686"/>
      <c r="S55" s="4688"/>
      <c r="T55" s="4688"/>
      <c r="U55" s="4688"/>
    </row>
    <row r="56" spans="1:21" hidden="1">
      <c r="A56" s="4686"/>
      <c r="B56" s="4696"/>
      <c r="C56" s="4686"/>
      <c r="D56" s="4686"/>
      <c r="E56" s="4686"/>
      <c r="F56" s="4721"/>
      <c r="G56" s="4686"/>
      <c r="H56" s="4721"/>
      <c r="I56" s="4710"/>
      <c r="J56" s="4710"/>
      <c r="K56" s="4686"/>
      <c r="L56" s="4686"/>
      <c r="M56" s="4686"/>
      <c r="N56" s="4686"/>
      <c r="O56" s="4686"/>
      <c r="R56" s="4686"/>
      <c r="S56" s="4688"/>
      <c r="T56" s="4688"/>
      <c r="U56" s="4688"/>
    </row>
    <row r="57" spans="1:21" hidden="1">
      <c r="A57" s="4686"/>
      <c r="B57" s="4696"/>
      <c r="C57" s="4686"/>
      <c r="D57" s="4686"/>
      <c r="E57" s="4686"/>
      <c r="F57" s="4721"/>
      <c r="G57" s="4686"/>
      <c r="H57" s="4721"/>
      <c r="I57" s="4710"/>
      <c r="J57" s="4710"/>
      <c r="K57" s="4686"/>
      <c r="L57" s="4686"/>
      <c r="M57" s="4686"/>
      <c r="N57" s="4686"/>
      <c r="O57" s="4686"/>
      <c r="R57" s="4686"/>
      <c r="S57" s="4688"/>
      <c r="T57" s="4688"/>
      <c r="U57" s="4688"/>
    </row>
    <row r="58" spans="1:21">
      <c r="A58" s="4686" t="s">
        <v>2229</v>
      </c>
      <c r="B58" s="4686"/>
      <c r="C58" s="4686"/>
      <c r="D58" s="4686"/>
      <c r="E58" s="4686"/>
      <c r="F58" s="4686"/>
      <c r="G58" s="4686"/>
      <c r="H58" s="4686"/>
      <c r="I58" s="4686"/>
      <c r="J58" s="4686"/>
      <c r="K58" s="4686"/>
      <c r="L58" s="4686"/>
      <c r="M58" s="4686"/>
      <c r="N58" s="4686"/>
      <c r="O58" s="4686"/>
      <c r="R58" s="4686"/>
      <c r="S58" s="4688"/>
      <c r="T58" s="4688"/>
      <c r="U58" s="4688"/>
    </row>
    <row r="59" spans="1:21">
      <c r="A59" s="4686" t="str">
        <f>A2</f>
        <v xml:space="preserve">Rev. </v>
      </c>
      <c r="B59" s="4690">
        <f>B2</f>
        <v>42522</v>
      </c>
      <c r="C59" s="4686"/>
      <c r="D59" s="4686"/>
      <c r="E59" s="4686"/>
      <c r="F59" s="4686"/>
      <c r="G59" s="4686"/>
      <c r="H59" s="4686"/>
      <c r="I59" s="4686"/>
      <c r="J59" s="4686"/>
      <c r="K59" s="4693"/>
      <c r="L59" s="4694" t="s">
        <v>1019</v>
      </c>
      <c r="M59" s="4694"/>
      <c r="N59" s="4695">
        <f>N4</f>
        <v>270</v>
      </c>
      <c r="O59" s="4686"/>
      <c r="R59" s="4686"/>
      <c r="S59" s="4688"/>
      <c r="T59" s="4688"/>
      <c r="U59" s="4688"/>
    </row>
    <row r="60" spans="1:21">
      <c r="A60" s="4691" t="s">
        <v>2197</v>
      </c>
      <c r="B60" s="4692"/>
      <c r="C60" s="4692"/>
      <c r="D60" s="4692"/>
      <c r="E60" s="4692"/>
      <c r="F60" s="4692"/>
      <c r="G60" s="4692"/>
      <c r="H60" s="4692"/>
      <c r="I60" s="4692"/>
      <c r="J60" s="4692"/>
      <c r="K60" s="4692"/>
      <c r="L60" s="4692"/>
      <c r="M60" s="4692"/>
      <c r="N60" s="4692"/>
      <c r="O60" s="4686"/>
      <c r="R60" s="4686"/>
      <c r="S60" s="4688"/>
      <c r="T60" s="4688"/>
      <c r="U60" s="4688"/>
    </row>
    <row r="61" spans="1:21" ht="5.0999999999999996" customHeight="1">
      <c r="A61" s="4686"/>
      <c r="B61" s="4686"/>
      <c r="C61" s="4686"/>
      <c r="D61" s="4686"/>
      <c r="E61" s="4686"/>
      <c r="F61" s="4686"/>
      <c r="G61" s="4686"/>
      <c r="H61" s="4686"/>
      <c r="I61" s="4686"/>
      <c r="J61" s="4686"/>
      <c r="K61" s="4686"/>
      <c r="L61" s="4686"/>
      <c r="M61" s="4686"/>
      <c r="N61" s="4686"/>
      <c r="O61" s="4686"/>
      <c r="R61" s="4686"/>
      <c r="S61" s="4688"/>
      <c r="T61" s="4688"/>
      <c r="U61" s="4688"/>
    </row>
    <row r="62" spans="1:21" ht="12" customHeight="1">
      <c r="A62" s="4691" t="str">
        <f>A5</f>
        <v>2016-2017</v>
      </c>
      <c r="B62" s="4692"/>
      <c r="C62" s="4692"/>
      <c r="D62" s="4692"/>
      <c r="E62" s="4692"/>
      <c r="F62" s="4692"/>
      <c r="G62" s="4692"/>
      <c r="H62" s="4692"/>
      <c r="I62" s="4692"/>
      <c r="J62" s="4692"/>
      <c r="K62" s="4692"/>
      <c r="L62" s="4692"/>
      <c r="M62" s="4692"/>
      <c r="N62" s="4692"/>
      <c r="O62" s="4686"/>
      <c r="R62" s="4686"/>
      <c r="S62" s="4688"/>
      <c r="T62" s="4688"/>
      <c r="U62" s="4688"/>
    </row>
    <row r="63" spans="1:21" ht="12" customHeight="1">
      <c r="A63" s="4691" t="s">
        <v>2230</v>
      </c>
      <c r="B63" s="4691"/>
      <c r="C63" s="4692"/>
      <c r="D63" s="4692"/>
      <c r="E63" s="4692"/>
      <c r="F63" s="4692"/>
      <c r="G63" s="4692"/>
      <c r="H63" s="4692"/>
      <c r="I63" s="4692"/>
      <c r="J63" s="4692"/>
      <c r="K63" s="4692"/>
      <c r="L63" s="4692"/>
      <c r="M63" s="4692"/>
      <c r="N63" s="4692"/>
      <c r="O63" s="4686"/>
      <c r="R63" s="4686"/>
      <c r="S63" s="4688"/>
      <c r="T63" s="4688"/>
      <c r="U63" s="4688"/>
    </row>
    <row r="64" spans="1:21" ht="12" customHeight="1">
      <c r="A64" s="4691" t="s">
        <v>2231</v>
      </c>
      <c r="B64" s="4691"/>
      <c r="C64" s="4692"/>
      <c r="D64" s="4692"/>
      <c r="E64" s="4692"/>
      <c r="F64" s="4692"/>
      <c r="G64" s="4692"/>
      <c r="H64" s="4692"/>
      <c r="I64" s="4692"/>
      <c r="J64" s="4692"/>
      <c r="K64" s="4692"/>
      <c r="L64" s="4692"/>
      <c r="M64" s="4692"/>
      <c r="N64" s="4692"/>
      <c r="O64" s="4686"/>
      <c r="R64" s="4686"/>
      <c r="S64" s="4688"/>
      <c r="T64" s="4688"/>
      <c r="U64" s="4688"/>
    </row>
    <row r="65" spans="1:24" ht="12" customHeight="1">
      <c r="A65" s="4691" t="s">
        <v>2232</v>
      </c>
      <c r="B65" s="4691"/>
      <c r="C65" s="4692"/>
      <c r="D65" s="4692"/>
      <c r="E65" s="4692"/>
      <c r="F65" s="4692"/>
      <c r="G65" s="4692"/>
      <c r="H65" s="4692"/>
      <c r="I65" s="4692"/>
      <c r="J65" s="4692"/>
      <c r="K65" s="4692"/>
      <c r="L65" s="4692"/>
      <c r="M65" s="4692"/>
      <c r="N65" s="4692"/>
      <c r="O65" s="4686"/>
      <c r="R65" s="4686"/>
      <c r="S65" s="4688"/>
      <c r="T65" s="4688"/>
      <c r="U65" s="4688"/>
    </row>
    <row r="66" spans="1:24" ht="12" customHeight="1">
      <c r="A66" s="4691" t="str">
        <f>"for January 1, "&amp;OPEN!$S$5&amp;", to June 30, "&amp;OPEN!$S$5</f>
        <v>for January 1, 2017, to June 30, 2017</v>
      </c>
      <c r="B66" s="4691"/>
      <c r="C66" s="4692"/>
      <c r="D66" s="4692"/>
      <c r="E66" s="4692"/>
      <c r="F66" s="4692"/>
      <c r="G66" s="4692"/>
      <c r="H66" s="4692"/>
      <c r="I66" s="4692"/>
      <c r="J66" s="4692"/>
      <c r="K66" s="4692"/>
      <c r="L66" s="4692"/>
      <c r="M66" s="4692"/>
      <c r="N66" s="4692"/>
      <c r="O66" s="4686"/>
      <c r="R66" s="4686"/>
      <c r="S66" s="4688"/>
      <c r="T66" s="4688"/>
      <c r="U66" s="4688"/>
    </row>
    <row r="67" spans="1:24" ht="5.0999999999999996" customHeight="1">
      <c r="A67" s="4686"/>
      <c r="B67" s="4686"/>
      <c r="C67" s="4686"/>
      <c r="D67" s="4686"/>
      <c r="E67" s="4686"/>
      <c r="F67" s="4686"/>
      <c r="G67" s="4686"/>
      <c r="H67" s="4686"/>
      <c r="I67" s="4686"/>
      <c r="J67" s="4686"/>
      <c r="K67" s="4686"/>
      <c r="L67" s="4686"/>
      <c r="M67" s="4686"/>
      <c r="N67" s="4686"/>
      <c r="O67" s="4686"/>
      <c r="R67" s="4686"/>
      <c r="S67" s="4688"/>
      <c r="T67" s="4688"/>
      <c r="U67" s="4688"/>
    </row>
    <row r="68" spans="1:24" ht="12" customHeight="1">
      <c r="A68" s="4692" t="s">
        <v>2200</v>
      </c>
      <c r="B68" s="4692"/>
      <c r="C68" s="4692"/>
      <c r="D68" s="4692"/>
      <c r="E68" s="4692"/>
      <c r="F68" s="4692"/>
      <c r="G68" s="4692"/>
      <c r="H68" s="4692"/>
      <c r="I68" s="4692"/>
      <c r="J68" s="4692"/>
      <c r="K68" s="4692"/>
      <c r="L68" s="4692"/>
      <c r="M68" s="4692"/>
      <c r="N68" s="4692"/>
      <c r="O68" s="4686"/>
      <c r="R68" s="4686"/>
      <c r="S68" s="4688"/>
      <c r="T68" s="4688"/>
      <c r="U68" s="4688"/>
    </row>
    <row r="69" spans="1:24" ht="12" customHeight="1">
      <c r="A69" s="4692" t="str">
        <f>"For New Levies Made in "&amp;OPEN!$O$4&amp;" School Year Until March, "&amp;OPEN!$S$5&amp;".  For new levies made in "&amp;OPEN!$P$4</f>
        <v>For New Levies Made in 2015-2016 School Year Until March, 2017.  For new levies made in 2016-2017</v>
      </c>
      <c r="B69" s="4692"/>
      <c r="C69" s="4692"/>
      <c r="D69" s="4692"/>
      <c r="E69" s="4692"/>
      <c r="F69" s="4692"/>
      <c r="G69" s="4692"/>
      <c r="H69" s="4692"/>
      <c r="I69" s="4692"/>
      <c r="J69" s="4692"/>
      <c r="K69" s="4692"/>
      <c r="L69" s="4692"/>
      <c r="M69" s="4692"/>
      <c r="N69" s="4692"/>
      <c r="O69" s="4686"/>
      <c r="R69" s="4686"/>
      <c r="S69" s="4688"/>
      <c r="T69" s="4688"/>
      <c r="U69" s="4688"/>
    </row>
    <row r="70" spans="1:24" ht="12" customHeight="1">
      <c r="A70" s="4692" t="str">
        <f>"revenues will not be received until March, "&amp;OPEN!$U$5</f>
        <v>revenues will not be received until March, 2018</v>
      </c>
      <c r="B70" s="4692"/>
      <c r="C70" s="4692"/>
      <c r="D70" s="4692"/>
      <c r="E70" s="4692"/>
      <c r="F70" s="4692"/>
      <c r="G70" s="4692"/>
      <c r="H70" s="4692"/>
      <c r="I70" s="4692"/>
      <c r="J70" s="4692"/>
      <c r="K70" s="4692"/>
      <c r="L70" s="4692"/>
      <c r="M70" s="4692"/>
      <c r="N70" s="4692"/>
      <c r="O70" s="4686"/>
      <c r="R70" s="4686"/>
      <c r="S70" s="4688"/>
      <c r="T70" s="4688"/>
      <c r="U70" s="4688"/>
    </row>
    <row r="71" spans="1:24" ht="7.5" customHeight="1">
      <c r="A71" s="4692"/>
      <c r="B71" s="4692"/>
      <c r="C71" s="4692"/>
      <c r="D71" s="4692"/>
      <c r="E71" s="4692"/>
      <c r="F71" s="4692"/>
      <c r="G71" s="4692"/>
      <c r="H71" s="4692"/>
      <c r="I71" s="4692"/>
      <c r="J71" s="4692"/>
      <c r="K71" s="4692"/>
      <c r="L71" s="4692"/>
      <c r="M71" s="4692"/>
      <c r="N71" s="4692"/>
      <c r="O71" s="4686"/>
      <c r="R71" s="4686"/>
      <c r="S71" s="4688"/>
      <c r="T71" s="4688"/>
      <c r="U71" s="4688"/>
    </row>
    <row r="72" spans="1:24">
      <c r="A72" s="4697"/>
      <c r="B72" s="4697"/>
      <c r="C72" s="4697"/>
      <c r="D72" s="4698">
        <v>1</v>
      </c>
      <c r="E72" s="4699"/>
      <c r="F72" s="4698">
        <v>2</v>
      </c>
      <c r="G72" s="4699"/>
      <c r="H72" s="4698">
        <v>3</v>
      </c>
      <c r="I72" s="4698"/>
      <c r="J72" s="4698">
        <v>4</v>
      </c>
      <c r="K72" s="4699"/>
      <c r="L72" s="4698">
        <v>5</v>
      </c>
      <c r="M72" s="4699"/>
      <c r="N72" s="4698">
        <v>6</v>
      </c>
      <c r="O72" s="4686"/>
      <c r="P72" s="4698">
        <v>7</v>
      </c>
      <c r="R72" s="4698">
        <v>8</v>
      </c>
      <c r="S72" s="4700"/>
      <c r="T72" s="4700"/>
      <c r="U72" s="4700"/>
    </row>
    <row r="73" spans="1:24">
      <c r="A73" s="4697"/>
      <c r="B73" s="4697"/>
      <c r="C73" s="4697"/>
      <c r="D73" s="4699" t="str">
        <f>OPEN!$P$5&amp;" Taxes Levied"</f>
        <v>2015 Taxes Levied</v>
      </c>
      <c r="E73" s="4699"/>
      <c r="F73" s="4699" t="s">
        <v>2201</v>
      </c>
      <c r="G73" s="4699"/>
      <c r="H73" s="4699" t="s">
        <v>1258</v>
      </c>
      <c r="I73" s="4699"/>
      <c r="J73" s="4699" t="s">
        <v>2201</v>
      </c>
      <c r="K73" s="4699"/>
      <c r="L73" s="4699" t="s">
        <v>2202</v>
      </c>
      <c r="M73" s="4699"/>
      <c r="N73" s="4699" t="s">
        <v>2203</v>
      </c>
      <c r="O73" s="4686"/>
      <c r="P73" s="4699"/>
      <c r="R73" s="4701" t="s">
        <v>2204</v>
      </c>
      <c r="S73" s="4700"/>
      <c r="T73" s="4700"/>
      <c r="U73" s="4700"/>
    </row>
    <row r="74" spans="1:24">
      <c r="A74" s="4697"/>
      <c r="B74" s="4697"/>
      <c r="C74" s="4697"/>
      <c r="D74" s="4699" t="s">
        <v>2205</v>
      </c>
      <c r="E74" s="4699"/>
      <c r="F74" s="4699" t="s">
        <v>2206</v>
      </c>
      <c r="G74" s="4699"/>
      <c r="H74" s="4699" t="s">
        <v>2207</v>
      </c>
      <c r="I74" s="4699"/>
      <c r="J74" s="4699" t="s">
        <v>2208</v>
      </c>
      <c r="K74" s="4699"/>
      <c r="L74" s="4699" t="s">
        <v>2207</v>
      </c>
      <c r="M74" s="4699"/>
      <c r="N74" s="4699" t="s">
        <v>2209</v>
      </c>
      <c r="O74" s="4686"/>
      <c r="P74" s="4699" t="str">
        <f>P16</f>
        <v>16/20M Tax (d)</v>
      </c>
      <c r="R74" s="4701" t="s">
        <v>2211</v>
      </c>
      <c r="S74" s="4700"/>
      <c r="T74" s="4700"/>
      <c r="U74" s="4700"/>
      <c r="W74" s="4689" t="s">
        <v>2233</v>
      </c>
    </row>
    <row r="75" spans="1:24" ht="17.100000000000001" customHeight="1">
      <c r="A75" s="4702">
        <v>1</v>
      </c>
      <c r="B75" s="4686" t="s">
        <v>2213</v>
      </c>
      <c r="C75" s="4686"/>
      <c r="D75" s="4703" t="s">
        <v>1782</v>
      </c>
      <c r="E75" s="4686"/>
      <c r="F75" s="4704" t="s">
        <v>787</v>
      </c>
      <c r="G75" s="4686"/>
      <c r="H75" s="4705" t="s">
        <v>787</v>
      </c>
      <c r="I75" s="4706"/>
      <c r="J75" s="4707">
        <f>IF(W75=0,0,ROUND(W75/W94,4))</f>
        <v>0.4012</v>
      </c>
      <c r="K75" s="4686"/>
      <c r="L75" s="4705" t="s">
        <v>1676</v>
      </c>
      <c r="M75" s="4686"/>
      <c r="N75" s="4705" t="s">
        <v>1676</v>
      </c>
      <c r="O75" s="4686"/>
      <c r="P75" s="4709" t="s">
        <v>787</v>
      </c>
      <c r="R75" s="4709" t="s">
        <v>787</v>
      </c>
      <c r="S75" s="4700"/>
      <c r="T75" s="4700"/>
      <c r="U75" s="4700"/>
      <c r="W75" s="4706">
        <f>OPEN!$A$13*(20/1000)</f>
        <v>649742</v>
      </c>
      <c r="X75" s="4722"/>
    </row>
    <row r="76" spans="1:24" ht="17.100000000000001" customHeight="1">
      <c r="A76" s="4702">
        <v>2</v>
      </c>
      <c r="B76" s="4686" t="s">
        <v>2215</v>
      </c>
      <c r="C76" s="4686"/>
      <c r="D76" s="4708">
        <f>'F110'!$G$16</f>
        <v>339172</v>
      </c>
      <c r="E76" s="4686"/>
      <c r="F76" s="4707">
        <f t="shared" ref="F76:F93" si="6">IF(D76=0,0,ROUND(D76/$D$94,4))</f>
        <v>0.3498</v>
      </c>
      <c r="G76" s="4686"/>
      <c r="H76" s="4708">
        <f t="shared" ref="H76:H93" si="7">$H$94*F76</f>
        <v>8879</v>
      </c>
      <c r="I76" s="4706"/>
      <c r="J76" s="4707">
        <f>IF(W76=0,0,ROUND(W76/W94,4))</f>
        <v>0.2094</v>
      </c>
      <c r="K76" s="4686"/>
      <c r="L76" s="4708">
        <f t="shared" ref="L76:L93" si="8">$L$94*F76</f>
        <v>196</v>
      </c>
      <c r="M76" s="4686"/>
      <c r="N76" s="4708">
        <f t="shared" ref="N76:N93" si="9">$N$94*F76</f>
        <v>0</v>
      </c>
      <c r="O76" s="4686"/>
      <c r="P76" s="4708">
        <f t="shared" ref="P76:P93" si="10">$P$94*F76</f>
        <v>751</v>
      </c>
      <c r="R76" s="4708">
        <f>$R$94*F76</f>
        <v>1267</v>
      </c>
      <c r="S76" s="4700"/>
      <c r="T76" s="4700"/>
      <c r="U76" s="4700"/>
      <c r="W76" s="4706">
        <f>'F110'!$G$16</f>
        <v>339172</v>
      </c>
    </row>
    <row r="77" spans="1:24" ht="17.100000000000001" customHeight="1">
      <c r="A77" s="4702">
        <v>3</v>
      </c>
      <c r="B77" s="4686" t="s">
        <v>995</v>
      </c>
      <c r="C77" s="4686"/>
      <c r="D77" s="4708">
        <f>'F110'!$E$64</f>
        <v>0</v>
      </c>
      <c r="E77" s="4686"/>
      <c r="F77" s="4707">
        <f t="shared" si="6"/>
        <v>0</v>
      </c>
      <c r="G77" s="4686"/>
      <c r="H77" s="4708">
        <f t="shared" si="7"/>
        <v>0</v>
      </c>
      <c r="I77" s="4706"/>
      <c r="J77" s="4707">
        <f>IF(W77=0,0,ROUND(W77/W94,4))</f>
        <v>0</v>
      </c>
      <c r="K77" s="4686"/>
      <c r="L77" s="4708">
        <f t="shared" si="8"/>
        <v>0</v>
      </c>
      <c r="M77" s="4686"/>
      <c r="N77" s="4708">
        <f t="shared" si="9"/>
        <v>0</v>
      </c>
      <c r="O77" s="4686"/>
      <c r="P77" s="4708">
        <f>$P$94*F77</f>
        <v>0</v>
      </c>
      <c r="R77" s="4708">
        <f t="shared" ref="R77:R93" si="11">$R$94*F77</f>
        <v>0</v>
      </c>
      <c r="S77" s="4700"/>
      <c r="T77" s="4700"/>
      <c r="U77" s="4700"/>
      <c r="W77" s="4706">
        <f>'F110'!$E$64</f>
        <v>0</v>
      </c>
    </row>
    <row r="78" spans="1:24" ht="17.100000000000001" customHeight="1">
      <c r="A78" s="4702">
        <v>4</v>
      </c>
      <c r="B78" s="4686" t="s">
        <v>996</v>
      </c>
      <c r="C78" s="4686"/>
      <c r="D78" s="4708">
        <f>'F110'!$I$16</f>
        <v>280076</v>
      </c>
      <c r="E78" s="4686"/>
      <c r="F78" s="4707">
        <f t="shared" si="6"/>
        <v>0.2888</v>
      </c>
      <c r="G78" s="4686"/>
      <c r="H78" s="4708">
        <f t="shared" si="7"/>
        <v>7331</v>
      </c>
      <c r="I78" s="4706"/>
      <c r="J78" s="4707">
        <f>IF(W78=0,0,ROUND(W78/W94,4))</f>
        <v>0.17299999999999999</v>
      </c>
      <c r="K78" s="4686"/>
      <c r="L78" s="4708">
        <f t="shared" si="8"/>
        <v>161</v>
      </c>
      <c r="M78" s="4686"/>
      <c r="N78" s="4708">
        <f t="shared" si="9"/>
        <v>0</v>
      </c>
      <c r="O78" s="4686"/>
      <c r="P78" s="4708">
        <f t="shared" si="10"/>
        <v>620</v>
      </c>
      <c r="R78" s="4708">
        <f t="shared" si="11"/>
        <v>1046</v>
      </c>
      <c r="S78" s="4700"/>
      <c r="T78" s="4700"/>
      <c r="U78" s="4700"/>
      <c r="W78" s="4706">
        <f>'F110'!$I$16</f>
        <v>280076</v>
      </c>
    </row>
    <row r="79" spans="1:24" ht="17.100000000000001" customHeight="1">
      <c r="A79" s="4702">
        <v>5</v>
      </c>
      <c r="B79" s="4686" t="s">
        <v>999</v>
      </c>
      <c r="C79" s="4686"/>
      <c r="D79" s="4708">
        <f>'F110'!$G$113</f>
        <v>0</v>
      </c>
      <c r="E79" s="4686"/>
      <c r="F79" s="4707">
        <f t="shared" si="6"/>
        <v>0</v>
      </c>
      <c r="G79" s="4686"/>
      <c r="H79" s="4708">
        <f t="shared" si="7"/>
        <v>0</v>
      </c>
      <c r="I79" s="4706"/>
      <c r="J79" s="4707">
        <f>IF(W79=0,0,ROUND(W79/W94,4))</f>
        <v>0</v>
      </c>
      <c r="K79" s="4686"/>
      <c r="L79" s="4708">
        <f t="shared" si="8"/>
        <v>0</v>
      </c>
      <c r="M79" s="4686"/>
      <c r="N79" s="4708">
        <f t="shared" si="9"/>
        <v>0</v>
      </c>
      <c r="O79" s="4686"/>
      <c r="P79" s="4708">
        <f t="shared" si="10"/>
        <v>0</v>
      </c>
      <c r="R79" s="4708">
        <f t="shared" si="11"/>
        <v>0</v>
      </c>
      <c r="S79" s="4700"/>
      <c r="T79" s="4700"/>
      <c r="U79" s="4700"/>
      <c r="W79" s="4706">
        <f>'F110'!$G$113</f>
        <v>0</v>
      </c>
    </row>
    <row r="80" spans="1:24" ht="17.100000000000001" customHeight="1">
      <c r="A80" s="4702">
        <v>6</v>
      </c>
      <c r="B80" s="4686" t="str">
        <f>B22</f>
        <v>Bond and Interest #1</v>
      </c>
      <c r="C80" s="4686"/>
      <c r="D80" s="4708">
        <f>'F110'!$K$16</f>
        <v>246829</v>
      </c>
      <c r="E80" s="4686"/>
      <c r="F80" s="4707">
        <f t="shared" si="6"/>
        <v>0.25459999999999999</v>
      </c>
      <c r="G80" s="4686"/>
      <c r="H80" s="4708">
        <f t="shared" si="7"/>
        <v>6463</v>
      </c>
      <c r="I80" s="4706"/>
      <c r="J80" s="4707">
        <f>IF(W80=0,0,ROUND(W80/W94,4))</f>
        <v>0.15240000000000001</v>
      </c>
      <c r="K80" s="4686"/>
      <c r="L80" s="4708">
        <f t="shared" si="8"/>
        <v>142</v>
      </c>
      <c r="M80" s="4686"/>
      <c r="N80" s="4708">
        <f t="shared" si="9"/>
        <v>0</v>
      </c>
      <c r="O80" s="4686"/>
      <c r="P80" s="4708">
        <f t="shared" si="10"/>
        <v>547</v>
      </c>
      <c r="R80" s="4708">
        <f t="shared" si="11"/>
        <v>922</v>
      </c>
      <c r="S80" s="4700"/>
      <c r="T80" s="4700"/>
      <c r="U80" s="4700"/>
      <c r="W80" s="4706">
        <f>'F110'!$K$16</f>
        <v>246829</v>
      </c>
    </row>
    <row r="81" spans="1:23" ht="17.100000000000001" customHeight="1">
      <c r="A81" s="4702">
        <v>7</v>
      </c>
      <c r="B81" s="4686" t="str">
        <f>B23</f>
        <v>Bond and Interest #2</v>
      </c>
      <c r="C81" s="4686"/>
      <c r="D81" s="4708">
        <f>'F110'!$K$64</f>
        <v>0</v>
      </c>
      <c r="E81" s="4686"/>
      <c r="F81" s="4707">
        <f t="shared" si="6"/>
        <v>0</v>
      </c>
      <c r="G81" s="4686"/>
      <c r="H81" s="4708">
        <f t="shared" si="7"/>
        <v>0</v>
      </c>
      <c r="I81" s="4706"/>
      <c r="J81" s="4707">
        <f>IF(W81=0,0,ROUND(W81/W94,4))</f>
        <v>0</v>
      </c>
      <c r="K81" s="4686"/>
      <c r="L81" s="4708">
        <f t="shared" si="8"/>
        <v>0</v>
      </c>
      <c r="M81" s="4686"/>
      <c r="N81" s="4708">
        <f t="shared" si="9"/>
        <v>0</v>
      </c>
      <c r="O81" s="4686"/>
      <c r="P81" s="4708">
        <f t="shared" si="10"/>
        <v>0</v>
      </c>
      <c r="R81" s="4708">
        <f t="shared" si="11"/>
        <v>0</v>
      </c>
      <c r="S81" s="4700"/>
      <c r="T81" s="4700"/>
      <c r="U81" s="4700"/>
      <c r="W81" s="4706">
        <f>'F110'!$K$64</f>
        <v>0</v>
      </c>
    </row>
    <row r="82" spans="1:23" ht="17.100000000000001" customHeight="1">
      <c r="A82" s="4702">
        <v>8</v>
      </c>
      <c r="B82" s="4686" t="s">
        <v>2216</v>
      </c>
      <c r="C82" s="4686"/>
      <c r="D82" s="4708">
        <f>'F110'!$I$113</f>
        <v>0</v>
      </c>
      <c r="E82" s="4686"/>
      <c r="F82" s="4707">
        <f t="shared" si="6"/>
        <v>0</v>
      </c>
      <c r="G82" s="4686"/>
      <c r="H82" s="4708">
        <f t="shared" si="7"/>
        <v>0</v>
      </c>
      <c r="I82" s="4706"/>
      <c r="J82" s="4707">
        <f>IF(W82=0,0,ROUND(W82/W94,4))</f>
        <v>0</v>
      </c>
      <c r="K82" s="4686"/>
      <c r="L82" s="4708">
        <f t="shared" si="8"/>
        <v>0</v>
      </c>
      <c r="M82" s="4686"/>
      <c r="N82" s="4708">
        <f t="shared" si="9"/>
        <v>0</v>
      </c>
      <c r="O82" s="4686"/>
      <c r="P82" s="4708">
        <f t="shared" si="10"/>
        <v>0</v>
      </c>
      <c r="R82" s="4708">
        <f t="shared" si="11"/>
        <v>0</v>
      </c>
      <c r="S82" s="4700"/>
      <c r="T82" s="4700"/>
      <c r="U82" s="4700"/>
      <c r="W82" s="4706">
        <f>'F110'!$I$113</f>
        <v>0</v>
      </c>
    </row>
    <row r="83" spans="1:23" ht="17.100000000000001" customHeight="1">
      <c r="A83" s="4702">
        <v>9</v>
      </c>
      <c r="B83" s="4686" t="str">
        <f>B25</f>
        <v>Recreation Commission</v>
      </c>
      <c r="C83" s="4686"/>
      <c r="D83" s="4708">
        <f>'F110'!$M$16</f>
        <v>103553</v>
      </c>
      <c r="E83" s="4686"/>
      <c r="F83" s="4707">
        <f t="shared" si="6"/>
        <v>0.10680000000000001</v>
      </c>
      <c r="G83" s="4686"/>
      <c r="H83" s="4708">
        <f t="shared" si="7"/>
        <v>2711</v>
      </c>
      <c r="I83" s="4706"/>
      <c r="J83" s="4707">
        <f>IF(W83=0,0,ROUND(W83/W94,4))</f>
        <v>6.3899999999999998E-2</v>
      </c>
      <c r="K83" s="4686"/>
      <c r="L83" s="4708">
        <f t="shared" si="8"/>
        <v>60</v>
      </c>
      <c r="M83" s="4686"/>
      <c r="N83" s="4708">
        <f t="shared" si="9"/>
        <v>0</v>
      </c>
      <c r="O83" s="4686"/>
      <c r="P83" s="4708">
        <f t="shared" si="10"/>
        <v>229</v>
      </c>
      <c r="R83" s="4708">
        <f t="shared" si="11"/>
        <v>387</v>
      </c>
      <c r="S83" s="4700"/>
      <c r="T83" s="4700"/>
      <c r="U83" s="4700"/>
      <c r="W83" s="4706">
        <f>'F110'!$M$16</f>
        <v>103553</v>
      </c>
    </row>
    <row r="84" spans="1:23" ht="17.100000000000001" customHeight="1">
      <c r="A84" s="4702">
        <v>10</v>
      </c>
      <c r="B84" s="4686" t="str">
        <f>B26</f>
        <v>Rec Comm Employee Bnfts</v>
      </c>
      <c r="C84" s="4686"/>
      <c r="D84" s="4708">
        <f>'F110'!$G$155</f>
        <v>0</v>
      </c>
      <c r="E84" s="4686"/>
      <c r="F84" s="4707">
        <f t="shared" si="6"/>
        <v>0</v>
      </c>
      <c r="G84" s="4686"/>
      <c r="H84" s="4708">
        <f t="shared" si="7"/>
        <v>0</v>
      </c>
      <c r="I84" s="4706"/>
      <c r="J84" s="4707">
        <f>IF(W84=0,0,ROUND(W84/W94,4))</f>
        <v>0</v>
      </c>
      <c r="K84" s="4686"/>
      <c r="L84" s="4708">
        <f t="shared" si="8"/>
        <v>0</v>
      </c>
      <c r="M84" s="4686"/>
      <c r="N84" s="4708">
        <f t="shared" si="9"/>
        <v>0</v>
      </c>
      <c r="O84" s="4686"/>
      <c r="P84" s="4708">
        <f t="shared" si="10"/>
        <v>0</v>
      </c>
      <c r="R84" s="4708">
        <f t="shared" si="11"/>
        <v>0</v>
      </c>
      <c r="S84" s="4700"/>
      <c r="T84" s="4700"/>
      <c r="U84" s="4700"/>
      <c r="W84" s="4706">
        <f>'F110'!$G$155</f>
        <v>0</v>
      </c>
    </row>
    <row r="85" spans="1:23" ht="17.100000000000001" customHeight="1">
      <c r="A85" s="4702">
        <v>11</v>
      </c>
      <c r="B85" s="4710" t="s">
        <v>998</v>
      </c>
      <c r="C85" s="4710"/>
      <c r="D85" s="4708">
        <f>'F110'!$E$113</f>
        <v>0</v>
      </c>
      <c r="E85" s="4686"/>
      <c r="F85" s="4707">
        <f t="shared" si="6"/>
        <v>0</v>
      </c>
      <c r="G85" s="4686"/>
      <c r="H85" s="4708">
        <f t="shared" si="7"/>
        <v>0</v>
      </c>
      <c r="I85" s="4706"/>
      <c r="J85" s="4707">
        <f>IF(W85=0,0,ROUND(W85/W94,4))</f>
        <v>0</v>
      </c>
      <c r="K85" s="4686"/>
      <c r="L85" s="4708">
        <f t="shared" si="8"/>
        <v>0</v>
      </c>
      <c r="M85" s="4686"/>
      <c r="N85" s="4708">
        <f t="shared" si="9"/>
        <v>0</v>
      </c>
      <c r="O85" s="4686"/>
      <c r="P85" s="4708">
        <f t="shared" si="10"/>
        <v>0</v>
      </c>
      <c r="R85" s="4708">
        <f t="shared" si="11"/>
        <v>0</v>
      </c>
      <c r="S85" s="4700"/>
      <c r="T85" s="4700"/>
      <c r="U85" s="4700"/>
      <c r="W85" s="4706">
        <f>'F110'!$E$113</f>
        <v>0</v>
      </c>
    </row>
    <row r="86" spans="1:23" ht="17.100000000000001" customHeight="1">
      <c r="A86" s="4702">
        <v>13</v>
      </c>
      <c r="B86" s="4686" t="s">
        <v>1005</v>
      </c>
      <c r="C86" s="4686"/>
      <c r="D86" s="4708">
        <f>'F110'!$G$64</f>
        <v>0</v>
      </c>
      <c r="E86" s="4686"/>
      <c r="F86" s="4707">
        <f t="shared" si="6"/>
        <v>0</v>
      </c>
      <c r="G86" s="4686"/>
      <c r="H86" s="4708">
        <f t="shared" si="7"/>
        <v>0</v>
      </c>
      <c r="I86" s="4706"/>
      <c r="J86" s="4707">
        <f>IF(W86=0,0,ROUND(W86/W94,4))</f>
        <v>0</v>
      </c>
      <c r="K86" s="4686"/>
      <c r="L86" s="4708">
        <f t="shared" si="8"/>
        <v>0</v>
      </c>
      <c r="M86" s="4686"/>
      <c r="N86" s="4708">
        <f t="shared" si="9"/>
        <v>0</v>
      </c>
      <c r="O86" s="4686"/>
      <c r="P86" s="4708">
        <f t="shared" si="10"/>
        <v>0</v>
      </c>
      <c r="R86" s="4708">
        <f t="shared" si="11"/>
        <v>0</v>
      </c>
      <c r="S86" s="4700"/>
      <c r="T86" s="4700"/>
      <c r="U86" s="4700"/>
      <c r="W86" s="4706">
        <f>'F110'!$G$64</f>
        <v>0</v>
      </c>
    </row>
    <row r="87" spans="1:23" ht="17.100000000000001" customHeight="1">
      <c r="A87" s="4702">
        <v>14</v>
      </c>
      <c r="B87" s="4686" t="s">
        <v>997</v>
      </c>
      <c r="C87" s="4686"/>
      <c r="D87" s="4708">
        <f>'F110'!$I$64</f>
        <v>0</v>
      </c>
      <c r="E87" s="4686"/>
      <c r="F87" s="4707">
        <f t="shared" si="6"/>
        <v>0</v>
      </c>
      <c r="G87" s="4686"/>
      <c r="H87" s="4708">
        <f t="shared" si="7"/>
        <v>0</v>
      </c>
      <c r="I87" s="4706"/>
      <c r="J87" s="4707">
        <f>IF(W87=0,0,ROUND(W87/W94,4))</f>
        <v>0</v>
      </c>
      <c r="K87" s="4686"/>
      <c r="L87" s="4708">
        <f t="shared" si="8"/>
        <v>0</v>
      </c>
      <c r="M87" s="4686"/>
      <c r="N87" s="4708">
        <f t="shared" si="9"/>
        <v>0</v>
      </c>
      <c r="O87" s="4686"/>
      <c r="P87" s="4708">
        <f t="shared" si="10"/>
        <v>0</v>
      </c>
      <c r="R87" s="4708">
        <f t="shared" si="11"/>
        <v>0</v>
      </c>
      <c r="S87" s="4700"/>
      <c r="T87" s="4700"/>
      <c r="U87" s="4700"/>
      <c r="W87" s="4706">
        <f>'F110'!$I$64</f>
        <v>0</v>
      </c>
    </row>
    <row r="88" spans="1:23" ht="17.100000000000001" customHeight="1">
      <c r="A88" s="4702">
        <v>15</v>
      </c>
      <c r="B88" s="4686" t="s">
        <v>1001</v>
      </c>
      <c r="C88" s="4686"/>
      <c r="D88" s="4708">
        <f>'F110'!$K$113</f>
        <v>0</v>
      </c>
      <c r="E88" s="4686"/>
      <c r="F88" s="4707">
        <f t="shared" si="6"/>
        <v>0</v>
      </c>
      <c r="G88" s="4686"/>
      <c r="H88" s="4708">
        <f t="shared" si="7"/>
        <v>0</v>
      </c>
      <c r="I88" s="4706"/>
      <c r="J88" s="4707">
        <f>IF(W88=0,0,ROUND(W88/W94,4))</f>
        <v>0</v>
      </c>
      <c r="K88" s="4686"/>
      <c r="L88" s="4708">
        <f t="shared" si="8"/>
        <v>0</v>
      </c>
      <c r="M88" s="4686"/>
      <c r="N88" s="4708">
        <f t="shared" si="9"/>
        <v>0</v>
      </c>
      <c r="O88" s="4686"/>
      <c r="P88" s="4708">
        <f t="shared" si="10"/>
        <v>0</v>
      </c>
      <c r="R88" s="4708">
        <f t="shared" si="11"/>
        <v>0</v>
      </c>
      <c r="S88" s="4700"/>
      <c r="T88" s="4700"/>
      <c r="U88" s="4700"/>
      <c r="W88" s="4706">
        <f>'F110'!$K$113</f>
        <v>0</v>
      </c>
    </row>
    <row r="89" spans="1:23" ht="17.100000000000001" customHeight="1">
      <c r="A89" s="4702">
        <v>16</v>
      </c>
      <c r="B89" s="4686" t="s">
        <v>1006</v>
      </c>
      <c r="C89" s="4686"/>
      <c r="D89" s="4708">
        <f>'F110'!$I$155</f>
        <v>0</v>
      </c>
      <c r="E89" s="4686"/>
      <c r="F89" s="4707">
        <f t="shared" si="6"/>
        <v>0</v>
      </c>
      <c r="G89" s="4686"/>
      <c r="H89" s="4708">
        <f t="shared" si="7"/>
        <v>0</v>
      </c>
      <c r="I89" s="4706"/>
      <c r="J89" s="4707">
        <f>IF(W89=0,0,ROUND(W89/W94,4))</f>
        <v>0</v>
      </c>
      <c r="K89" s="4686"/>
      <c r="L89" s="4708">
        <f t="shared" si="8"/>
        <v>0</v>
      </c>
      <c r="M89" s="4686"/>
      <c r="N89" s="4708">
        <f t="shared" si="9"/>
        <v>0</v>
      </c>
      <c r="O89" s="4686"/>
      <c r="P89" s="4708">
        <f t="shared" si="10"/>
        <v>0</v>
      </c>
      <c r="R89" s="4708">
        <f t="shared" si="11"/>
        <v>0</v>
      </c>
      <c r="S89" s="4700"/>
      <c r="T89" s="4700"/>
      <c r="U89" s="4700"/>
      <c r="W89" s="4706">
        <f>'F110'!$I$155</f>
        <v>0</v>
      </c>
    </row>
    <row r="90" spans="1:23" ht="17.100000000000001" customHeight="1">
      <c r="A90" s="4702">
        <v>17</v>
      </c>
      <c r="B90" s="4686" t="s">
        <v>1004</v>
      </c>
      <c r="C90" s="4686"/>
      <c r="D90" s="4708">
        <f>'F110'!$M$113</f>
        <v>0</v>
      </c>
      <c r="E90" s="4686"/>
      <c r="F90" s="4707">
        <f t="shared" si="6"/>
        <v>0</v>
      </c>
      <c r="G90" s="4686"/>
      <c r="H90" s="4708">
        <f t="shared" si="7"/>
        <v>0</v>
      </c>
      <c r="I90" s="4706"/>
      <c r="J90" s="4707">
        <f>IF(W90=0,0,ROUND(W90/W94,4))</f>
        <v>0</v>
      </c>
      <c r="K90" s="4686"/>
      <c r="L90" s="4708">
        <f t="shared" si="8"/>
        <v>0</v>
      </c>
      <c r="M90" s="4686"/>
      <c r="N90" s="4708">
        <f t="shared" si="9"/>
        <v>0</v>
      </c>
      <c r="O90" s="4686"/>
      <c r="P90" s="4708">
        <f t="shared" si="10"/>
        <v>0</v>
      </c>
      <c r="R90" s="4708">
        <f t="shared" si="11"/>
        <v>0</v>
      </c>
      <c r="S90" s="4700"/>
      <c r="T90" s="4700"/>
      <c r="U90" s="4700"/>
      <c r="W90" s="4706">
        <f>'F110'!$M$113</f>
        <v>0</v>
      </c>
    </row>
    <row r="91" spans="1:23" ht="17.100000000000001" customHeight="1">
      <c r="A91" s="4702">
        <v>18</v>
      </c>
      <c r="B91" s="4686" t="s">
        <v>2234</v>
      </c>
      <c r="C91" s="4686"/>
      <c r="D91" s="4708">
        <f>'F110'!$K$155</f>
        <v>0</v>
      </c>
      <c r="E91" s="4686"/>
      <c r="F91" s="4707">
        <f t="shared" si="6"/>
        <v>0</v>
      </c>
      <c r="G91" s="4686"/>
      <c r="H91" s="4708">
        <f t="shared" si="7"/>
        <v>0</v>
      </c>
      <c r="I91" s="4706"/>
      <c r="J91" s="4707">
        <f>IF(W91=0,0,ROUND(W91/W94,4))</f>
        <v>0</v>
      </c>
      <c r="K91" s="4686"/>
      <c r="L91" s="4708">
        <f t="shared" si="8"/>
        <v>0</v>
      </c>
      <c r="M91" s="4686"/>
      <c r="N91" s="4708">
        <f t="shared" si="9"/>
        <v>0</v>
      </c>
      <c r="O91" s="4686"/>
      <c r="P91" s="4708">
        <f t="shared" si="10"/>
        <v>0</v>
      </c>
      <c r="R91" s="4708">
        <f t="shared" si="11"/>
        <v>0</v>
      </c>
      <c r="S91" s="4700"/>
      <c r="T91" s="4700"/>
      <c r="U91" s="4700"/>
      <c r="W91" s="4706">
        <f>'F110'!$K$155</f>
        <v>0</v>
      </c>
    </row>
    <row r="92" spans="1:23" ht="17.100000000000001" customHeight="1">
      <c r="A92" s="4702">
        <v>19</v>
      </c>
      <c r="B92" s="4686" t="s">
        <v>365</v>
      </c>
      <c r="C92" s="4686"/>
      <c r="D92" s="4708">
        <f>'F110'!E155</f>
        <v>0</v>
      </c>
      <c r="E92" s="4686"/>
      <c r="F92" s="4707">
        <f t="shared" si="6"/>
        <v>0</v>
      </c>
      <c r="G92" s="4686"/>
      <c r="H92" s="4708">
        <f t="shared" si="7"/>
        <v>0</v>
      </c>
      <c r="I92" s="4706"/>
      <c r="J92" s="4707">
        <f>IF(W92=0,0,ROUND(W92/W94,4))</f>
        <v>0</v>
      </c>
      <c r="K92" s="4686"/>
      <c r="L92" s="4708">
        <f t="shared" si="8"/>
        <v>0</v>
      </c>
      <c r="M92" s="4686"/>
      <c r="N92" s="4708">
        <f t="shared" si="9"/>
        <v>0</v>
      </c>
      <c r="O92" s="4686"/>
      <c r="P92" s="4708">
        <f t="shared" si="10"/>
        <v>0</v>
      </c>
      <c r="R92" s="4708">
        <f t="shared" si="11"/>
        <v>0</v>
      </c>
      <c r="S92" s="4700"/>
      <c r="T92" s="4700"/>
      <c r="U92" s="4700"/>
      <c r="W92" s="4706">
        <f>'F110'!E155</f>
        <v>0</v>
      </c>
    </row>
    <row r="93" spans="1:23" ht="17.100000000000001" customHeight="1">
      <c r="A93" s="4702">
        <v>20</v>
      </c>
      <c r="B93" s="4686" t="s">
        <v>1232</v>
      </c>
      <c r="C93" s="4686"/>
      <c r="D93" s="4708">
        <f>'F110'!M155</f>
        <v>0</v>
      </c>
      <c r="E93" s="4686"/>
      <c r="F93" s="4707">
        <f t="shared" si="6"/>
        <v>0</v>
      </c>
      <c r="G93" s="4686"/>
      <c r="H93" s="4708">
        <f t="shared" si="7"/>
        <v>0</v>
      </c>
      <c r="I93" s="4706"/>
      <c r="J93" s="4707">
        <f>IF(W93=0,0,ROUND(W93/W94,4))</f>
        <v>0</v>
      </c>
      <c r="K93" s="4686"/>
      <c r="L93" s="4708">
        <f t="shared" si="8"/>
        <v>0</v>
      </c>
      <c r="M93" s="4686"/>
      <c r="N93" s="4708">
        <f t="shared" si="9"/>
        <v>0</v>
      </c>
      <c r="O93" s="4686"/>
      <c r="P93" s="4708">
        <f t="shared" si="10"/>
        <v>0</v>
      </c>
      <c r="R93" s="4708">
        <f t="shared" si="11"/>
        <v>0</v>
      </c>
      <c r="S93" s="4700"/>
      <c r="T93" s="4700"/>
      <c r="U93" s="4700"/>
      <c r="W93" s="4708">
        <f>'F110'!M155</f>
        <v>0</v>
      </c>
    </row>
    <row r="94" spans="1:23" ht="17.100000000000001" customHeight="1" thickBot="1">
      <c r="A94" s="4702">
        <v>21</v>
      </c>
      <c r="B94" s="4686" t="s">
        <v>1121</v>
      </c>
      <c r="C94" s="4686"/>
      <c r="D94" s="4712">
        <f>SUM(D75:D93)</f>
        <v>969630</v>
      </c>
      <c r="E94" s="4686"/>
      <c r="F94" s="4713">
        <f>ROUND(SUM(F75:F93),2)</f>
        <v>1</v>
      </c>
      <c r="G94" s="4686" t="s">
        <v>2218</v>
      </c>
      <c r="H94" s="4712">
        <f>'F110'!$B$90*0.33</f>
        <v>25384</v>
      </c>
      <c r="I94" s="4686" t="s">
        <v>2219</v>
      </c>
      <c r="J94" s="4713">
        <f>ROUND(SUM(J75:J93),2)</f>
        <v>1</v>
      </c>
      <c r="K94" s="4686" t="s">
        <v>2218</v>
      </c>
      <c r="L94" s="4712">
        <f>'F110'!$G$90*0.33</f>
        <v>559</v>
      </c>
      <c r="M94" s="4686" t="s">
        <v>2219</v>
      </c>
      <c r="N94" s="4712">
        <f>'F110'!$K$90*0.33</f>
        <v>0</v>
      </c>
      <c r="O94" s="4686" t="s">
        <v>2219</v>
      </c>
      <c r="P94" s="4712">
        <f>'F110'!$B$93*0.33</f>
        <v>2148</v>
      </c>
      <c r="Q94" s="4687" t="s">
        <v>2219</v>
      </c>
      <c r="R94" s="4982">
        <f>'F110'!$G$93*0.33</f>
        <v>3622</v>
      </c>
      <c r="S94" s="4710" t="s">
        <v>2219</v>
      </c>
      <c r="T94" s="4710"/>
      <c r="U94" s="4710"/>
      <c r="W94" s="4715">
        <f>SUM(W75:W93)</f>
        <v>1619372</v>
      </c>
    </row>
    <row r="95" spans="1:23" ht="15" thickTop="1">
      <c r="A95" s="4686"/>
      <c r="B95" s="4686"/>
      <c r="C95" s="4686"/>
      <c r="D95" s="4686"/>
      <c r="E95" s="4686"/>
      <c r="F95" s="4686"/>
      <c r="G95" s="4686"/>
      <c r="H95" s="4686"/>
      <c r="I95" s="4686"/>
      <c r="J95" s="4686"/>
      <c r="K95" s="4686"/>
      <c r="L95" s="4686"/>
      <c r="M95" s="4686"/>
      <c r="N95" s="4686"/>
      <c r="O95" s="4686"/>
      <c r="R95" s="4686"/>
      <c r="S95" s="4688"/>
      <c r="T95" s="4688"/>
      <c r="U95" s="4688"/>
    </row>
    <row r="96" spans="1:23">
      <c r="A96" s="4686" t="s">
        <v>2220</v>
      </c>
      <c r="B96" s="4686" t="str">
        <f>"Do not include taxes levied for any funds in which a budget will not be made in "&amp;OPEN!$P$4&amp;"."</f>
        <v>Do not include taxes levied for any funds in which a budget will not be made in 2016-2017.</v>
      </c>
      <c r="C96" s="4686"/>
      <c r="D96" s="4686"/>
      <c r="E96" s="4686"/>
      <c r="F96" s="4686"/>
      <c r="G96" s="4686"/>
      <c r="H96" s="4686"/>
      <c r="I96" s="4686"/>
      <c r="J96" s="4686"/>
      <c r="K96" s="4686"/>
      <c r="L96" s="4686"/>
      <c r="M96" s="4686"/>
      <c r="N96" s="4686"/>
      <c r="O96" s="4686"/>
    </row>
    <row r="97" spans="1:15">
      <c r="A97" s="4686" t="s">
        <v>2221</v>
      </c>
      <c r="B97" s="4686" t="s">
        <v>2222</v>
      </c>
      <c r="C97" s="4686"/>
      <c r="D97" s="4686"/>
      <c r="E97" s="4686"/>
      <c r="F97" s="4686"/>
      <c r="G97" s="4686"/>
      <c r="H97" s="4686"/>
      <c r="I97" s="4686"/>
      <c r="J97" s="4686"/>
      <c r="K97" s="4686"/>
      <c r="L97" s="4686"/>
      <c r="M97" s="4686"/>
      <c r="N97" s="4686"/>
      <c r="O97" s="4686"/>
    </row>
    <row r="98" spans="1:15">
      <c r="A98" s="4686" t="s">
        <v>2218</v>
      </c>
      <c r="B98" s="4686" t="s">
        <v>2223</v>
      </c>
      <c r="C98" s="4686"/>
      <c r="D98" s="4686"/>
      <c r="E98" s="4686"/>
      <c r="F98" s="4686"/>
      <c r="G98" s="4686"/>
      <c r="H98" s="4686"/>
      <c r="I98" s="4686"/>
      <c r="J98" s="4686"/>
      <c r="K98" s="4686"/>
      <c r="L98" s="4686"/>
      <c r="M98" s="4686"/>
      <c r="N98" s="4686"/>
      <c r="O98" s="4686"/>
    </row>
    <row r="99" spans="1:15">
      <c r="A99" s="4686" t="s">
        <v>2224</v>
      </c>
      <c r="B99" s="4686" t="s">
        <v>2225</v>
      </c>
      <c r="C99" s="4686"/>
      <c r="D99" s="4686"/>
      <c r="E99" s="4686"/>
      <c r="F99" s="4686"/>
      <c r="G99" s="4686"/>
      <c r="H99" s="4686"/>
      <c r="I99" s="4686"/>
      <c r="J99" s="4686"/>
      <c r="K99" s="4686"/>
      <c r="L99" s="4686"/>
      <c r="M99" s="4686"/>
      <c r="N99" s="4686"/>
      <c r="O99" s="4686"/>
    </row>
    <row r="100" spans="1:15">
      <c r="A100" s="4686" t="s">
        <v>2219</v>
      </c>
      <c r="B100" s="4686" t="s">
        <v>2235</v>
      </c>
      <c r="C100" s="4686"/>
      <c r="D100" s="4686"/>
      <c r="E100" s="4686"/>
      <c r="F100" s="4686"/>
      <c r="G100" s="4686"/>
      <c r="H100" s="4686"/>
      <c r="I100" s="4686"/>
      <c r="J100" s="4686"/>
      <c r="K100" s="4686"/>
      <c r="L100" s="4686"/>
      <c r="M100" s="4686"/>
      <c r="N100" s="4686"/>
      <c r="O100" s="4686"/>
    </row>
    <row r="101" spans="1:15">
      <c r="A101" s="4686" t="s">
        <v>2227</v>
      </c>
      <c r="B101" s="4686" t="str">
        <f>"Includes the total "&amp;OPEN!$P$5&amp;" General Fund taxes levied."</f>
        <v>Includes the total 2015 General Fund taxes levied.</v>
      </c>
      <c r="C101" s="4686"/>
      <c r="D101" s="4686"/>
      <c r="E101" s="4686"/>
      <c r="F101" s="4686"/>
      <c r="G101" s="4686"/>
      <c r="H101" s="4686"/>
      <c r="I101" s="4686"/>
      <c r="J101" s="4686"/>
      <c r="K101" s="4686"/>
      <c r="L101" s="4686"/>
      <c r="M101" s="4686"/>
      <c r="N101" s="4686"/>
      <c r="O101" s="4686"/>
    </row>
    <row r="102" spans="1:15">
      <c r="A102" s="4686" t="s">
        <v>2228</v>
      </c>
      <c r="B102" s="4686" t="s">
        <v>2225</v>
      </c>
      <c r="C102" s="4686"/>
      <c r="D102" s="4686"/>
      <c r="E102" s="4686"/>
      <c r="F102" s="4686"/>
      <c r="G102" s="4686"/>
      <c r="H102" s="4686"/>
      <c r="I102" s="4686"/>
      <c r="J102" s="4686"/>
      <c r="K102" s="4686"/>
      <c r="L102" s="4686"/>
      <c r="M102" s="4686"/>
      <c r="N102" s="4686"/>
      <c r="O102" s="4686"/>
    </row>
    <row r="103" spans="1:15">
      <c r="A103" s="4686"/>
      <c r="B103" s="4686"/>
      <c r="C103" s="4686"/>
      <c r="D103" s="4686"/>
      <c r="E103" s="4686"/>
      <c r="F103" s="4686"/>
      <c r="G103" s="4686"/>
      <c r="H103" s="4686"/>
      <c r="I103" s="4686"/>
      <c r="J103" s="4686"/>
      <c r="K103" s="4686"/>
      <c r="L103" s="4686"/>
      <c r="M103" s="4686"/>
      <c r="N103" s="4686"/>
      <c r="O103" s="4686"/>
    </row>
    <row r="104" spans="1:15">
      <c r="A104" s="4686"/>
      <c r="B104" s="4686"/>
      <c r="C104" s="4686"/>
      <c r="D104" s="4686"/>
      <c r="E104" s="4686"/>
      <c r="F104" s="4686"/>
      <c r="G104" s="4686"/>
      <c r="H104" s="4686"/>
      <c r="I104" s="4686"/>
      <c r="J104" s="4686"/>
      <c r="K104" s="4686"/>
      <c r="L104" s="4686"/>
      <c r="M104" s="4686"/>
      <c r="N104" s="4686"/>
      <c r="O104" s="4686"/>
    </row>
    <row r="105" spans="1:15">
      <c r="A105" s="4686"/>
      <c r="B105" s="4686"/>
      <c r="C105" s="4686"/>
      <c r="D105" s="4686"/>
      <c r="E105" s="4686"/>
      <c r="F105" s="4686"/>
      <c r="G105" s="4686"/>
      <c r="H105" s="4686"/>
      <c r="I105" s="4686"/>
      <c r="J105" s="4686"/>
      <c r="K105" s="4686"/>
      <c r="L105" s="4686"/>
      <c r="M105" s="4686"/>
      <c r="N105" s="4686"/>
      <c r="O105" s="4686"/>
    </row>
    <row r="106" spans="1:15">
      <c r="A106" s="4686"/>
      <c r="B106" s="4686"/>
      <c r="C106" s="4686"/>
      <c r="D106" s="4686"/>
      <c r="E106" s="4686"/>
      <c r="F106" s="4686"/>
      <c r="G106" s="4686"/>
      <c r="H106" s="4686"/>
      <c r="I106" s="4686"/>
      <c r="J106" s="4686"/>
      <c r="K106" s="4686"/>
      <c r="L106" s="4686"/>
      <c r="M106" s="4686"/>
      <c r="N106" s="4686"/>
      <c r="O106" s="4686"/>
    </row>
    <row r="107" spans="1:15">
      <c r="A107" s="4686"/>
      <c r="B107" s="4686"/>
      <c r="C107" s="4686"/>
      <c r="D107" s="4686"/>
      <c r="E107" s="4686"/>
      <c r="F107" s="4686"/>
      <c r="G107" s="4686"/>
      <c r="H107" s="4686"/>
      <c r="I107" s="4686"/>
      <c r="J107" s="4686"/>
      <c r="K107" s="4686"/>
      <c r="L107" s="4686"/>
      <c r="M107" s="4686"/>
      <c r="N107" s="4686"/>
      <c r="O107" s="4686"/>
    </row>
    <row r="108" spans="1:15">
      <c r="A108" s="4686"/>
      <c r="B108" s="4686"/>
      <c r="C108" s="4686"/>
      <c r="D108" s="4686"/>
      <c r="E108" s="4686"/>
      <c r="F108" s="4686"/>
      <c r="G108" s="4686"/>
      <c r="H108" s="4686"/>
      <c r="I108" s="4686"/>
      <c r="J108" s="4686"/>
      <c r="K108" s="4686"/>
      <c r="L108" s="4686"/>
      <c r="M108" s="4686"/>
      <c r="N108" s="4686"/>
      <c r="O108" s="4686"/>
    </row>
    <row r="109" spans="1:15">
      <c r="A109" s="4686"/>
      <c r="B109" s="4686"/>
      <c r="C109" s="4686"/>
      <c r="D109" s="4686"/>
      <c r="E109" s="4686"/>
      <c r="F109" s="4686"/>
      <c r="G109" s="4686"/>
      <c r="H109" s="4686"/>
      <c r="I109" s="4686"/>
      <c r="J109" s="4686"/>
      <c r="K109" s="4686"/>
      <c r="L109" s="4686"/>
      <c r="M109" s="4686"/>
      <c r="N109" s="4686"/>
      <c r="O109" s="4686"/>
    </row>
    <row r="110" spans="1:15">
      <c r="A110" s="4686"/>
      <c r="B110" s="4686"/>
      <c r="C110" s="4686"/>
      <c r="D110" s="4686"/>
      <c r="E110" s="4686"/>
      <c r="F110" s="4686"/>
      <c r="G110" s="4686"/>
      <c r="H110" s="4686"/>
      <c r="I110" s="4686"/>
      <c r="J110" s="4686"/>
      <c r="K110" s="4686"/>
      <c r="L110" s="4686"/>
      <c r="M110" s="4686"/>
      <c r="N110" s="4686"/>
      <c r="O110" s="4686"/>
    </row>
    <row r="111" spans="1:15">
      <c r="A111" s="4686"/>
      <c r="B111" s="4686"/>
      <c r="C111" s="4686"/>
      <c r="D111" s="4686"/>
      <c r="E111" s="4686"/>
      <c r="F111" s="4686"/>
      <c r="G111" s="4686"/>
      <c r="H111" s="4686"/>
      <c r="I111" s="4686"/>
      <c r="J111" s="4686"/>
      <c r="K111" s="4686"/>
      <c r="L111" s="4686"/>
      <c r="M111" s="4686"/>
      <c r="N111" s="4686"/>
      <c r="O111" s="4686"/>
    </row>
    <row r="112" spans="1:15">
      <c r="A112" s="4686"/>
      <c r="B112" s="4686"/>
      <c r="C112" s="4686"/>
      <c r="D112" s="4686"/>
      <c r="E112" s="4686"/>
      <c r="F112" s="4686"/>
      <c r="G112" s="4686"/>
      <c r="H112" s="4686"/>
      <c r="I112" s="4686"/>
      <c r="J112" s="4686"/>
      <c r="K112" s="4686"/>
      <c r="L112" s="4686"/>
      <c r="M112" s="4686"/>
      <c r="N112" s="4686"/>
      <c r="O112" s="4686"/>
    </row>
    <row r="113" spans="1:15">
      <c r="A113" s="4686"/>
      <c r="B113" s="4686"/>
      <c r="C113" s="4686"/>
      <c r="D113" s="4686"/>
      <c r="E113" s="4686"/>
      <c r="F113" s="4686"/>
      <c r="G113" s="4686"/>
      <c r="H113" s="4686"/>
      <c r="I113" s="4686"/>
      <c r="J113" s="4686"/>
      <c r="K113" s="4686"/>
      <c r="L113" s="4686"/>
      <c r="M113" s="4686"/>
      <c r="N113" s="4686"/>
      <c r="O113" s="4686"/>
    </row>
    <row r="114" spans="1:15">
      <c r="A114" s="4686"/>
      <c r="B114" s="4686"/>
      <c r="C114" s="4686"/>
      <c r="D114" s="4686"/>
      <c r="E114" s="4686"/>
      <c r="F114" s="4686"/>
      <c r="G114" s="4686"/>
      <c r="H114" s="4686"/>
      <c r="I114" s="4686"/>
      <c r="J114" s="4686"/>
      <c r="K114" s="4686"/>
      <c r="L114" s="4686"/>
      <c r="M114" s="4686"/>
      <c r="N114" s="4686"/>
      <c r="O114" s="4686"/>
    </row>
    <row r="115" spans="1:15">
      <c r="A115" s="4686"/>
      <c r="B115" s="4686"/>
      <c r="C115" s="4686"/>
      <c r="D115" s="4686"/>
      <c r="E115" s="4686"/>
      <c r="F115" s="4686"/>
      <c r="G115" s="4686"/>
      <c r="H115" s="4686"/>
      <c r="I115" s="4686"/>
      <c r="J115" s="4686"/>
      <c r="K115" s="4686"/>
      <c r="L115" s="4686"/>
      <c r="M115" s="4686"/>
      <c r="N115" s="4686"/>
      <c r="O115" s="4686"/>
    </row>
    <row r="116" spans="1:15">
      <c r="A116" s="4686"/>
      <c r="B116" s="4686"/>
      <c r="C116" s="4686"/>
      <c r="D116" s="4686"/>
      <c r="E116" s="4686"/>
      <c r="F116" s="4686"/>
      <c r="G116" s="4686"/>
      <c r="H116" s="4686"/>
      <c r="I116" s="4686"/>
      <c r="J116" s="4686"/>
      <c r="K116" s="4686"/>
      <c r="L116" s="4686"/>
      <c r="M116" s="4686"/>
      <c r="N116" s="4686"/>
      <c r="O116" s="4686"/>
    </row>
    <row r="117" spans="1:15">
      <c r="A117" s="4686"/>
      <c r="B117" s="4686"/>
      <c r="C117" s="4686"/>
      <c r="D117" s="4686"/>
      <c r="E117" s="4686"/>
      <c r="F117" s="4686"/>
      <c r="G117" s="4686"/>
      <c r="H117" s="4686"/>
      <c r="I117" s="4686"/>
      <c r="J117" s="4686"/>
      <c r="K117" s="4686"/>
      <c r="L117" s="4686"/>
      <c r="M117" s="4686"/>
      <c r="N117" s="4686"/>
      <c r="O117" s="4686"/>
    </row>
    <row r="118" spans="1:15">
      <c r="A118" s="4686"/>
      <c r="B118" s="4686"/>
      <c r="C118" s="4686"/>
      <c r="D118" s="4686"/>
      <c r="E118" s="4686"/>
      <c r="F118" s="4686"/>
      <c r="G118" s="4686"/>
      <c r="H118" s="4686"/>
      <c r="I118" s="4686"/>
      <c r="J118" s="4686"/>
      <c r="K118" s="4686"/>
      <c r="L118" s="4686"/>
      <c r="M118" s="4686"/>
      <c r="N118" s="4686"/>
      <c r="O118" s="4686"/>
    </row>
    <row r="119" spans="1:15">
      <c r="A119" s="4686"/>
      <c r="B119" s="4686"/>
      <c r="C119" s="4686"/>
      <c r="D119" s="4686"/>
      <c r="E119" s="4686"/>
      <c r="F119" s="4686"/>
      <c r="G119" s="4686"/>
      <c r="H119" s="4686"/>
      <c r="I119" s="4686"/>
      <c r="J119" s="4686"/>
      <c r="K119" s="4686"/>
      <c r="L119" s="4686"/>
      <c r="M119" s="4686"/>
      <c r="N119" s="4686"/>
      <c r="O119" s="4686"/>
    </row>
    <row r="120" spans="1:15">
      <c r="A120" s="4686"/>
      <c r="B120" s="4686"/>
      <c r="C120" s="4686"/>
      <c r="D120" s="4686"/>
      <c r="E120" s="4686"/>
      <c r="F120" s="4686"/>
      <c r="G120" s="4686"/>
      <c r="H120" s="4686"/>
      <c r="I120" s="4686"/>
      <c r="J120" s="4686"/>
      <c r="K120" s="4686"/>
      <c r="L120" s="4686"/>
      <c r="M120" s="4686"/>
      <c r="N120" s="4686"/>
      <c r="O120" s="4686"/>
    </row>
    <row r="121" spans="1:15">
      <c r="A121" s="4686"/>
      <c r="B121" s="4686"/>
      <c r="C121" s="4686"/>
      <c r="D121" s="4686"/>
      <c r="E121" s="4686"/>
      <c r="F121" s="4686"/>
      <c r="G121" s="4686"/>
      <c r="H121" s="4686"/>
      <c r="I121" s="4686"/>
      <c r="J121" s="4686"/>
      <c r="K121" s="4686"/>
      <c r="L121" s="4686"/>
      <c r="M121" s="4686"/>
      <c r="N121" s="4686"/>
      <c r="O121" s="4686"/>
    </row>
    <row r="122" spans="1:15">
      <c r="A122" s="4686"/>
      <c r="B122" s="4686"/>
      <c r="C122" s="4686"/>
      <c r="D122" s="4686"/>
      <c r="E122" s="4686"/>
      <c r="F122" s="4686"/>
      <c r="G122" s="4686"/>
      <c r="H122" s="4686"/>
      <c r="I122" s="4686"/>
      <c r="J122" s="4686"/>
      <c r="K122" s="4686"/>
      <c r="L122" s="4686"/>
      <c r="M122" s="4686"/>
      <c r="N122" s="4686"/>
      <c r="O122" s="4686"/>
    </row>
    <row r="123" spans="1:15">
      <c r="A123" s="4686"/>
      <c r="B123" s="4686"/>
      <c r="C123" s="4686"/>
      <c r="D123" s="4686"/>
      <c r="E123" s="4686"/>
      <c r="F123" s="4686"/>
      <c r="G123" s="4686"/>
      <c r="H123" s="4686"/>
      <c r="I123" s="4686"/>
      <c r="J123" s="4686"/>
      <c r="K123" s="4686"/>
      <c r="L123" s="4686"/>
      <c r="M123" s="4686"/>
      <c r="N123" s="4686"/>
      <c r="O123" s="4686"/>
    </row>
    <row r="124" spans="1:15">
      <c r="A124" s="4686"/>
      <c r="B124" s="4686"/>
      <c r="C124" s="4686"/>
      <c r="D124" s="4686"/>
      <c r="E124" s="4686"/>
      <c r="F124" s="4686"/>
      <c r="G124" s="4686"/>
      <c r="H124" s="4686"/>
      <c r="I124" s="4686"/>
      <c r="J124" s="4686"/>
      <c r="K124" s="4686"/>
      <c r="L124" s="4686"/>
      <c r="M124" s="4686"/>
      <c r="N124" s="4686"/>
      <c r="O124" s="4686"/>
    </row>
    <row r="125" spans="1:15">
      <c r="A125" s="4686"/>
      <c r="B125" s="4686"/>
      <c r="C125" s="4686"/>
      <c r="D125" s="4686"/>
      <c r="E125" s="4686"/>
      <c r="F125" s="4686"/>
      <c r="G125" s="4686"/>
      <c r="H125" s="4686"/>
      <c r="I125" s="4686"/>
      <c r="J125" s="4686"/>
      <c r="K125" s="4686"/>
      <c r="L125" s="4686"/>
      <c r="M125" s="4686"/>
      <c r="N125" s="4686"/>
      <c r="O125" s="4686"/>
    </row>
    <row r="126" spans="1:15">
      <c r="A126" s="4686"/>
      <c r="B126" s="4686"/>
      <c r="C126" s="4686"/>
      <c r="D126" s="4686"/>
      <c r="E126" s="4686"/>
      <c r="F126" s="4686"/>
      <c r="G126" s="4686"/>
      <c r="H126" s="4686"/>
      <c r="I126" s="4686"/>
      <c r="J126" s="4686"/>
      <c r="K126" s="4686"/>
      <c r="L126" s="4686"/>
      <c r="M126" s="4686"/>
      <c r="N126" s="4686"/>
      <c r="O126" s="4686"/>
    </row>
    <row r="127" spans="1:15">
      <c r="A127" s="4686"/>
      <c r="B127" s="4686"/>
      <c r="C127" s="4686"/>
      <c r="D127" s="4686"/>
      <c r="E127" s="4686"/>
      <c r="F127" s="4686"/>
      <c r="G127" s="4686"/>
      <c r="H127" s="4686"/>
      <c r="I127" s="4686"/>
      <c r="J127" s="4686"/>
      <c r="K127" s="4686"/>
      <c r="L127" s="4686"/>
      <c r="M127" s="4686"/>
      <c r="N127" s="4686"/>
      <c r="O127" s="4686"/>
    </row>
    <row r="128" spans="1:15">
      <c r="A128" s="4686"/>
      <c r="B128" s="4686"/>
      <c r="C128" s="4686"/>
      <c r="D128" s="4686"/>
      <c r="E128" s="4686"/>
      <c r="F128" s="4686"/>
      <c r="G128" s="4686"/>
      <c r="H128" s="4686"/>
      <c r="I128" s="4686"/>
      <c r="J128" s="4686"/>
      <c r="K128" s="4686"/>
      <c r="L128" s="4686"/>
      <c r="M128" s="4686"/>
      <c r="N128" s="4686"/>
      <c r="O128" s="4686"/>
    </row>
    <row r="129" spans="1:15">
      <c r="A129" s="4686"/>
      <c r="B129" s="4686"/>
      <c r="C129" s="4686"/>
      <c r="D129" s="4686"/>
      <c r="E129" s="4686"/>
      <c r="F129" s="4686"/>
      <c r="G129" s="4686"/>
      <c r="H129" s="4686"/>
      <c r="I129" s="4686"/>
      <c r="J129" s="4686"/>
      <c r="K129" s="4686"/>
      <c r="L129" s="4686"/>
      <c r="M129" s="4686"/>
      <c r="N129" s="4686"/>
      <c r="O129" s="4686"/>
    </row>
    <row r="130" spans="1:15">
      <c r="A130" s="4686"/>
      <c r="B130" s="4686"/>
      <c r="C130" s="4686"/>
      <c r="D130" s="4686"/>
      <c r="E130" s="4686"/>
      <c r="F130" s="4686"/>
      <c r="G130" s="4686"/>
      <c r="H130" s="4686"/>
      <c r="I130" s="4686"/>
      <c r="J130" s="4686"/>
      <c r="K130" s="4686"/>
      <c r="L130" s="4686"/>
      <c r="M130" s="4686"/>
      <c r="N130" s="4686"/>
      <c r="O130" s="4686"/>
    </row>
    <row r="131" spans="1:15">
      <c r="A131" s="4686"/>
      <c r="B131" s="4686"/>
      <c r="C131" s="4686"/>
      <c r="D131" s="4686"/>
      <c r="E131" s="4686"/>
      <c r="F131" s="4686"/>
      <c r="G131" s="4686"/>
      <c r="H131" s="4686"/>
      <c r="I131" s="4686"/>
      <c r="J131" s="4686"/>
      <c r="K131" s="4686"/>
      <c r="L131" s="4686"/>
      <c r="M131" s="4686"/>
      <c r="N131" s="4686"/>
      <c r="O131" s="4686"/>
    </row>
    <row r="132" spans="1:15">
      <c r="A132" s="4686"/>
      <c r="B132" s="4686"/>
      <c r="C132" s="4686"/>
      <c r="D132" s="4686"/>
      <c r="E132" s="4686"/>
      <c r="F132" s="4686"/>
      <c r="G132" s="4686"/>
      <c r="H132" s="4686"/>
      <c r="I132" s="4686"/>
      <c r="J132" s="4686"/>
      <c r="K132" s="4686"/>
      <c r="L132" s="4686"/>
      <c r="M132" s="4686"/>
      <c r="N132" s="4686"/>
      <c r="O132" s="4686"/>
    </row>
    <row r="133" spans="1:15">
      <c r="A133" s="4686"/>
      <c r="B133" s="4686"/>
      <c r="C133" s="4686"/>
      <c r="D133" s="4686"/>
      <c r="E133" s="4686"/>
      <c r="F133" s="4686"/>
      <c r="G133" s="4686"/>
      <c r="H133" s="4686"/>
      <c r="I133" s="4686"/>
      <c r="J133" s="4686"/>
      <c r="K133" s="4686"/>
      <c r="L133" s="4686"/>
      <c r="M133" s="4686"/>
      <c r="N133" s="4686"/>
      <c r="O133" s="4686"/>
    </row>
    <row r="134" spans="1:15">
      <c r="A134" s="4686"/>
      <c r="B134" s="4686"/>
      <c r="C134" s="4686"/>
      <c r="D134" s="4686"/>
      <c r="E134" s="4686"/>
      <c r="F134" s="4686"/>
      <c r="G134" s="4686"/>
      <c r="H134" s="4686"/>
      <c r="I134" s="4686"/>
      <c r="J134" s="4686"/>
      <c r="K134" s="4686"/>
      <c r="L134" s="4686"/>
      <c r="M134" s="4686"/>
      <c r="N134" s="4686"/>
      <c r="O134" s="4686"/>
    </row>
    <row r="135" spans="1:15">
      <c r="A135" s="4686"/>
      <c r="B135" s="4686"/>
      <c r="C135" s="4686"/>
      <c r="D135" s="4686"/>
      <c r="E135" s="4686"/>
      <c r="F135" s="4686"/>
      <c r="G135" s="4686"/>
      <c r="H135" s="4686"/>
      <c r="I135" s="4686"/>
      <c r="J135" s="4686"/>
      <c r="K135" s="4686"/>
      <c r="L135" s="4686"/>
      <c r="M135" s="4686"/>
      <c r="N135" s="4686"/>
      <c r="O135" s="4686"/>
    </row>
    <row r="136" spans="1:15">
      <c r="A136" s="4686"/>
      <c r="B136" s="4686"/>
      <c r="C136" s="4686"/>
      <c r="D136" s="4686"/>
      <c r="E136" s="4686"/>
      <c r="F136" s="4686"/>
      <c r="G136" s="4686"/>
      <c r="H136" s="4686"/>
      <c r="I136" s="4686"/>
      <c r="J136" s="4686"/>
      <c r="K136" s="4686"/>
      <c r="L136" s="4686"/>
      <c r="M136" s="4686"/>
      <c r="N136" s="4686"/>
      <c r="O136" s="4686"/>
    </row>
    <row r="137" spans="1:15">
      <c r="A137" s="4686"/>
      <c r="B137" s="4686"/>
      <c r="C137" s="4686"/>
      <c r="D137" s="4686"/>
      <c r="E137" s="4686"/>
      <c r="F137" s="4686"/>
      <c r="G137" s="4686"/>
      <c r="H137" s="4686"/>
      <c r="I137" s="4686"/>
      <c r="J137" s="4686"/>
      <c r="K137" s="4686"/>
      <c r="L137" s="4686"/>
      <c r="M137" s="4686"/>
      <c r="N137" s="4686"/>
      <c r="O137" s="4686"/>
    </row>
    <row r="138" spans="1:15">
      <c r="A138" s="4686"/>
      <c r="B138" s="4686"/>
      <c r="C138" s="4686"/>
      <c r="D138" s="4686"/>
      <c r="E138" s="4686"/>
      <c r="F138" s="4686"/>
      <c r="G138" s="4686"/>
      <c r="H138" s="4686"/>
      <c r="I138" s="4686"/>
      <c r="J138" s="4686"/>
      <c r="K138" s="4686"/>
      <c r="L138" s="4686"/>
      <c r="M138" s="4686"/>
      <c r="N138" s="4686"/>
      <c r="O138" s="4686"/>
    </row>
    <row r="139" spans="1:15">
      <c r="A139" s="4686"/>
      <c r="B139" s="4686"/>
      <c r="C139" s="4686"/>
      <c r="D139" s="4686"/>
      <c r="E139" s="4686"/>
      <c r="F139" s="4686"/>
      <c r="G139" s="4686"/>
      <c r="H139" s="4686"/>
      <c r="I139" s="4686"/>
      <c r="J139" s="4686"/>
      <c r="K139" s="4686"/>
      <c r="L139" s="4686"/>
      <c r="M139" s="4686"/>
      <c r="N139" s="4686"/>
      <c r="O139" s="4686"/>
    </row>
  </sheetData>
  <sheetProtection algorithmName="SHA-512" hashValue="SMz+Jt27KswdqXfSABni9DI7atYrpjMuD9W8L6Fh1MeT0cdcEtIweX6qhZd7vn0Dd4wAxVfDzBDr7jtzAfbcyA==" saltValue="7MMOgATfr9ya/e+oUGahNQ==" spinCount="100000" sheet="1" objects="1" scenarios="1"/>
  <dataValidations count="1">
    <dataValidation type="whole" operator="greaterThanOrEqual" showInputMessage="1" showErrorMessage="1" errorTitle="Invalid Data Entry" error="Enter a positive whole number or press the delete key.   Leave blank if using the normal distribution." sqref="F51:F52 F54 H54 H51:H52">
      <formula1>0</formula1>
    </dataValidation>
  </dataValidations>
  <hyperlinks>
    <hyperlink ref="W1" location="Contents!A1" display="Return to Contents page"/>
  </hyperlinks>
  <printOptions horizontalCentered="1" verticalCentered="1"/>
  <pageMargins left="0.25" right="0.25" top="0.25" bottom="0.25" header="0.5" footer="0.5"/>
  <pageSetup scale="75" fitToHeight="2" orientation="landscape" blackAndWhite="1" r:id="rId1"/>
  <headerFooter alignWithMargins="0">
    <oddFooter>&amp;L&amp;D     &amp;T &amp;RPage &amp;P</oddFooter>
  </headerFooter>
  <rowBreaks count="2" manualBreakCount="2">
    <brk id="45" max="16383" man="1"/>
    <brk id="127" max="6553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74</vt:i4>
      </vt:variant>
      <vt:variant>
        <vt:lpstr>Named Ranges</vt:lpstr>
      </vt:variant>
      <vt:variant>
        <vt:i4>104</vt:i4>
      </vt:variant>
    </vt:vector>
  </HeadingPairs>
  <TitlesOfParts>
    <vt:vector size="178" baseType="lpstr">
      <vt:lpstr>Contents</vt:lpstr>
      <vt:lpstr>OPEN</vt:lpstr>
      <vt:lpstr>F110</vt:lpstr>
      <vt:lpstr>F118</vt:lpstr>
      <vt:lpstr>F149</vt:lpstr>
      <vt:lpstr>F151</vt:lpstr>
      <vt:lpstr>F155</vt:lpstr>
      <vt:lpstr>F162</vt:lpstr>
      <vt:lpstr>F194</vt:lpstr>
      <vt:lpstr>F195</vt:lpstr>
      <vt:lpstr>F196</vt:lpstr>
      <vt:lpstr>F239</vt:lpstr>
      <vt:lpstr>F242</vt:lpstr>
      <vt:lpstr>F242A</vt:lpstr>
      <vt:lpstr>F250</vt:lpstr>
      <vt:lpstr>C01</vt:lpstr>
      <vt:lpstr>C02</vt:lpstr>
      <vt:lpstr>C04</vt:lpstr>
      <vt:lpstr>C05</vt:lpstr>
      <vt:lpstr>C05a</vt:lpstr>
      <vt:lpstr>C06</vt:lpstr>
      <vt:lpstr>C07</vt:lpstr>
      <vt:lpstr>C08</vt:lpstr>
      <vt:lpstr>C010</vt:lpstr>
      <vt:lpstr>C011</vt:lpstr>
      <vt:lpstr>C012</vt:lpstr>
      <vt:lpstr>C013</vt:lpstr>
      <vt:lpstr>C014</vt:lpstr>
      <vt:lpstr>C015</vt:lpstr>
      <vt:lpstr>C016</vt:lpstr>
      <vt:lpstr>C018</vt:lpstr>
      <vt:lpstr>C019</vt:lpstr>
      <vt:lpstr>C022</vt:lpstr>
      <vt:lpstr>C024</vt:lpstr>
      <vt:lpstr>C026</vt:lpstr>
      <vt:lpstr>C028</vt:lpstr>
      <vt:lpstr>C029</vt:lpstr>
      <vt:lpstr>C030</vt:lpstr>
      <vt:lpstr>C033</vt:lpstr>
      <vt:lpstr>C034</vt:lpstr>
      <vt:lpstr>C035</vt:lpstr>
      <vt:lpstr>C042</vt:lpstr>
      <vt:lpstr>C044</vt:lpstr>
      <vt:lpstr>C045</vt:lpstr>
      <vt:lpstr>C047</vt:lpstr>
      <vt:lpstr>C051</vt:lpstr>
      <vt:lpstr>C053</vt:lpstr>
      <vt:lpstr>C055</vt:lpstr>
      <vt:lpstr>C056</vt:lpstr>
      <vt:lpstr>C057</vt:lpstr>
      <vt:lpstr>C062</vt:lpstr>
      <vt:lpstr>C063</vt:lpstr>
      <vt:lpstr>C066</vt:lpstr>
      <vt:lpstr>C067</vt:lpstr>
      <vt:lpstr>C068</vt:lpstr>
      <vt:lpstr>C078</vt:lpstr>
      <vt:lpstr>C080</vt:lpstr>
      <vt:lpstr>C082</vt:lpstr>
      <vt:lpstr>C083</vt:lpstr>
      <vt:lpstr>C084</vt:lpstr>
      <vt:lpstr>C086</vt:lpstr>
      <vt:lpstr>CO99</vt:lpstr>
      <vt:lpstr>Certify</vt:lpstr>
      <vt:lpstr>2nd Publication</vt:lpstr>
      <vt:lpstr>Headings</vt:lpstr>
      <vt:lpstr>AMEND</vt:lpstr>
      <vt:lpstr>AveSalary</vt:lpstr>
      <vt:lpstr>Salaries</vt:lpstr>
      <vt:lpstr>CashBalances</vt:lpstr>
      <vt:lpstr>Bdgt Checks</vt:lpstr>
      <vt:lpstr>DATA</vt:lpstr>
      <vt:lpstr>DATA1</vt:lpstr>
      <vt:lpstr>Edits</vt:lpstr>
      <vt:lpstr>Edits1</vt:lpstr>
      <vt:lpstr>_300_Purchased_Professional_and_Tech_Svcs</vt:lpstr>
      <vt:lpstr>CC.P</vt:lpstr>
      <vt:lpstr>Code_78</vt:lpstr>
      <vt:lpstr>FillDOWN1</vt:lpstr>
      <vt:lpstr>FILLDOWN2</vt:lpstr>
      <vt:lpstr>FILLDOWN3</vt:lpstr>
      <vt:lpstr>FILLDOWN4</vt:lpstr>
      <vt:lpstr>FILLDOWN5</vt:lpstr>
      <vt:lpstr>Notice_of_hearing</vt:lpstr>
      <vt:lpstr>'2nd Publication'!Print_Area</vt:lpstr>
      <vt:lpstr>AMEND!Print_Area</vt:lpstr>
      <vt:lpstr>AveSalary!Print_Area</vt:lpstr>
      <vt:lpstr>'Bdgt Checks'!Print_Area</vt:lpstr>
      <vt:lpstr>'C01'!Print_Area</vt:lpstr>
      <vt:lpstr>'C010'!Print_Area</vt:lpstr>
      <vt:lpstr>'C011'!Print_Area</vt:lpstr>
      <vt:lpstr>'C012'!Print_Area</vt:lpstr>
      <vt:lpstr>'C013'!Print_Area</vt:lpstr>
      <vt:lpstr>'C014'!Print_Area</vt:lpstr>
      <vt:lpstr>'C015'!Print_Area</vt:lpstr>
      <vt:lpstr>'C016'!Print_Area</vt:lpstr>
      <vt:lpstr>'C018'!Print_Area</vt:lpstr>
      <vt:lpstr>'C019'!Print_Area</vt:lpstr>
      <vt:lpstr>'C02'!Print_Area</vt:lpstr>
      <vt:lpstr>'C022'!Print_Area</vt:lpstr>
      <vt:lpstr>'C024'!Print_Area</vt:lpstr>
      <vt:lpstr>'C026'!Print_Area</vt:lpstr>
      <vt:lpstr>'C028'!Print_Area</vt:lpstr>
      <vt:lpstr>'C029'!Print_Area</vt:lpstr>
      <vt:lpstr>'C030'!Print_Area</vt:lpstr>
      <vt:lpstr>'C033'!Print_Area</vt:lpstr>
      <vt:lpstr>'C034'!Print_Area</vt:lpstr>
      <vt:lpstr>'C035'!Print_Area</vt:lpstr>
      <vt:lpstr>'C04'!Print_Area</vt:lpstr>
      <vt:lpstr>'C042'!Print_Area</vt:lpstr>
      <vt:lpstr>'C044'!Print_Area</vt:lpstr>
      <vt:lpstr>'C045'!Print_Area</vt:lpstr>
      <vt:lpstr>'C047'!Print_Area</vt:lpstr>
      <vt:lpstr>'C05'!Print_Area</vt:lpstr>
      <vt:lpstr>'C051'!Print_Area</vt:lpstr>
      <vt:lpstr>'C053'!Print_Area</vt:lpstr>
      <vt:lpstr>'C055'!Print_Area</vt:lpstr>
      <vt:lpstr>'C056'!Print_Area</vt:lpstr>
      <vt:lpstr>'C057'!Print_Area</vt:lpstr>
      <vt:lpstr>'C05a'!Print_Area</vt:lpstr>
      <vt:lpstr>'C06'!Print_Area</vt:lpstr>
      <vt:lpstr>'C062'!Print_Area</vt:lpstr>
      <vt:lpstr>'C063'!Print_Area</vt:lpstr>
      <vt:lpstr>'C066'!Print_Area</vt:lpstr>
      <vt:lpstr>'C067'!Print_Area</vt:lpstr>
      <vt:lpstr>'C068'!Print_Area</vt:lpstr>
      <vt:lpstr>'C07'!Print_Area</vt:lpstr>
      <vt:lpstr>'C078'!Print_Area</vt:lpstr>
      <vt:lpstr>'C08'!Print_Area</vt:lpstr>
      <vt:lpstr>'C080'!Print_Area</vt:lpstr>
      <vt:lpstr>'C082'!Print_Area</vt:lpstr>
      <vt:lpstr>'C083'!Print_Area</vt:lpstr>
      <vt:lpstr>'C084'!Print_Area</vt:lpstr>
      <vt:lpstr>'C086'!Print_Area</vt:lpstr>
      <vt:lpstr>CashBalances!Print_Area</vt:lpstr>
      <vt:lpstr>Certify!Print_Area</vt:lpstr>
      <vt:lpstr>'CO99'!Print_Area</vt:lpstr>
      <vt:lpstr>Contents!Print_Area</vt:lpstr>
      <vt:lpstr>DATA!Print_Area</vt:lpstr>
      <vt:lpstr>DATA1!Print_Area</vt:lpstr>
      <vt:lpstr>Edits!Print_Area</vt:lpstr>
      <vt:lpstr>Edits1!Print_Area</vt:lpstr>
      <vt:lpstr>'F110'!Print_Area</vt:lpstr>
      <vt:lpstr>'F118'!Print_Area</vt:lpstr>
      <vt:lpstr>'F149'!Print_Area</vt:lpstr>
      <vt:lpstr>'F151'!Print_Area</vt:lpstr>
      <vt:lpstr>'F155'!Print_Area</vt:lpstr>
      <vt:lpstr>'F162'!Print_Area</vt:lpstr>
      <vt:lpstr>'F194'!Print_Area</vt:lpstr>
      <vt:lpstr>'F195'!Print_Area</vt:lpstr>
      <vt:lpstr>'F196'!Print_Area</vt:lpstr>
      <vt:lpstr>'F239'!Print_Area</vt:lpstr>
      <vt:lpstr>'F242'!Print_Area</vt:lpstr>
      <vt:lpstr>F242A!Print_Area</vt:lpstr>
      <vt:lpstr>'F250'!Print_Area</vt:lpstr>
      <vt:lpstr>Headings!Print_Area</vt:lpstr>
      <vt:lpstr>OPEN!Print_Area</vt:lpstr>
      <vt:lpstr>Salaries!Print_Area</vt:lpstr>
      <vt:lpstr>AveSalary!Print_Titles</vt:lpstr>
      <vt:lpstr>'C045'!Range1</vt:lpstr>
      <vt:lpstr>'C078'!Range1</vt:lpstr>
      <vt:lpstr>'C083'!Range1</vt:lpstr>
      <vt:lpstr>Range1</vt:lpstr>
      <vt:lpstr>'C045'!Range2</vt:lpstr>
      <vt:lpstr>'C078'!Range2</vt:lpstr>
      <vt:lpstr>'C083'!Range2</vt:lpstr>
      <vt:lpstr>Range2</vt:lpstr>
      <vt:lpstr>'C045'!Range3</vt:lpstr>
      <vt:lpstr>'C078'!Range3</vt:lpstr>
      <vt:lpstr>'C083'!Range3</vt:lpstr>
      <vt:lpstr>Range3</vt:lpstr>
      <vt:lpstr>'C045'!Range4</vt:lpstr>
      <vt:lpstr>'C078'!Range4</vt:lpstr>
      <vt:lpstr>'C083'!Range4</vt:lpstr>
      <vt:lpstr>Range4</vt:lpstr>
      <vt:lpstr>'C045'!Range5</vt:lpstr>
      <vt:lpstr>'C078'!Range5</vt:lpstr>
      <vt:lpstr>'C083'!Range5</vt:lpstr>
      <vt:lpstr>Range5</vt:lpstr>
    </vt:vector>
  </TitlesOfParts>
  <Company>Kansas Department of Education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dreinert</dc:creator>
  <cp:lastModifiedBy>USD 270 Plainville</cp:lastModifiedBy>
  <cp:lastPrinted>2016-08-23T21:15:51Z</cp:lastPrinted>
  <dcterms:created xsi:type="dcterms:W3CDTF">2002-06-10T16:39:38Z</dcterms:created>
  <dcterms:modified xsi:type="dcterms:W3CDTF">2016-08-23T21:16:20Z</dcterms:modified>
</cp:coreProperties>
</file>